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drawings/drawing10.xml" ContentType="application/vnd.openxmlformats-officedocument.drawing+xml"/>
  <Override PartName="/xl/comments15.xml" ContentType="application/vnd.openxmlformats-officedocument.spreadsheetml.comments+xml"/>
  <Override PartName="/xl/drawings/drawing11.xml" ContentType="application/vnd.openxmlformats-officedocument.drawing+xml"/>
  <Override PartName="/xl/comments16.xml" ContentType="application/vnd.openxmlformats-officedocument.spreadsheetml.comments+xml"/>
  <Override PartName="/xl/drawings/drawing12.xml" ContentType="application/vnd.openxmlformats-officedocument.drawing+xml"/>
  <Override PartName="/xl/comments17.xml" ContentType="application/vnd.openxmlformats-officedocument.spreadsheetml.comments+xml"/>
  <Override PartName="/xl/drawings/drawing13.xml" ContentType="application/vnd.openxmlformats-officedocument.drawing+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mc:AlternateContent xmlns:mc="http://schemas.openxmlformats.org/markup-compatibility/2006">
    <mc:Choice Requires="x15">
      <x15ac:absPath xmlns:x15ac="http://schemas.microsoft.com/office/spreadsheetml/2010/11/ac" url="F:\GIZ_GELAMAI\8_RAD GRK Revisi\Perhitungan BAU Baseline dan Mitigasi_Hitung Ulang\Limbah\Hitungan Limbah_BAU_2010-2030_IW\Kutim\"/>
    </mc:Choice>
  </mc:AlternateContent>
  <bookViews>
    <workbookView xWindow="0" yWindow="0" windowWidth="20490" windowHeight="7755" tabRatio="820" activeTab="1"/>
  </bookViews>
  <sheets>
    <sheet name="Instructions" sheetId="1" r:id="rId1"/>
    <sheet name="Parameters" sheetId="4" r:id="rId2"/>
    <sheet name="MCF" sheetId="8" r:id="rId3"/>
    <sheet name="Activity" sheetId="6" r:id="rId4"/>
    <sheet name="Dry_Matter_Content" sheetId="30" r:id="rId5"/>
    <sheet name="Amnt_Deposited" sheetId="7" r:id="rId6"/>
    <sheet name="Recovery_OX" sheetId="28" r:id="rId7"/>
    <sheet name="Results" sheetId="17" r:id="rId8"/>
    <sheet name="HWP" sheetId="38" r:id="rId9"/>
    <sheet name="Stored_C" sheetId="39" r:id="rId10"/>
    <sheet name="Theory" sheetId="2" r:id="rId11"/>
    <sheet name="Defaults" sheetId="5" r:id="rId12"/>
    <sheet name="Food" sheetId="18" r:id="rId13"/>
    <sheet name="Paper" sheetId="31" r:id="rId14"/>
    <sheet name="Nappies" sheetId="35" r:id="rId15"/>
    <sheet name="Garden" sheetId="32" r:id="rId16"/>
    <sheet name="Wood" sheetId="34" r:id="rId17"/>
    <sheet name="Textiles" sheetId="33" r:id="rId18"/>
    <sheet name="Sludge" sheetId="36" r:id="rId19"/>
    <sheet name="MSW" sheetId="37" r:id="rId20"/>
    <sheet name="Industry" sheetId="40" r:id="rId21"/>
  </sheets>
  <externalReferences>
    <externalReference r:id="rId22"/>
    <externalReference r:id="rId23"/>
    <externalReference r:id="rId24"/>
  </externalReferences>
  <definedNames>
    <definedName name="CH4_fraction" localSheetId="8">[1]Parameters!$E$39</definedName>
    <definedName name="CH4_fraction" localSheetId="9">[1]Parameters!$E$39</definedName>
    <definedName name="CH4_fraction">Parameters!$E$51</definedName>
    <definedName name="city">Parameters!$D$2</definedName>
    <definedName name="conv" localSheetId="8">[1]Parameters!$E$41</definedName>
    <definedName name="conv" localSheetId="9">[1]Parameters!$E$41</definedName>
    <definedName name="conv">Parameters!$E$53</definedName>
    <definedName name="country" localSheetId="8">[1]Parameters!$D$2</definedName>
    <definedName name="country" localSheetId="9">[1]Parameters!$D$2</definedName>
    <definedName name="country">Parameters!$D$4</definedName>
    <definedName name="DOC_table" localSheetId="8">[1]Defaults!$P$8:$Q$17</definedName>
    <definedName name="DOC_table" localSheetId="9">[1]Defaults!$P$8:$Q$17</definedName>
    <definedName name="DOC_table">Defaults!$P$6:$S$20</definedName>
    <definedName name="DOCF" localSheetId="8">[1]Parameters!$E$23</definedName>
    <definedName name="DOCF" localSheetId="9">[1]Parameters!$E$23</definedName>
    <definedName name="DOCF">Parameters!$E$30</definedName>
    <definedName name="half_life" localSheetId="8">[1]Defaults!$D$8:$K$12</definedName>
    <definedName name="half_life" localSheetId="9">[1]Defaults!$D$8:$K$12</definedName>
    <definedName name="half_life">Defaults!$D$8:$K$12</definedName>
    <definedName name="ox" localSheetId="8">[1]Parameters!$E$43</definedName>
    <definedName name="ox" localSheetId="9">[1]Parameters!$E$43</definedName>
    <definedName name="ox">Parameters!$E$55</definedName>
    <definedName name="_xlnm.Print_Area" localSheetId="0">Instructions!$A$8:$I$158</definedName>
    <definedName name="_xlnm.Print_Area" localSheetId="1">Parameters!$A$1:$F$64</definedName>
    <definedName name="_xlnm.Print_Area" localSheetId="10">Theory!$A$1:$H$72</definedName>
    <definedName name="province">Parameters!$D$3</definedName>
    <definedName name="Regional_data" localSheetId="8">[1]Defaults!$W$8:$AH$26</definedName>
    <definedName name="Regional_data" localSheetId="9">[1]Defaults!$W$8:$AH$26</definedName>
    <definedName name="Regional_data">Defaults!$W$8:$AH$26</definedName>
    <definedName name="Select2" localSheetId="8">[1]Defaults!$O$20</definedName>
    <definedName name="Select2" localSheetId="9">[1]Defaults!$O$20</definedName>
    <definedName name="Select2">Defaults!$O$23</definedName>
    <definedName name="Select3" localSheetId="8">[1]Defaults!$W$5</definedName>
    <definedName name="Select3" localSheetId="9">[1]Defaults!$W$5</definedName>
    <definedName name="Select3">Defaults!$W$5</definedName>
    <definedName name="selected" localSheetId="8">[1]Defaults!$G$17</definedName>
    <definedName name="selected" localSheetId="9">[1]Defaults!$G$17</definedName>
    <definedName name="selected">Defaults!$G$17</definedName>
    <definedName name="year" localSheetId="8">[1]Parameters!$E$9</definedName>
    <definedName name="year" localSheetId="9">[1]Parameters!$E$9</definedName>
    <definedName name="year">Parameters!$E$11</definedName>
  </definedNames>
  <calcPr calcId="152511"/>
  <customWorkbookViews>
    <customWorkbookView name="Per - Personlig visning" guid="{B400968E-E9A7-41C3-9739-36597C9C6BC6}" mergeInterval="0" personalView="1" maximized="1" windowWidth="1020" windowHeight="569" activeSheetId="1"/>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E25" i="4" l="1"/>
  <c r="E24" i="4"/>
  <c r="E23" i="4"/>
  <c r="E22" i="4"/>
  <c r="E21" i="4"/>
  <c r="E20" i="4"/>
  <c r="E19" i="4"/>
  <c r="E18" i="4"/>
  <c r="E17" i="4"/>
  <c r="E16" i="4"/>
  <c r="E15" i="4"/>
  <c r="O8" i="6" l="1"/>
  <c r="N8" i="6"/>
  <c r="M8" i="6"/>
  <c r="L8" i="6"/>
  <c r="K8" i="6"/>
  <c r="J8" i="6"/>
  <c r="I8" i="6"/>
  <c r="F8" i="6"/>
  <c r="E8" i="6"/>
  <c r="C43" i="6" l="1"/>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16" i="4" l="1"/>
  <c r="E116" i="4" s="1"/>
  <c r="C115" i="4"/>
  <c r="E115" i="4" s="1"/>
  <c r="C114" i="4"/>
  <c r="E114" i="4" s="1"/>
  <c r="C113" i="4"/>
  <c r="E113" i="4" s="1"/>
  <c r="E112" i="4"/>
  <c r="C111" i="4"/>
  <c r="E111" i="4" s="1"/>
  <c r="E110" i="4"/>
  <c r="C109" i="4"/>
  <c r="E109" i="4" s="1"/>
  <c r="C108" i="4"/>
  <c r="E108" i="4" s="1"/>
  <c r="C105" i="4"/>
  <c r="E105" i="4" s="1"/>
  <c r="C104" i="4"/>
  <c r="E104" i="4" s="1"/>
  <c r="C103" i="4"/>
  <c r="E103" i="4" s="1"/>
  <c r="C102" i="4"/>
  <c r="E102" i="4" s="1"/>
  <c r="C101" i="4"/>
  <c r="E101" i="4" s="1"/>
  <c r="C100" i="4"/>
  <c r="E100" i="4" s="1"/>
  <c r="C99" i="4"/>
  <c r="E99" i="4" s="1"/>
  <c r="C98" i="4"/>
  <c r="E98" i="4" s="1"/>
  <c r="C97" i="4"/>
  <c r="E97" i="4" s="1"/>
  <c r="C94" i="4"/>
  <c r="E94" i="4" s="1"/>
  <c r="E93" i="4"/>
  <c r="E92" i="4"/>
  <c r="E91" i="4"/>
  <c r="E90" i="4"/>
  <c r="E89" i="4"/>
  <c r="E88" i="4"/>
  <c r="E87" i="4"/>
  <c r="E86" i="4"/>
  <c r="E106" i="4" l="1"/>
  <c r="E95" i="4"/>
  <c r="E117" i="4"/>
  <c r="B12" i="38"/>
  <c r="B13" i="38" s="1"/>
  <c r="B14" i="38" s="1"/>
  <c r="B15" i="38" s="1"/>
  <c r="B16" i="38" s="1"/>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39" i="38" s="1"/>
  <c r="B40" i="38" s="1"/>
  <c r="B41" i="38" s="1"/>
  <c r="B42" i="38" s="1"/>
  <c r="B43" i="38" s="1"/>
  <c r="B44" i="38" s="1"/>
  <c r="B45" i="38" s="1"/>
  <c r="B46" i="38" s="1"/>
  <c r="B47" i="38" s="1"/>
  <c r="B48" i="38" s="1"/>
  <c r="B49" i="38" s="1"/>
  <c r="B50" i="38" s="1"/>
  <c r="B51" i="38" s="1"/>
  <c r="B52" i="38" s="1"/>
  <c r="B53" i="38" s="1"/>
  <c r="B54" i="38" s="1"/>
  <c r="B55" i="38" s="1"/>
  <c r="B56" i="38" s="1"/>
  <c r="B57" i="38" s="1"/>
  <c r="B58" i="38" s="1"/>
  <c r="B59" i="38" s="1"/>
  <c r="B60" i="38" s="1"/>
  <c r="B61" i="38" s="1"/>
  <c r="B62" i="38" s="1"/>
  <c r="B63" i="38" s="1"/>
  <c r="B64" i="38" s="1"/>
  <c r="B65" i="38" s="1"/>
  <c r="B66" i="38" s="1"/>
  <c r="B67" i="38" s="1"/>
  <c r="B68" i="38" s="1"/>
  <c r="B69" i="38" s="1"/>
  <c r="B70" i="38" s="1"/>
  <c r="B71" i="38" s="1"/>
  <c r="B72" i="38" s="1"/>
  <c r="B73" i="38" s="1"/>
  <c r="B74" i="38" s="1"/>
  <c r="B75" i="38" s="1"/>
  <c r="B76" i="38" s="1"/>
  <c r="B77" i="38" s="1"/>
  <c r="B78" i="38" s="1"/>
  <c r="B79" i="38" s="1"/>
  <c r="B80" i="38" s="1"/>
  <c r="B81" i="38" s="1"/>
  <c r="B82" i="38" s="1"/>
  <c r="B83" i="38" s="1"/>
  <c r="B84" i="38" s="1"/>
  <c r="B85" i="38" s="1"/>
  <c r="B86" i="38" s="1"/>
  <c r="B87" i="38" s="1"/>
  <c r="B88" i="38" s="1"/>
  <c r="B89" i="38" s="1"/>
  <c r="B90" i="38" s="1"/>
  <c r="B91" i="38" s="1"/>
  <c r="B92" i="38" s="1"/>
  <c r="B18" i="39"/>
  <c r="D2" i="39"/>
  <c r="D3" i="39"/>
  <c r="P99" i="36"/>
  <c r="P98" i="36"/>
  <c r="P97" i="36"/>
  <c r="P96" i="36"/>
  <c r="P95" i="36"/>
  <c r="P94" i="36"/>
  <c r="P93" i="36"/>
  <c r="P92" i="36"/>
  <c r="P91" i="36"/>
  <c r="P90" i="36"/>
  <c r="P89" i="36"/>
  <c r="P88" i="36"/>
  <c r="P87" i="36"/>
  <c r="P86" i="36"/>
  <c r="P85" i="36"/>
  <c r="P84" i="36"/>
  <c r="P83" i="36"/>
  <c r="P82" i="36"/>
  <c r="P81" i="36"/>
  <c r="P80" i="36"/>
  <c r="P79" i="36"/>
  <c r="P78" i="36"/>
  <c r="P77" i="36"/>
  <c r="P76" i="36"/>
  <c r="P75" i="36"/>
  <c r="P74" i="36"/>
  <c r="P73" i="36"/>
  <c r="P72" i="36"/>
  <c r="P71" i="36"/>
  <c r="P70" i="36"/>
  <c r="P69" i="36"/>
  <c r="P68" i="36"/>
  <c r="P67" i="36"/>
  <c r="P66" i="36"/>
  <c r="P65" i="36"/>
  <c r="P64" i="36"/>
  <c r="P63" i="36"/>
  <c r="P62" i="36"/>
  <c r="P61" i="36"/>
  <c r="P60" i="36"/>
  <c r="P59" i="36"/>
  <c r="P58" i="36"/>
  <c r="P57" i="36"/>
  <c r="P56" i="36"/>
  <c r="P55" i="36"/>
  <c r="P54" i="36"/>
  <c r="P53" i="36"/>
  <c r="P52" i="36"/>
  <c r="P51" i="36"/>
  <c r="P50" i="36"/>
  <c r="P49" i="36"/>
  <c r="P48" i="36"/>
  <c r="P47" i="36"/>
  <c r="P46" i="36"/>
  <c r="P45" i="36"/>
  <c r="P44" i="36"/>
  <c r="P43" i="36"/>
  <c r="P42" i="36"/>
  <c r="P41" i="36"/>
  <c r="P40" i="36"/>
  <c r="P39" i="36"/>
  <c r="P38" i="36"/>
  <c r="P37" i="36"/>
  <c r="P36" i="36"/>
  <c r="P35" i="36"/>
  <c r="P34" i="36"/>
  <c r="P33" i="36"/>
  <c r="P32" i="36"/>
  <c r="P31" i="36"/>
  <c r="P30" i="36"/>
  <c r="P29" i="36"/>
  <c r="P28" i="36"/>
  <c r="P27" i="36"/>
  <c r="P26" i="36"/>
  <c r="P25" i="36"/>
  <c r="P24" i="36"/>
  <c r="P23" i="36"/>
  <c r="P22" i="36"/>
  <c r="P21" i="36"/>
  <c r="P20" i="36"/>
  <c r="P19" i="36"/>
  <c r="C99" i="36"/>
  <c r="C98" i="36"/>
  <c r="C97" i="36"/>
  <c r="C96" i="36"/>
  <c r="C95" i="36"/>
  <c r="C94" i="36"/>
  <c r="C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D99" i="40"/>
  <c r="D98" i="40"/>
  <c r="D97" i="40"/>
  <c r="D96" i="40"/>
  <c r="D95" i="40"/>
  <c r="D94" i="40"/>
  <c r="D93" i="40"/>
  <c r="D92" i="40"/>
  <c r="D91" i="40"/>
  <c r="D90" i="40"/>
  <c r="D89" i="40"/>
  <c r="D88" i="40"/>
  <c r="D87" i="40"/>
  <c r="D86" i="40"/>
  <c r="D85" i="40"/>
  <c r="D84" i="40"/>
  <c r="D83" i="40"/>
  <c r="D82" i="40"/>
  <c r="D81" i="40"/>
  <c r="D80" i="40"/>
  <c r="D79" i="40"/>
  <c r="D78" i="40"/>
  <c r="D77" i="40"/>
  <c r="D76" i="40"/>
  <c r="D75" i="40"/>
  <c r="D74" i="40"/>
  <c r="D73" i="40"/>
  <c r="D72" i="40"/>
  <c r="D71" i="40"/>
  <c r="D70" i="40"/>
  <c r="D69" i="40"/>
  <c r="D68" i="40"/>
  <c r="D67" i="40"/>
  <c r="D66" i="40"/>
  <c r="D65" i="40"/>
  <c r="D64" i="40"/>
  <c r="D63" i="40"/>
  <c r="D62" i="40"/>
  <c r="D61" i="40"/>
  <c r="D60" i="40"/>
  <c r="D59" i="40"/>
  <c r="D58" i="40"/>
  <c r="D57" i="40"/>
  <c r="D56" i="40"/>
  <c r="D55" i="40"/>
  <c r="D54" i="40"/>
  <c r="D53" i="40"/>
  <c r="D52" i="40"/>
  <c r="D51" i="40"/>
  <c r="D50" i="40"/>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21" i="40"/>
  <c r="D20" i="40"/>
  <c r="D19" i="40"/>
  <c r="D99" i="35"/>
  <c r="D98" i="35"/>
  <c r="D97" i="35"/>
  <c r="D96" i="35"/>
  <c r="D95" i="35"/>
  <c r="D94" i="35"/>
  <c r="D93" i="35"/>
  <c r="D92" i="35"/>
  <c r="D91" i="35"/>
  <c r="D90" i="35"/>
  <c r="D89" i="35"/>
  <c r="D88" i="35"/>
  <c r="D87" i="35"/>
  <c r="D86" i="35"/>
  <c r="D85" i="35"/>
  <c r="D84" i="35"/>
  <c r="D83" i="35"/>
  <c r="D82" i="35"/>
  <c r="D81" i="35"/>
  <c r="D80" i="35"/>
  <c r="D79" i="35"/>
  <c r="D78" i="35"/>
  <c r="D77" i="35"/>
  <c r="D76" i="35"/>
  <c r="D75" i="35"/>
  <c r="D74" i="35"/>
  <c r="D73" i="35"/>
  <c r="D72" i="35"/>
  <c r="D71" i="35"/>
  <c r="D70" i="35"/>
  <c r="D69" i="35"/>
  <c r="D68" i="35"/>
  <c r="D67" i="35"/>
  <c r="D66" i="35"/>
  <c r="D65" i="35"/>
  <c r="D64" i="35"/>
  <c r="D63" i="35"/>
  <c r="D62" i="35"/>
  <c r="D61" i="35"/>
  <c r="D60" i="35"/>
  <c r="D59" i="35"/>
  <c r="D58" i="35"/>
  <c r="D57" i="35"/>
  <c r="D56" i="35"/>
  <c r="D55" i="35"/>
  <c r="D54" i="35"/>
  <c r="D53" i="35"/>
  <c r="D52" i="35"/>
  <c r="D51" i="35"/>
  <c r="D50" i="35"/>
  <c r="D49" i="35"/>
  <c r="D48" i="35"/>
  <c r="D47" i="35"/>
  <c r="D46" i="35"/>
  <c r="D45" i="35"/>
  <c r="D44" i="35"/>
  <c r="D43" i="35"/>
  <c r="D42" i="35"/>
  <c r="D41" i="35"/>
  <c r="D40" i="35"/>
  <c r="D39" i="35"/>
  <c r="D38" i="35"/>
  <c r="D37" i="35"/>
  <c r="D36" i="35"/>
  <c r="D35" i="35"/>
  <c r="D34" i="35"/>
  <c r="D33" i="35"/>
  <c r="D32" i="35"/>
  <c r="D31" i="35"/>
  <c r="D30" i="35"/>
  <c r="D29" i="35"/>
  <c r="D28" i="35"/>
  <c r="D27" i="35"/>
  <c r="D26" i="35"/>
  <c r="D25" i="35"/>
  <c r="D24" i="35"/>
  <c r="D23" i="35"/>
  <c r="D22" i="35"/>
  <c r="D21" i="35"/>
  <c r="D20" i="35"/>
  <c r="D19" i="35"/>
  <c r="D99" i="34"/>
  <c r="D98" i="34"/>
  <c r="D97" i="34"/>
  <c r="D96" i="34"/>
  <c r="D95" i="34"/>
  <c r="D94" i="34"/>
  <c r="D93" i="34"/>
  <c r="D92" i="34"/>
  <c r="D91" i="34"/>
  <c r="D90" i="34"/>
  <c r="D89" i="34"/>
  <c r="D88" i="34"/>
  <c r="D87" i="34"/>
  <c r="D86" i="34"/>
  <c r="D85" i="34"/>
  <c r="D84" i="34"/>
  <c r="D83" i="34"/>
  <c r="D82" i="34"/>
  <c r="D81" i="34"/>
  <c r="D80" i="34"/>
  <c r="D79" i="34"/>
  <c r="D78" i="34"/>
  <c r="D77" i="34"/>
  <c r="D76" i="34"/>
  <c r="D75" i="34"/>
  <c r="D74" i="34"/>
  <c r="D73" i="34"/>
  <c r="D72" i="34"/>
  <c r="D71" i="34"/>
  <c r="D70" i="34"/>
  <c r="D69" i="34"/>
  <c r="D68" i="34"/>
  <c r="D67" i="34"/>
  <c r="D66" i="34"/>
  <c r="D65" i="34"/>
  <c r="D64" i="34"/>
  <c r="D63" i="34"/>
  <c r="D62" i="34"/>
  <c r="D61" i="34"/>
  <c r="D60" i="34"/>
  <c r="D59" i="34"/>
  <c r="D58" i="34"/>
  <c r="D57" i="34"/>
  <c r="D56" i="34"/>
  <c r="D55" i="34"/>
  <c r="D54" i="34"/>
  <c r="D53" i="34"/>
  <c r="D52" i="34"/>
  <c r="D51" i="34"/>
  <c r="D50" i="34"/>
  <c r="D49" i="34"/>
  <c r="D48" i="34"/>
  <c r="D47" i="34"/>
  <c r="D46" i="34"/>
  <c r="D45" i="34"/>
  <c r="D44" i="34"/>
  <c r="D43" i="34"/>
  <c r="D42" i="34"/>
  <c r="D41" i="34"/>
  <c r="D40" i="34"/>
  <c r="D39" i="34"/>
  <c r="D38" i="34"/>
  <c r="D37" i="34"/>
  <c r="D36" i="34"/>
  <c r="D35" i="34"/>
  <c r="D34" i="34"/>
  <c r="D33" i="34"/>
  <c r="D32" i="34"/>
  <c r="D31" i="34"/>
  <c r="D30" i="34"/>
  <c r="D29" i="34"/>
  <c r="D28" i="34"/>
  <c r="D27" i="34"/>
  <c r="D26" i="34"/>
  <c r="D25" i="34"/>
  <c r="D24" i="34"/>
  <c r="D23" i="34"/>
  <c r="D22" i="34"/>
  <c r="D21" i="34"/>
  <c r="D20" i="34"/>
  <c r="D19" i="34"/>
  <c r="I98" i="8"/>
  <c r="J98" i="8"/>
  <c r="K98" i="8"/>
  <c r="L98" i="8"/>
  <c r="M98" i="8"/>
  <c r="I97" i="8"/>
  <c r="J97" i="8"/>
  <c r="K97" i="8"/>
  <c r="L97" i="8"/>
  <c r="M97" i="8"/>
  <c r="S97" i="8"/>
  <c r="I96" i="8"/>
  <c r="S96" i="8" s="1"/>
  <c r="J96" i="8"/>
  <c r="K96" i="8"/>
  <c r="L96" i="8"/>
  <c r="M96" i="8"/>
  <c r="I95" i="8"/>
  <c r="S95" i="8" s="1"/>
  <c r="J95" i="8"/>
  <c r="K95" i="8"/>
  <c r="L95" i="8"/>
  <c r="M95" i="8"/>
  <c r="I94" i="8"/>
  <c r="S94" i="8" s="1"/>
  <c r="J94" i="8"/>
  <c r="K94" i="8"/>
  <c r="L94" i="8"/>
  <c r="M94" i="8"/>
  <c r="I93" i="8"/>
  <c r="J93" i="8"/>
  <c r="K93" i="8"/>
  <c r="L93" i="8"/>
  <c r="M93" i="8"/>
  <c r="I92" i="8"/>
  <c r="J92" i="8"/>
  <c r="K92" i="8"/>
  <c r="L92" i="8"/>
  <c r="M92" i="8"/>
  <c r="I91" i="8"/>
  <c r="J91" i="8"/>
  <c r="K91" i="8"/>
  <c r="L91" i="8"/>
  <c r="M91" i="8"/>
  <c r="S91" i="8"/>
  <c r="I90" i="8"/>
  <c r="J90" i="8"/>
  <c r="K90" i="8"/>
  <c r="L90" i="8"/>
  <c r="M90" i="8"/>
  <c r="I89" i="8"/>
  <c r="J89" i="8"/>
  <c r="K89" i="8"/>
  <c r="L89" i="8"/>
  <c r="M89" i="8"/>
  <c r="S89" i="8"/>
  <c r="I88" i="8"/>
  <c r="S88" i="8" s="1"/>
  <c r="J88" i="8"/>
  <c r="K88" i="8"/>
  <c r="L88" i="8"/>
  <c r="M88" i="8"/>
  <c r="I87" i="8"/>
  <c r="S87" i="8" s="1"/>
  <c r="J87" i="8"/>
  <c r="K87" i="8"/>
  <c r="L87" i="8"/>
  <c r="M87" i="8"/>
  <c r="I86" i="8"/>
  <c r="J86" i="8"/>
  <c r="K86" i="8"/>
  <c r="S86" i="8" s="1"/>
  <c r="L86" i="8"/>
  <c r="M86" i="8"/>
  <c r="I85" i="8"/>
  <c r="J85" i="8"/>
  <c r="K85" i="8"/>
  <c r="L85" i="8"/>
  <c r="M85" i="8"/>
  <c r="I84" i="8"/>
  <c r="J84" i="8"/>
  <c r="K84" i="8"/>
  <c r="S84" i="8" s="1"/>
  <c r="L84" i="8"/>
  <c r="M84" i="8"/>
  <c r="I83" i="8"/>
  <c r="J83" i="8"/>
  <c r="N83" i="8" s="1"/>
  <c r="K83" i="8"/>
  <c r="L83" i="8"/>
  <c r="M83" i="8"/>
  <c r="S83" i="8"/>
  <c r="I82" i="8"/>
  <c r="J82" i="8"/>
  <c r="K82" i="8"/>
  <c r="L82" i="8"/>
  <c r="M82" i="8"/>
  <c r="I81" i="8"/>
  <c r="J81" i="8"/>
  <c r="K81" i="8"/>
  <c r="L81" i="8"/>
  <c r="M81" i="8"/>
  <c r="S81" i="8"/>
  <c r="I80" i="8"/>
  <c r="J80" i="8"/>
  <c r="K80" i="8"/>
  <c r="L80" i="8"/>
  <c r="M80" i="8"/>
  <c r="I79" i="8"/>
  <c r="S79" i="8" s="1"/>
  <c r="J79" i="8"/>
  <c r="K79" i="8"/>
  <c r="L79" i="8"/>
  <c r="M79" i="8"/>
  <c r="I78" i="8"/>
  <c r="J78" i="8"/>
  <c r="K78" i="8"/>
  <c r="S78" i="8" s="1"/>
  <c r="L78" i="8"/>
  <c r="M78" i="8"/>
  <c r="I77" i="8"/>
  <c r="J77" i="8"/>
  <c r="K77" i="8"/>
  <c r="L77" i="8"/>
  <c r="M77" i="8"/>
  <c r="I76" i="8"/>
  <c r="J76" i="8"/>
  <c r="K76" i="8"/>
  <c r="S76" i="8" s="1"/>
  <c r="L76" i="8"/>
  <c r="M76" i="8"/>
  <c r="I75" i="8"/>
  <c r="J75" i="8"/>
  <c r="K75" i="8"/>
  <c r="L75" i="8"/>
  <c r="M75" i="8"/>
  <c r="S75" i="8"/>
  <c r="I74" i="8"/>
  <c r="J74" i="8"/>
  <c r="K74" i="8"/>
  <c r="L74" i="8"/>
  <c r="M74" i="8"/>
  <c r="I73" i="8"/>
  <c r="J73" i="8"/>
  <c r="K73" i="8"/>
  <c r="L73" i="8"/>
  <c r="M73" i="8"/>
  <c r="S73" i="8"/>
  <c r="I72" i="8"/>
  <c r="J72" i="8"/>
  <c r="K72" i="8"/>
  <c r="L72" i="8"/>
  <c r="M72" i="8"/>
  <c r="I71" i="8"/>
  <c r="S71" i="8" s="1"/>
  <c r="J71" i="8"/>
  <c r="K71" i="8"/>
  <c r="L71" i="8"/>
  <c r="M71" i="8"/>
  <c r="I70" i="8"/>
  <c r="J70" i="8"/>
  <c r="K70" i="8"/>
  <c r="S70" i="8" s="1"/>
  <c r="L70" i="8"/>
  <c r="M70" i="8"/>
  <c r="I69" i="8"/>
  <c r="J69" i="8"/>
  <c r="K69" i="8"/>
  <c r="L69" i="8"/>
  <c r="M69" i="8"/>
  <c r="I68" i="8"/>
  <c r="J68" i="8"/>
  <c r="K68" i="8"/>
  <c r="S68" i="8" s="1"/>
  <c r="L68" i="8"/>
  <c r="M68" i="8"/>
  <c r="I67" i="8"/>
  <c r="J67" i="8"/>
  <c r="K67" i="8"/>
  <c r="L67" i="8"/>
  <c r="M67" i="8"/>
  <c r="S67" i="8"/>
  <c r="I66" i="8"/>
  <c r="J66" i="8"/>
  <c r="K66" i="8"/>
  <c r="L66" i="8"/>
  <c r="M66" i="8"/>
  <c r="I65" i="8"/>
  <c r="J65" i="8"/>
  <c r="K65" i="8"/>
  <c r="L65" i="8"/>
  <c r="M65" i="8"/>
  <c r="S65" i="8"/>
  <c r="I64" i="8"/>
  <c r="J64" i="8"/>
  <c r="K64" i="8"/>
  <c r="L64" i="8"/>
  <c r="M64" i="8"/>
  <c r="I63" i="8"/>
  <c r="S63" i="8" s="1"/>
  <c r="J63" i="8"/>
  <c r="K63" i="8"/>
  <c r="L63" i="8"/>
  <c r="M63" i="8"/>
  <c r="I62" i="8"/>
  <c r="J62" i="8"/>
  <c r="K62" i="8"/>
  <c r="S62" i="8" s="1"/>
  <c r="L62" i="8"/>
  <c r="M62" i="8"/>
  <c r="I61" i="8"/>
  <c r="J61" i="8"/>
  <c r="K61" i="8"/>
  <c r="L61" i="8"/>
  <c r="M61" i="8"/>
  <c r="I60" i="8"/>
  <c r="J60" i="8"/>
  <c r="K60" i="8"/>
  <c r="S60" i="8" s="1"/>
  <c r="L60" i="8"/>
  <c r="M60" i="8"/>
  <c r="I59" i="8"/>
  <c r="J59" i="8"/>
  <c r="K59" i="8"/>
  <c r="L59" i="8"/>
  <c r="M59" i="8"/>
  <c r="S59" i="8"/>
  <c r="I58" i="8"/>
  <c r="J58" i="8"/>
  <c r="K58" i="8"/>
  <c r="L58" i="8"/>
  <c r="M58" i="8"/>
  <c r="I57" i="8"/>
  <c r="J57" i="8"/>
  <c r="K57" i="8"/>
  <c r="L57" i="8"/>
  <c r="M57" i="8"/>
  <c r="S57" i="8"/>
  <c r="I56" i="8"/>
  <c r="J56" i="8"/>
  <c r="K56" i="8"/>
  <c r="L56" i="8"/>
  <c r="M56" i="8"/>
  <c r="I55" i="8"/>
  <c r="S55" i="8" s="1"/>
  <c r="J55" i="8"/>
  <c r="K55" i="8"/>
  <c r="L55" i="8"/>
  <c r="M55" i="8"/>
  <c r="I54" i="8"/>
  <c r="J54" i="8"/>
  <c r="K54" i="8"/>
  <c r="S54" i="8" s="1"/>
  <c r="L54" i="8"/>
  <c r="M54" i="8"/>
  <c r="I53" i="8"/>
  <c r="J53" i="8"/>
  <c r="K53" i="8"/>
  <c r="L53" i="8"/>
  <c r="M53" i="8"/>
  <c r="I52" i="8"/>
  <c r="J52" i="8"/>
  <c r="K52" i="8"/>
  <c r="S52" i="8" s="1"/>
  <c r="L52" i="8"/>
  <c r="M52" i="8"/>
  <c r="I51" i="8"/>
  <c r="J51" i="8"/>
  <c r="N51" i="8" s="1"/>
  <c r="K51" i="8"/>
  <c r="L51" i="8"/>
  <c r="M51" i="8"/>
  <c r="S51" i="8"/>
  <c r="I50" i="8"/>
  <c r="J50" i="8"/>
  <c r="K50" i="8"/>
  <c r="L50" i="8"/>
  <c r="M50" i="8"/>
  <c r="I49" i="8"/>
  <c r="J49" i="8"/>
  <c r="K49" i="8"/>
  <c r="L49" i="8"/>
  <c r="M49" i="8"/>
  <c r="S49" i="8"/>
  <c r="I48" i="8"/>
  <c r="J48" i="8"/>
  <c r="K48" i="8"/>
  <c r="L48" i="8"/>
  <c r="M48" i="8"/>
  <c r="I47" i="8"/>
  <c r="S47" i="8" s="1"/>
  <c r="J47" i="8"/>
  <c r="K47" i="8"/>
  <c r="L47" i="8"/>
  <c r="M47" i="8"/>
  <c r="I46" i="8"/>
  <c r="J46" i="8"/>
  <c r="K46" i="8"/>
  <c r="S46" i="8" s="1"/>
  <c r="L46" i="8"/>
  <c r="M46" i="8"/>
  <c r="I45" i="8"/>
  <c r="J45" i="8"/>
  <c r="K45" i="8"/>
  <c r="L45" i="8"/>
  <c r="M45" i="8"/>
  <c r="I44" i="8"/>
  <c r="J44" i="8"/>
  <c r="K44" i="8"/>
  <c r="S44" i="8" s="1"/>
  <c r="L44" i="8"/>
  <c r="M44" i="8"/>
  <c r="I43" i="8"/>
  <c r="J43" i="8"/>
  <c r="K43" i="8"/>
  <c r="L43" i="8"/>
  <c r="M43" i="8"/>
  <c r="S43" i="8"/>
  <c r="I42" i="8"/>
  <c r="J42" i="8"/>
  <c r="K42" i="8"/>
  <c r="L42" i="8"/>
  <c r="M42" i="8"/>
  <c r="I41" i="8"/>
  <c r="J41" i="8"/>
  <c r="K41" i="8"/>
  <c r="L41" i="8"/>
  <c r="M41" i="8"/>
  <c r="S41" i="8"/>
  <c r="I40" i="8"/>
  <c r="J40" i="8"/>
  <c r="K40" i="8"/>
  <c r="L40" i="8"/>
  <c r="M40" i="8"/>
  <c r="I39" i="8"/>
  <c r="S39" i="8" s="1"/>
  <c r="J39" i="8"/>
  <c r="K39" i="8"/>
  <c r="L39" i="8"/>
  <c r="M39" i="8"/>
  <c r="I38" i="8"/>
  <c r="J38" i="8"/>
  <c r="K38" i="8"/>
  <c r="S38" i="8" s="1"/>
  <c r="L38" i="8"/>
  <c r="M38" i="8"/>
  <c r="I37" i="8"/>
  <c r="J37" i="8"/>
  <c r="K37" i="8"/>
  <c r="L37" i="8"/>
  <c r="M37" i="8"/>
  <c r="I36" i="8"/>
  <c r="J36" i="8"/>
  <c r="K36" i="8"/>
  <c r="S36" i="8" s="1"/>
  <c r="L36" i="8"/>
  <c r="M36" i="8"/>
  <c r="I35" i="8"/>
  <c r="J35" i="8"/>
  <c r="N35" i="8" s="1"/>
  <c r="K35" i="8"/>
  <c r="L35" i="8"/>
  <c r="M35" i="8"/>
  <c r="I34" i="8"/>
  <c r="J34" i="8"/>
  <c r="K34" i="8"/>
  <c r="L34" i="8"/>
  <c r="M34" i="8"/>
  <c r="I33" i="8"/>
  <c r="J33" i="8"/>
  <c r="K33" i="8"/>
  <c r="L33" i="8"/>
  <c r="M33" i="8"/>
  <c r="S33" i="8"/>
  <c r="I32" i="8"/>
  <c r="J32" i="8"/>
  <c r="K32" i="8"/>
  <c r="L32" i="8"/>
  <c r="M32" i="8"/>
  <c r="I31" i="8"/>
  <c r="S31" i="8" s="1"/>
  <c r="J31" i="8"/>
  <c r="K31" i="8"/>
  <c r="L31" i="8"/>
  <c r="M31" i="8"/>
  <c r="I30" i="8"/>
  <c r="J30" i="8"/>
  <c r="K30" i="8"/>
  <c r="S30" i="8" s="1"/>
  <c r="L30" i="8"/>
  <c r="M30" i="8"/>
  <c r="I29" i="8"/>
  <c r="J29" i="8"/>
  <c r="K29" i="8"/>
  <c r="L29" i="8"/>
  <c r="M29" i="8"/>
  <c r="I28" i="8"/>
  <c r="J28" i="8"/>
  <c r="K28" i="8"/>
  <c r="S28" i="8" s="1"/>
  <c r="L28" i="8"/>
  <c r="M28" i="8"/>
  <c r="I27" i="8"/>
  <c r="J27" i="8"/>
  <c r="K27" i="8"/>
  <c r="L27" i="8"/>
  <c r="M27" i="8"/>
  <c r="S27" i="8"/>
  <c r="I26" i="8"/>
  <c r="J26" i="8"/>
  <c r="K26" i="8"/>
  <c r="L26" i="8"/>
  <c r="M26" i="8"/>
  <c r="I25" i="8"/>
  <c r="J25" i="8"/>
  <c r="K25" i="8"/>
  <c r="L25" i="8"/>
  <c r="M25" i="8"/>
  <c r="S25" i="8"/>
  <c r="I24" i="8"/>
  <c r="J24" i="8"/>
  <c r="K24" i="8"/>
  <c r="L24" i="8"/>
  <c r="M24" i="8"/>
  <c r="I23" i="8"/>
  <c r="S23" i="8" s="1"/>
  <c r="J23" i="8"/>
  <c r="K23" i="8"/>
  <c r="L23" i="8"/>
  <c r="M23" i="8"/>
  <c r="I22" i="8"/>
  <c r="J22" i="8"/>
  <c r="K22" i="8"/>
  <c r="S22" i="8" s="1"/>
  <c r="L22" i="8"/>
  <c r="M22" i="8"/>
  <c r="I21" i="8"/>
  <c r="J21" i="8"/>
  <c r="K21" i="8"/>
  <c r="L21" i="8"/>
  <c r="M21" i="8"/>
  <c r="I20" i="8"/>
  <c r="J20" i="8"/>
  <c r="K20" i="8"/>
  <c r="S20" i="8" s="1"/>
  <c r="L20" i="8"/>
  <c r="M20" i="8"/>
  <c r="I19" i="8"/>
  <c r="J19" i="8"/>
  <c r="N19" i="8" s="1"/>
  <c r="K19" i="8"/>
  <c r="L19" i="8"/>
  <c r="M19" i="8"/>
  <c r="S19" i="8"/>
  <c r="I18" i="8"/>
  <c r="J18" i="8"/>
  <c r="K18" i="8"/>
  <c r="L18" i="8"/>
  <c r="M18" i="8"/>
  <c r="D36" i="4"/>
  <c r="E36" i="4" s="1"/>
  <c r="C36" i="4"/>
  <c r="B36" i="4"/>
  <c r="L47" i="4"/>
  <c r="D47" i="4"/>
  <c r="E47" i="4" s="1"/>
  <c r="C47" i="4"/>
  <c r="B47" i="4"/>
  <c r="E51" i="4"/>
  <c r="K13" i="40" s="1"/>
  <c r="W13" i="40"/>
  <c r="E30" i="4"/>
  <c r="W7" i="40" s="1"/>
  <c r="K7" i="40"/>
  <c r="H28" i="4"/>
  <c r="I28" i="4"/>
  <c r="J28" i="4" s="1"/>
  <c r="C28" i="4"/>
  <c r="I17" i="4"/>
  <c r="J17" i="4" s="1"/>
  <c r="R28" i="4" s="1"/>
  <c r="H17" i="4"/>
  <c r="D17" i="4"/>
  <c r="C17" i="4"/>
  <c r="B17" i="4"/>
  <c r="D28" i="4"/>
  <c r="E28" i="4" s="1"/>
  <c r="O28" i="4" s="1"/>
  <c r="K6" i="40" s="1"/>
  <c r="L28" i="4"/>
  <c r="B28" i="4"/>
  <c r="V93" i="6"/>
  <c r="X93" i="6" s="1"/>
  <c r="P94" i="7" s="1"/>
  <c r="V92" i="6"/>
  <c r="X92" i="6" s="1"/>
  <c r="P93" i="7"/>
  <c r="V91" i="6"/>
  <c r="X91" i="6" s="1"/>
  <c r="P92" i="7" s="1"/>
  <c r="V90" i="6"/>
  <c r="X90" i="6" s="1"/>
  <c r="P91" i="7"/>
  <c r="V89" i="6"/>
  <c r="X89" i="6" s="1"/>
  <c r="P90" i="7" s="1"/>
  <c r="V88" i="6"/>
  <c r="X88" i="6" s="1"/>
  <c r="P89" i="7" s="1"/>
  <c r="V87" i="6"/>
  <c r="X87" i="6" s="1"/>
  <c r="P88" i="7" s="1"/>
  <c r="V86" i="6"/>
  <c r="X86" i="6" s="1"/>
  <c r="P87" i="7" s="1"/>
  <c r="V85" i="6"/>
  <c r="X85" i="6" s="1"/>
  <c r="P86" i="7" s="1"/>
  <c r="V84" i="6"/>
  <c r="X84" i="6" s="1"/>
  <c r="P85" i="7"/>
  <c r="P90" i="40" s="1"/>
  <c r="V83" i="6"/>
  <c r="X83" i="6" s="1"/>
  <c r="P84" i="7" s="1"/>
  <c r="V82" i="6"/>
  <c r="X82" i="6" s="1"/>
  <c r="P83" i="7"/>
  <c r="V81" i="6"/>
  <c r="X81" i="6" s="1"/>
  <c r="P82" i="7" s="1"/>
  <c r="P87" i="40" s="1"/>
  <c r="V80" i="6"/>
  <c r="X80" i="6" s="1"/>
  <c r="P81" i="7" s="1"/>
  <c r="V79" i="6"/>
  <c r="X79" i="6" s="1"/>
  <c r="P80" i="7" s="1"/>
  <c r="V78" i="6"/>
  <c r="X78" i="6" s="1"/>
  <c r="P79" i="7" s="1"/>
  <c r="V77" i="6"/>
  <c r="X77" i="6" s="1"/>
  <c r="P78" i="7" s="1"/>
  <c r="V76" i="6"/>
  <c r="X76" i="6" s="1"/>
  <c r="P77" i="7"/>
  <c r="V75" i="6"/>
  <c r="X75" i="6" s="1"/>
  <c r="P76" i="7" s="1"/>
  <c r="V74" i="6"/>
  <c r="X74" i="6" s="1"/>
  <c r="P75" i="7"/>
  <c r="V73" i="6"/>
  <c r="X73" i="6" s="1"/>
  <c r="P74" i="7" s="1"/>
  <c r="V72" i="6"/>
  <c r="X72" i="6" s="1"/>
  <c r="P73" i="7" s="1"/>
  <c r="V71" i="6"/>
  <c r="X71" i="6" s="1"/>
  <c r="P72" i="7" s="1"/>
  <c r="V70" i="6"/>
  <c r="X70" i="6" s="1"/>
  <c r="P71" i="7" s="1"/>
  <c r="V69" i="6"/>
  <c r="X69" i="6" s="1"/>
  <c r="P70" i="7" s="1"/>
  <c r="V68" i="6"/>
  <c r="X68" i="6" s="1"/>
  <c r="P69" i="7"/>
  <c r="P74" i="40" s="1"/>
  <c r="V67" i="6"/>
  <c r="X67" i="6" s="1"/>
  <c r="P68" i="7" s="1"/>
  <c r="V66" i="6"/>
  <c r="X66" i="6" s="1"/>
  <c r="P67" i="7"/>
  <c r="V65" i="6"/>
  <c r="X65" i="6" s="1"/>
  <c r="P66" i="7" s="1"/>
  <c r="P71" i="40" s="1"/>
  <c r="V64" i="6"/>
  <c r="X64" i="6" s="1"/>
  <c r="P65" i="7" s="1"/>
  <c r="V63" i="6"/>
  <c r="X63" i="6" s="1"/>
  <c r="P64" i="7" s="1"/>
  <c r="V62" i="6"/>
  <c r="X62" i="6" s="1"/>
  <c r="P63" i="7" s="1"/>
  <c r="V61" i="6"/>
  <c r="X61" i="6" s="1"/>
  <c r="P62" i="7" s="1"/>
  <c r="V60" i="6"/>
  <c r="X60" i="6" s="1"/>
  <c r="P61" i="7"/>
  <c r="V59" i="6"/>
  <c r="X59" i="6" s="1"/>
  <c r="P60" i="7" s="1"/>
  <c r="V58" i="6"/>
  <c r="X58" i="6" s="1"/>
  <c r="P59" i="7"/>
  <c r="V57" i="6"/>
  <c r="X57" i="6" s="1"/>
  <c r="P58" i="7" s="1"/>
  <c r="V56" i="6"/>
  <c r="X56" i="6" s="1"/>
  <c r="P57" i="7" s="1"/>
  <c r="V55" i="6"/>
  <c r="X55" i="6" s="1"/>
  <c r="P56" i="7" s="1"/>
  <c r="V54" i="6"/>
  <c r="X54" i="6" s="1"/>
  <c r="P55" i="7" s="1"/>
  <c r="V53" i="6"/>
  <c r="X53" i="6" s="1"/>
  <c r="P54" i="7" s="1"/>
  <c r="V52" i="6"/>
  <c r="X52" i="6" s="1"/>
  <c r="P53" i="7"/>
  <c r="P58" i="40" s="1"/>
  <c r="V51" i="6"/>
  <c r="X51" i="6" s="1"/>
  <c r="P52" i="7" s="1"/>
  <c r="V50" i="6"/>
  <c r="X50" i="6"/>
  <c r="P51" i="7" s="1"/>
  <c r="V49" i="6"/>
  <c r="X49" i="6" s="1"/>
  <c r="P50" i="7" s="1"/>
  <c r="P55" i="40" s="1"/>
  <c r="V48" i="6"/>
  <c r="X48" i="6" s="1"/>
  <c r="P49" i="7" s="1"/>
  <c r="V47" i="6"/>
  <c r="X47" i="6" s="1"/>
  <c r="P48" i="7" s="1"/>
  <c r="V46" i="6"/>
  <c r="X46" i="6" s="1"/>
  <c r="P47" i="7" s="1"/>
  <c r="V45" i="6"/>
  <c r="X45" i="6" s="1"/>
  <c r="P46" i="7" s="1"/>
  <c r="V44" i="6"/>
  <c r="X44" i="6"/>
  <c r="P45" i="7" s="1"/>
  <c r="V43" i="6"/>
  <c r="X43" i="6" s="1"/>
  <c r="P44" i="7" s="1"/>
  <c r="V42" i="6"/>
  <c r="X42" i="6"/>
  <c r="P43" i="7" s="1"/>
  <c r="V41" i="6"/>
  <c r="X41" i="6" s="1"/>
  <c r="P42" i="7" s="1"/>
  <c r="V40" i="6"/>
  <c r="X40" i="6" s="1"/>
  <c r="P41" i="7" s="1"/>
  <c r="V39" i="6"/>
  <c r="X39" i="6" s="1"/>
  <c r="P40" i="7" s="1"/>
  <c r="V38" i="6"/>
  <c r="X38" i="6" s="1"/>
  <c r="P39" i="7" s="1"/>
  <c r="V37" i="6"/>
  <c r="X37" i="6" s="1"/>
  <c r="P38" i="7" s="1"/>
  <c r="V36" i="6"/>
  <c r="X36" i="6"/>
  <c r="P37" i="7" s="1"/>
  <c r="P42" i="40" s="1"/>
  <c r="V35" i="6"/>
  <c r="X35" i="6" s="1"/>
  <c r="P36" i="7" s="1"/>
  <c r="V34" i="6"/>
  <c r="X34" i="6"/>
  <c r="P35" i="7" s="1"/>
  <c r="V33" i="6"/>
  <c r="X33" i="6" s="1"/>
  <c r="P34" i="7" s="1"/>
  <c r="P39" i="40" s="1"/>
  <c r="V32" i="6"/>
  <c r="X32" i="6" s="1"/>
  <c r="P33" i="7" s="1"/>
  <c r="V31" i="6"/>
  <c r="X31" i="6" s="1"/>
  <c r="P32" i="7" s="1"/>
  <c r="V30" i="6"/>
  <c r="X30" i="6" s="1"/>
  <c r="P31" i="7" s="1"/>
  <c r="V29" i="6"/>
  <c r="X29" i="6" s="1"/>
  <c r="P30" i="7" s="1"/>
  <c r="V28" i="6"/>
  <c r="X28" i="6"/>
  <c r="P29" i="7" s="1"/>
  <c r="V27" i="6"/>
  <c r="X27" i="6" s="1"/>
  <c r="P28" i="7" s="1"/>
  <c r="V26" i="6"/>
  <c r="X26" i="6"/>
  <c r="P27" i="7" s="1"/>
  <c r="V25" i="6"/>
  <c r="X25" i="6" s="1"/>
  <c r="P26" i="7" s="1"/>
  <c r="V24" i="6"/>
  <c r="X24" i="6" s="1"/>
  <c r="P25" i="7" s="1"/>
  <c r="V23" i="6"/>
  <c r="X23" i="6" s="1"/>
  <c r="P24" i="7" s="1"/>
  <c r="V22" i="6"/>
  <c r="X22" i="6" s="1"/>
  <c r="P23" i="7" s="1"/>
  <c r="V21" i="6"/>
  <c r="X21" i="6" s="1"/>
  <c r="P22" i="7" s="1"/>
  <c r="V20" i="6"/>
  <c r="X20" i="6"/>
  <c r="P21" i="7" s="1"/>
  <c r="P26" i="40" s="1"/>
  <c r="V19" i="6"/>
  <c r="X19" i="6" s="1"/>
  <c r="P20" i="7" s="1"/>
  <c r="V18" i="6"/>
  <c r="X18" i="6"/>
  <c r="P19" i="7" s="1"/>
  <c r="V17" i="6"/>
  <c r="X17" i="6" s="1"/>
  <c r="P18" i="7" s="1"/>
  <c r="P23" i="40" s="1"/>
  <c r="V16" i="6"/>
  <c r="X16" i="6" s="1"/>
  <c r="P17" i="7" s="1"/>
  <c r="V15" i="6"/>
  <c r="X15" i="6" s="1"/>
  <c r="P16" i="7" s="1"/>
  <c r="V14" i="6"/>
  <c r="X14" i="6" s="1"/>
  <c r="P15" i="7" s="1"/>
  <c r="V13" i="6"/>
  <c r="X13" i="6" s="1"/>
  <c r="P14" i="7" s="1"/>
  <c r="S13" i="6"/>
  <c r="S14" i="6" s="1"/>
  <c r="S15" i="6" s="1"/>
  <c r="S16" i="6" s="1"/>
  <c r="S17" i="6" s="1"/>
  <c r="S18" i="6" s="1"/>
  <c r="S19" i="6" s="1"/>
  <c r="S20" i="6" s="1"/>
  <c r="S21" i="6" s="1"/>
  <c r="S22" i="6" s="1"/>
  <c r="S23" i="6" s="1"/>
  <c r="S24" i="6" s="1"/>
  <c r="S25" i="6" s="1"/>
  <c r="S26" i="6" s="1"/>
  <c r="S27" i="6" s="1"/>
  <c r="S28" i="6" s="1"/>
  <c r="S29" i="6" s="1"/>
  <c r="S30" i="6" s="1"/>
  <c r="S31" i="6" s="1"/>
  <c r="S32" i="6" s="1"/>
  <c r="S33" i="6" s="1"/>
  <c r="S34" i="6" s="1"/>
  <c r="S35" i="6" s="1"/>
  <c r="S36" i="6" s="1"/>
  <c r="S37" i="6" s="1"/>
  <c r="S38" i="6" s="1"/>
  <c r="S39" i="6" s="1"/>
  <c r="S40" i="6" s="1"/>
  <c r="S41" i="6" s="1"/>
  <c r="S42" i="6" s="1"/>
  <c r="S43" i="6" s="1"/>
  <c r="S44" i="6" s="1"/>
  <c r="S45" i="6" s="1"/>
  <c r="S46" i="6" s="1"/>
  <c r="S47" i="6" s="1"/>
  <c r="S48" i="6" s="1"/>
  <c r="S49" i="6" s="1"/>
  <c r="S50" i="6" s="1"/>
  <c r="S51" i="6" s="1"/>
  <c r="S52" i="6" s="1"/>
  <c r="S53" i="6" s="1"/>
  <c r="S54" i="6" s="1"/>
  <c r="S55" i="6" s="1"/>
  <c r="S56" i="6" s="1"/>
  <c r="S57" i="6" s="1"/>
  <c r="S58" i="6" s="1"/>
  <c r="S59" i="6" s="1"/>
  <c r="S60" i="6" s="1"/>
  <c r="S61" i="6" s="1"/>
  <c r="S62" i="6" s="1"/>
  <c r="S63" i="6" s="1"/>
  <c r="S64" i="6" s="1"/>
  <c r="S65" i="6" s="1"/>
  <c r="S66" i="6" s="1"/>
  <c r="S67" i="6" s="1"/>
  <c r="S68" i="6" s="1"/>
  <c r="S69" i="6" s="1"/>
  <c r="S70" i="6" s="1"/>
  <c r="S71" i="6" s="1"/>
  <c r="S72" i="6" s="1"/>
  <c r="S73" i="6" s="1"/>
  <c r="S74" i="6" s="1"/>
  <c r="S75" i="6" s="1"/>
  <c r="S76" i="6" s="1"/>
  <c r="S77" i="6" s="1"/>
  <c r="S78" i="6" s="1"/>
  <c r="S79" i="6" s="1"/>
  <c r="S80" i="6" s="1"/>
  <c r="S81" i="6" s="1"/>
  <c r="S82" i="6" s="1"/>
  <c r="S83" i="6" s="1"/>
  <c r="S84" i="6" s="1"/>
  <c r="S85" i="6" s="1"/>
  <c r="S86" i="6" s="1"/>
  <c r="S87" i="6" s="1"/>
  <c r="S88" i="6" s="1"/>
  <c r="S89" i="6" s="1"/>
  <c r="S90" i="6" s="1"/>
  <c r="S91" i="6" s="1"/>
  <c r="S92" i="6" s="1"/>
  <c r="S93" i="6" s="1"/>
  <c r="B19" i="39"/>
  <c r="B20" i="39" s="1"/>
  <c r="B21" i="39" s="1"/>
  <c r="B22" i="39" s="1"/>
  <c r="B23" i="39" s="1"/>
  <c r="B24" i="39" s="1"/>
  <c r="B25" i="39" s="1"/>
  <c r="B26" i="39" s="1"/>
  <c r="B27" i="39" s="1"/>
  <c r="B28" i="39" s="1"/>
  <c r="B29" i="39" s="1"/>
  <c r="B30" i="39" s="1"/>
  <c r="B31" i="39" s="1"/>
  <c r="B32" i="39" s="1"/>
  <c r="B33" i="39" s="1"/>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B67" i="39" s="1"/>
  <c r="B68" i="39" s="1"/>
  <c r="B69" i="39" s="1"/>
  <c r="B70" i="39" s="1"/>
  <c r="B71" i="39" s="1"/>
  <c r="B72" i="39" s="1"/>
  <c r="B73" i="39" s="1"/>
  <c r="B74" i="39" s="1"/>
  <c r="B75" i="39" s="1"/>
  <c r="B76" i="39" s="1"/>
  <c r="B77" i="39" s="1"/>
  <c r="B78" i="39" s="1"/>
  <c r="B79" i="39" s="1"/>
  <c r="B80" i="39" s="1"/>
  <c r="B81" i="39" s="1"/>
  <c r="B82" i="39" s="1"/>
  <c r="B83" i="39" s="1"/>
  <c r="B84" i="39" s="1"/>
  <c r="B85" i="39" s="1"/>
  <c r="B86" i="39" s="1"/>
  <c r="B87" i="39" s="1"/>
  <c r="B88" i="39" s="1"/>
  <c r="B89" i="39" s="1"/>
  <c r="B90" i="39" s="1"/>
  <c r="B91" i="39" s="1"/>
  <c r="B92" i="39" s="1"/>
  <c r="B93" i="39" s="1"/>
  <c r="B94" i="39" s="1"/>
  <c r="B95" i="39" s="1"/>
  <c r="B96" i="39" s="1"/>
  <c r="B97" i="39" s="1"/>
  <c r="B98" i="39" s="1"/>
  <c r="D4" i="39"/>
  <c r="G13" i="8"/>
  <c r="F13" i="8"/>
  <c r="E13" i="8"/>
  <c r="D13" i="8"/>
  <c r="C13" i="8"/>
  <c r="D15" i="4"/>
  <c r="D16" i="4"/>
  <c r="D27" i="4"/>
  <c r="E27" i="4" s="1"/>
  <c r="B3" i="37"/>
  <c r="I16" i="4"/>
  <c r="J16" i="4" s="1"/>
  <c r="H16" i="4"/>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20" i="37"/>
  <c r="D19" i="37"/>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82" i="36"/>
  <c r="D83" i="36"/>
  <c r="D84" i="36"/>
  <c r="D85" i="36"/>
  <c r="D86" i="36"/>
  <c r="D87" i="36"/>
  <c r="D88" i="36"/>
  <c r="D89" i="36"/>
  <c r="D90" i="36"/>
  <c r="D91" i="36"/>
  <c r="D92" i="36"/>
  <c r="D93" i="36"/>
  <c r="D94" i="36"/>
  <c r="D95" i="36"/>
  <c r="D96" i="36"/>
  <c r="D97" i="36"/>
  <c r="D98" i="36"/>
  <c r="D99" i="36"/>
  <c r="D20" i="36"/>
  <c r="D19" i="36"/>
  <c r="D35" i="4"/>
  <c r="E35" i="4" s="1"/>
  <c r="O35" i="4" s="1"/>
  <c r="C35" i="4"/>
  <c r="C16" i="4"/>
  <c r="C42" i="4"/>
  <c r="D42" i="4"/>
  <c r="E42" i="4" s="1"/>
  <c r="C43" i="4"/>
  <c r="D43" i="4"/>
  <c r="E43" i="4"/>
  <c r="O43" i="4" s="1"/>
  <c r="C44" i="4"/>
  <c r="D44" i="4"/>
  <c r="E44" i="4" s="1"/>
  <c r="O44" i="4" s="1"/>
  <c r="D41" i="4"/>
  <c r="E41" i="4" s="1"/>
  <c r="O41" i="4" s="1"/>
  <c r="C41" i="4"/>
  <c r="B35" i="4"/>
  <c r="B16" i="4"/>
  <c r="I64" i="4"/>
  <c r="J64" i="4" s="1"/>
  <c r="R64" i="4" s="1"/>
  <c r="I63" i="4"/>
  <c r="J63" i="4" s="1"/>
  <c r="R63" i="4" s="1"/>
  <c r="I62" i="4"/>
  <c r="J62" i="4" s="1"/>
  <c r="D64" i="4"/>
  <c r="E64" i="4" s="1"/>
  <c r="O64" i="4" s="1"/>
  <c r="D63" i="4"/>
  <c r="E63" i="4" s="1"/>
  <c r="D62" i="4"/>
  <c r="E62" i="4" s="1"/>
  <c r="E5" i="17"/>
  <c r="B5" i="17"/>
  <c r="H5" i="17"/>
  <c r="I3" i="7"/>
  <c r="B3" i="35"/>
  <c r="B3" i="34"/>
  <c r="D39" i="4"/>
  <c r="E39" i="4" s="1"/>
  <c r="O39" i="4" s="1"/>
  <c r="K8" i="34" s="1"/>
  <c r="K10" i="34" s="1"/>
  <c r="D38" i="4"/>
  <c r="E38" i="4" s="1"/>
  <c r="O38" i="4" s="1"/>
  <c r="C39" i="4"/>
  <c r="C38" i="4"/>
  <c r="B44" i="4"/>
  <c r="B43" i="4"/>
  <c r="B42" i="4"/>
  <c r="B41" i="4"/>
  <c r="B40" i="4"/>
  <c r="B39" i="4"/>
  <c r="B38" i="4"/>
  <c r="B37" i="4"/>
  <c r="B34" i="4"/>
  <c r="B46" i="4"/>
  <c r="D46" i="4"/>
  <c r="E46" i="4" s="1"/>
  <c r="C46" i="4"/>
  <c r="I93" i="6"/>
  <c r="I92" i="6"/>
  <c r="I91" i="6"/>
  <c r="I90" i="6"/>
  <c r="I89" i="6"/>
  <c r="I88" i="6"/>
  <c r="I87" i="6"/>
  <c r="G88" i="7" s="1"/>
  <c r="P93" i="34" s="1"/>
  <c r="I86" i="6"/>
  <c r="I85" i="6"/>
  <c r="I84" i="6"/>
  <c r="G85" i="7" s="1"/>
  <c r="P90" i="34" s="1"/>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G54" i="7" s="1"/>
  <c r="P59" i="34" s="1"/>
  <c r="I52" i="6"/>
  <c r="I51" i="6"/>
  <c r="I50" i="6"/>
  <c r="I49" i="6"/>
  <c r="I48" i="6"/>
  <c r="I47" i="6"/>
  <c r="I46" i="6"/>
  <c r="I45" i="6"/>
  <c r="I44" i="6"/>
  <c r="G45" i="7" s="1"/>
  <c r="P50" i="34" s="1"/>
  <c r="I43" i="6"/>
  <c r="I42" i="6"/>
  <c r="G43" i="7" s="1"/>
  <c r="P48" i="34" s="1"/>
  <c r="I41" i="6"/>
  <c r="I40" i="6"/>
  <c r="I39" i="6"/>
  <c r="I38" i="6"/>
  <c r="I37" i="6"/>
  <c r="I36" i="6"/>
  <c r="I35" i="6"/>
  <c r="I34" i="6"/>
  <c r="I33" i="6"/>
  <c r="I32" i="6"/>
  <c r="G33" i="7" s="1"/>
  <c r="P38" i="34" s="1"/>
  <c r="I31" i="6"/>
  <c r="I30" i="6"/>
  <c r="I29" i="6"/>
  <c r="G30" i="7" s="1"/>
  <c r="P35" i="34" s="1"/>
  <c r="I28" i="6"/>
  <c r="I27" i="6"/>
  <c r="G28" i="7" s="1"/>
  <c r="P33" i="34" s="1"/>
  <c r="I26" i="6"/>
  <c r="I25" i="6"/>
  <c r="G26" i="7" s="1"/>
  <c r="P31" i="34" s="1"/>
  <c r="I24" i="6"/>
  <c r="I23" i="6"/>
  <c r="I22" i="6"/>
  <c r="I21" i="6"/>
  <c r="G22" i="7" s="1"/>
  <c r="P27" i="34" s="1"/>
  <c r="I20" i="6"/>
  <c r="I19" i="6"/>
  <c r="I18" i="6"/>
  <c r="I17" i="6"/>
  <c r="I16" i="6"/>
  <c r="I15" i="6"/>
  <c r="G16" i="7" s="1"/>
  <c r="P21" i="34" s="1"/>
  <c r="I14" i="6"/>
  <c r="G93" i="6"/>
  <c r="G92" i="6"/>
  <c r="G91" i="6"/>
  <c r="E92" i="7" s="1"/>
  <c r="P97" i="35" s="1"/>
  <c r="G90" i="6"/>
  <c r="G89" i="6"/>
  <c r="G88" i="6"/>
  <c r="G87" i="6"/>
  <c r="G86" i="6"/>
  <c r="G85" i="6"/>
  <c r="G84" i="6"/>
  <c r="G83" i="6"/>
  <c r="G82" i="6"/>
  <c r="G81" i="6"/>
  <c r="G80" i="6"/>
  <c r="E81" i="7" s="1"/>
  <c r="P86" i="35" s="1"/>
  <c r="G79" i="6"/>
  <c r="G78" i="6"/>
  <c r="G77" i="6"/>
  <c r="G76" i="6"/>
  <c r="G75" i="6"/>
  <c r="G74" i="6"/>
  <c r="G73" i="6"/>
  <c r="E74" i="7" s="1"/>
  <c r="P79" i="35" s="1"/>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E35" i="7" s="1"/>
  <c r="P40" i="35" s="1"/>
  <c r="G33" i="6"/>
  <c r="G32" i="6"/>
  <c r="G31" i="6"/>
  <c r="G30" i="6"/>
  <c r="G29" i="6"/>
  <c r="G28" i="6"/>
  <c r="G27" i="6"/>
  <c r="E28" i="7" s="1"/>
  <c r="P33" i="35" s="1"/>
  <c r="G26" i="6"/>
  <c r="G25" i="6"/>
  <c r="E26" i="7" s="1"/>
  <c r="P31" i="35" s="1"/>
  <c r="G24" i="6"/>
  <c r="G23" i="6"/>
  <c r="G22" i="6"/>
  <c r="G21" i="6"/>
  <c r="G20" i="6"/>
  <c r="G19" i="6"/>
  <c r="G18" i="6"/>
  <c r="G17" i="6"/>
  <c r="G16" i="6"/>
  <c r="G15" i="6"/>
  <c r="G14" i="6"/>
  <c r="I13" i="6"/>
  <c r="G13" i="6"/>
  <c r="I2" i="7"/>
  <c r="O21" i="6"/>
  <c r="I11" i="4"/>
  <c r="J11" i="4"/>
  <c r="I27" i="4"/>
  <c r="J27" i="4" s="1"/>
  <c r="R27" i="4" s="1"/>
  <c r="H11" i="39"/>
  <c r="H27" i="4"/>
  <c r="C27" i="4"/>
  <c r="B27" i="4"/>
  <c r="B21" i="4"/>
  <c r="H15" i="4"/>
  <c r="I15" i="4"/>
  <c r="D21" i="4"/>
  <c r="O21" i="4"/>
  <c r="K6" i="35" s="1"/>
  <c r="D20" i="4"/>
  <c r="O20" i="4" s="1"/>
  <c r="K6" i="34" s="1"/>
  <c r="C15" i="4"/>
  <c r="I21" i="4"/>
  <c r="J21" i="4" s="1"/>
  <c r="R21" i="4" s="1"/>
  <c r="I20" i="4"/>
  <c r="J20" i="4" s="1"/>
  <c r="R20" i="4" s="1"/>
  <c r="H21" i="4"/>
  <c r="H20" i="4"/>
  <c r="C21" i="4"/>
  <c r="C20" i="4"/>
  <c r="B20" i="4"/>
  <c r="I25" i="4"/>
  <c r="J25" i="4" s="1"/>
  <c r="R25" i="4" s="1"/>
  <c r="I24" i="4"/>
  <c r="J24" i="4" s="1"/>
  <c r="R24" i="4" s="1"/>
  <c r="I23" i="4"/>
  <c r="J23" i="4" s="1"/>
  <c r="R23" i="4" s="1"/>
  <c r="I22" i="4"/>
  <c r="J22" i="4" s="1"/>
  <c r="R22" i="4" s="1"/>
  <c r="D25" i="4"/>
  <c r="O25" i="4" s="1"/>
  <c r="D24" i="4"/>
  <c r="O24" i="4" s="1"/>
  <c r="D23" i="4"/>
  <c r="O23" i="4" s="1"/>
  <c r="D22" i="4"/>
  <c r="O22" i="4"/>
  <c r="H25" i="4"/>
  <c r="H24" i="4"/>
  <c r="H23" i="4"/>
  <c r="H22" i="4"/>
  <c r="C25" i="4"/>
  <c r="C24" i="4"/>
  <c r="C23" i="4"/>
  <c r="C22" i="4"/>
  <c r="R62" i="4"/>
  <c r="AC4" i="5"/>
  <c r="AB4" i="5"/>
  <c r="Z4" i="5"/>
  <c r="AH25" i="5" s="1"/>
  <c r="AD97" i="17"/>
  <c r="AD96" i="17"/>
  <c r="AD95" i="17"/>
  <c r="AD94" i="17"/>
  <c r="AD93" i="17"/>
  <c r="AD92" i="17"/>
  <c r="AD91" i="17"/>
  <c r="AD90" i="17"/>
  <c r="AD89" i="17"/>
  <c r="AD88" i="17"/>
  <c r="AD87" i="17"/>
  <c r="AD86" i="17"/>
  <c r="AD85" i="17"/>
  <c r="AD84" i="17"/>
  <c r="AD83" i="17"/>
  <c r="AD82" i="17"/>
  <c r="AD81" i="17"/>
  <c r="AD80" i="17"/>
  <c r="AD79" i="17"/>
  <c r="AD78" i="17"/>
  <c r="AD77" i="17"/>
  <c r="AD76" i="17"/>
  <c r="AD75" i="17"/>
  <c r="AD74" i="17"/>
  <c r="AD73" i="17"/>
  <c r="AD72" i="17"/>
  <c r="AD71" i="17"/>
  <c r="AD70" i="17"/>
  <c r="AD69" i="17"/>
  <c r="AD68" i="17"/>
  <c r="AD67" i="17"/>
  <c r="AD66" i="17"/>
  <c r="AD65" i="17"/>
  <c r="AD64" i="17"/>
  <c r="AD63" i="17"/>
  <c r="AD62" i="17"/>
  <c r="AD61" i="17"/>
  <c r="AD60" i="17"/>
  <c r="AD59" i="17"/>
  <c r="AD58" i="17"/>
  <c r="AD57" i="17"/>
  <c r="AD56" i="17"/>
  <c r="AD55" i="17"/>
  <c r="AD54" i="17"/>
  <c r="AD53" i="17"/>
  <c r="AD52" i="17"/>
  <c r="AD51" i="17"/>
  <c r="AD50" i="17"/>
  <c r="AD49" i="17"/>
  <c r="AD48" i="17"/>
  <c r="AD47" i="17"/>
  <c r="AD46" i="17"/>
  <c r="AD45" i="17"/>
  <c r="AD44" i="17"/>
  <c r="AD43" i="17"/>
  <c r="AD42" i="17"/>
  <c r="AD41" i="17"/>
  <c r="AD40" i="17"/>
  <c r="AD39" i="17"/>
  <c r="AD38" i="17"/>
  <c r="AD37" i="17"/>
  <c r="AD36" i="17"/>
  <c r="AD35" i="17"/>
  <c r="AD34" i="17"/>
  <c r="AD33" i="17"/>
  <c r="AD32" i="17"/>
  <c r="AD31" i="17"/>
  <c r="AD30" i="17"/>
  <c r="AD29" i="17"/>
  <c r="AD28" i="17"/>
  <c r="AD27" i="17"/>
  <c r="AD26" i="17"/>
  <c r="AD25" i="17"/>
  <c r="AD24" i="17"/>
  <c r="AD23" i="17"/>
  <c r="AD22" i="17"/>
  <c r="AD21" i="17"/>
  <c r="AD20" i="17"/>
  <c r="AD19" i="17"/>
  <c r="AD18" i="17"/>
  <c r="AD17" i="17"/>
  <c r="S17" i="17"/>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D99"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20" i="33"/>
  <c r="D19" i="33"/>
  <c r="B3" i="33"/>
  <c r="D99"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20" i="32"/>
  <c r="D19" i="32"/>
  <c r="B3" i="32"/>
  <c r="D99"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20" i="31"/>
  <c r="D19" i="31"/>
  <c r="B3" i="31"/>
  <c r="I19" i="4"/>
  <c r="J19" i="4" s="1"/>
  <c r="R19" i="4" s="1"/>
  <c r="I18" i="4"/>
  <c r="J18" i="4" s="1"/>
  <c r="R18" i="4" s="1"/>
  <c r="W6" i="33" s="1"/>
  <c r="J15" i="4"/>
  <c r="R26" i="4" s="1"/>
  <c r="H19" i="4"/>
  <c r="H18" i="4"/>
  <c r="L15" i="4"/>
  <c r="L16" i="4"/>
  <c r="L19" i="4"/>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20" i="18"/>
  <c r="D19" i="18"/>
  <c r="E14" i="6"/>
  <c r="B6" i="30"/>
  <c r="B7" i="30" s="1"/>
  <c r="B8" i="30" s="1"/>
  <c r="B9" i="30" s="1"/>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B79" i="30" s="1"/>
  <c r="B80" i="30" s="1"/>
  <c r="B81" i="30" s="1"/>
  <c r="B82" i="30" s="1"/>
  <c r="B83" i="30" s="1"/>
  <c r="B84" i="30" s="1"/>
  <c r="B85" i="30" s="1"/>
  <c r="B86" i="30" s="1"/>
  <c r="B25" i="4"/>
  <c r="M14" i="6"/>
  <c r="N14" i="6"/>
  <c r="M15" i="6"/>
  <c r="N15" i="6"/>
  <c r="L16" i="7" s="1"/>
  <c r="M16" i="6"/>
  <c r="N16" i="6"/>
  <c r="M17" i="6"/>
  <c r="N17" i="6"/>
  <c r="L18" i="7" s="1"/>
  <c r="M18" i="6"/>
  <c r="N18" i="6"/>
  <c r="M19" i="6"/>
  <c r="N19" i="6"/>
  <c r="L20" i="7" s="1"/>
  <c r="M20" i="6"/>
  <c r="N20" i="6"/>
  <c r="M21" i="6"/>
  <c r="N21" i="6"/>
  <c r="M22" i="6"/>
  <c r="N22" i="6"/>
  <c r="M23" i="6"/>
  <c r="K24" i="7" s="1"/>
  <c r="N23" i="6"/>
  <c r="M24" i="6"/>
  <c r="N24" i="6"/>
  <c r="M25" i="6"/>
  <c r="K26" i="7" s="1"/>
  <c r="N25" i="6"/>
  <c r="L26" i="7" s="1"/>
  <c r="M26" i="6"/>
  <c r="N26" i="6"/>
  <c r="M27" i="6"/>
  <c r="K28" i="7" s="1"/>
  <c r="N27" i="6"/>
  <c r="M28" i="6"/>
  <c r="N28" i="6"/>
  <c r="M29" i="6"/>
  <c r="N29" i="6"/>
  <c r="M30" i="6"/>
  <c r="N30" i="6"/>
  <c r="M31" i="6"/>
  <c r="N31" i="6"/>
  <c r="M32" i="6"/>
  <c r="N32" i="6"/>
  <c r="M33" i="6"/>
  <c r="N33" i="6"/>
  <c r="O34" i="7"/>
  <c r="C39" i="37" s="1"/>
  <c r="M34" i="6"/>
  <c r="N34" i="6"/>
  <c r="M35" i="6"/>
  <c r="N35" i="6"/>
  <c r="M36" i="6"/>
  <c r="N36" i="6"/>
  <c r="L37" i="7" s="1"/>
  <c r="M37" i="6"/>
  <c r="N37" i="6"/>
  <c r="M38" i="6"/>
  <c r="N38" i="6"/>
  <c r="M39" i="6"/>
  <c r="N39" i="6"/>
  <c r="M40" i="6"/>
  <c r="N40" i="6"/>
  <c r="M41" i="6"/>
  <c r="N41" i="6"/>
  <c r="M42" i="6"/>
  <c r="N42" i="6"/>
  <c r="L43" i="7" s="1"/>
  <c r="M43" i="6"/>
  <c r="K44" i="7" s="1"/>
  <c r="N43" i="6"/>
  <c r="M44" i="6"/>
  <c r="N44" i="6"/>
  <c r="M45" i="6"/>
  <c r="N45" i="6"/>
  <c r="M46" i="6"/>
  <c r="N46" i="6"/>
  <c r="M47" i="6"/>
  <c r="K48" i="7" s="1"/>
  <c r="N47" i="6"/>
  <c r="M48" i="6"/>
  <c r="N48" i="6"/>
  <c r="M49" i="6"/>
  <c r="N49" i="6"/>
  <c r="M50" i="6"/>
  <c r="N50" i="6"/>
  <c r="M51" i="6"/>
  <c r="N51" i="6"/>
  <c r="M52" i="6"/>
  <c r="N52" i="6"/>
  <c r="M53" i="6"/>
  <c r="N53" i="6"/>
  <c r="M54" i="6"/>
  <c r="N54" i="6"/>
  <c r="M55" i="6"/>
  <c r="K56" i="7" s="1"/>
  <c r="N55" i="6"/>
  <c r="M56" i="6"/>
  <c r="N56" i="6"/>
  <c r="M57" i="6"/>
  <c r="N57" i="6"/>
  <c r="M58" i="6"/>
  <c r="N58" i="6"/>
  <c r="M59" i="6"/>
  <c r="N59" i="6"/>
  <c r="M60" i="6"/>
  <c r="N60" i="6"/>
  <c r="M61" i="6"/>
  <c r="N61" i="6"/>
  <c r="M62" i="6"/>
  <c r="K63" i="7" s="1"/>
  <c r="N62" i="6"/>
  <c r="M63" i="6"/>
  <c r="N63" i="6"/>
  <c r="L64" i="7" s="1"/>
  <c r="M64" i="6"/>
  <c r="N64" i="6"/>
  <c r="M65" i="6"/>
  <c r="N65" i="6"/>
  <c r="M66" i="6"/>
  <c r="N66" i="6"/>
  <c r="M67" i="6"/>
  <c r="N67" i="6"/>
  <c r="M68" i="6"/>
  <c r="N68" i="6"/>
  <c r="M69" i="6"/>
  <c r="N69" i="6"/>
  <c r="M70" i="6"/>
  <c r="N70" i="6"/>
  <c r="M71" i="6"/>
  <c r="N71" i="6"/>
  <c r="M72" i="6"/>
  <c r="N72" i="6"/>
  <c r="M73" i="6"/>
  <c r="N73" i="6"/>
  <c r="M74" i="6"/>
  <c r="K75" i="7" s="1"/>
  <c r="N74" i="6"/>
  <c r="M75" i="6"/>
  <c r="N75" i="6"/>
  <c r="M76" i="6"/>
  <c r="N76" i="6"/>
  <c r="M77" i="6"/>
  <c r="N77" i="6"/>
  <c r="M78" i="6"/>
  <c r="N78" i="6"/>
  <c r="M79" i="6"/>
  <c r="N79" i="6"/>
  <c r="M80" i="6"/>
  <c r="K81" i="7" s="1"/>
  <c r="N80" i="6"/>
  <c r="M81" i="6"/>
  <c r="N81" i="6"/>
  <c r="M82" i="6"/>
  <c r="N82" i="6"/>
  <c r="M83" i="6"/>
  <c r="N83" i="6"/>
  <c r="M84" i="6"/>
  <c r="N84" i="6"/>
  <c r="M85" i="6"/>
  <c r="N85" i="6"/>
  <c r="M86" i="6"/>
  <c r="N86" i="6"/>
  <c r="M87" i="6"/>
  <c r="N87" i="6"/>
  <c r="M88" i="6"/>
  <c r="N88" i="6"/>
  <c r="L89" i="7" s="1"/>
  <c r="M89" i="6"/>
  <c r="N89" i="6"/>
  <c r="M90" i="6"/>
  <c r="N90" i="6"/>
  <c r="M91" i="6"/>
  <c r="K92" i="7" s="1"/>
  <c r="N91" i="6"/>
  <c r="M92" i="6"/>
  <c r="N92" i="6"/>
  <c r="M93" i="6"/>
  <c r="N93" i="6"/>
  <c r="M13" i="6"/>
  <c r="N13" i="6"/>
  <c r="O42" i="4"/>
  <c r="C40" i="4"/>
  <c r="D40" i="4"/>
  <c r="E40" i="4" s="1"/>
  <c r="O40" i="4" s="1"/>
  <c r="K8" i="35" s="1"/>
  <c r="D37" i="4"/>
  <c r="E37" i="4" s="1"/>
  <c r="O37" i="4" s="1"/>
  <c r="W8" i="33" s="1"/>
  <c r="W9" i="33" s="1"/>
  <c r="C37" i="4"/>
  <c r="B24" i="4"/>
  <c r="B23" i="4"/>
  <c r="B22" i="4"/>
  <c r="B19" i="4"/>
  <c r="B18" i="4"/>
  <c r="L35" i="4"/>
  <c r="D34" i="4"/>
  <c r="E34" i="4" s="1"/>
  <c r="O34" i="4" s="1"/>
  <c r="O45" i="4"/>
  <c r="F18" i="8"/>
  <c r="L38" i="4"/>
  <c r="L34" i="4"/>
  <c r="E65" i="6"/>
  <c r="O62" i="4"/>
  <c r="F78" i="6"/>
  <c r="H91" i="6"/>
  <c r="O63" i="4"/>
  <c r="J78" i="6"/>
  <c r="D18" i="4"/>
  <c r="O18" i="4" s="1"/>
  <c r="K6" i="33" s="1"/>
  <c r="D19" i="4"/>
  <c r="O19" i="4" s="1"/>
  <c r="K50" i="6"/>
  <c r="L30" i="6"/>
  <c r="C93" i="8"/>
  <c r="D93" i="8"/>
  <c r="E93" i="8"/>
  <c r="F93" i="8"/>
  <c r="G93" i="8"/>
  <c r="K7" i="37"/>
  <c r="W7" i="35"/>
  <c r="W7" i="33"/>
  <c r="C92" i="8"/>
  <c r="D92" i="8"/>
  <c r="E92" i="8"/>
  <c r="F92" i="8"/>
  <c r="G92" i="8"/>
  <c r="C91" i="8"/>
  <c r="D91" i="8"/>
  <c r="E91" i="8"/>
  <c r="F91" i="8"/>
  <c r="G91" i="8"/>
  <c r="C90" i="8"/>
  <c r="D90" i="8"/>
  <c r="E90" i="8"/>
  <c r="F90" i="8"/>
  <c r="G90" i="8"/>
  <c r="C89" i="8"/>
  <c r="D89" i="8"/>
  <c r="E89" i="8"/>
  <c r="F89" i="8"/>
  <c r="G89" i="8"/>
  <c r="C88" i="8"/>
  <c r="D88" i="8"/>
  <c r="E88" i="8"/>
  <c r="F88" i="8"/>
  <c r="G88" i="8"/>
  <c r="C87" i="8"/>
  <c r="D87" i="8"/>
  <c r="E87" i="8"/>
  <c r="F87" i="8"/>
  <c r="G87" i="8"/>
  <c r="C86" i="8"/>
  <c r="D86" i="8"/>
  <c r="E86" i="8"/>
  <c r="F86" i="8"/>
  <c r="G86" i="8"/>
  <c r="C85" i="8"/>
  <c r="D85" i="8"/>
  <c r="E85" i="8"/>
  <c r="F85" i="8"/>
  <c r="G85" i="8"/>
  <c r="C84" i="8"/>
  <c r="D84" i="8"/>
  <c r="E84" i="8"/>
  <c r="F84" i="8"/>
  <c r="G84" i="8"/>
  <c r="C83" i="8"/>
  <c r="D83" i="8"/>
  <c r="E83" i="8"/>
  <c r="F83" i="8"/>
  <c r="G83" i="8"/>
  <c r="C82" i="8"/>
  <c r="D82" i="8"/>
  <c r="E82" i="8"/>
  <c r="F82" i="8"/>
  <c r="G82" i="8"/>
  <c r="C81" i="8"/>
  <c r="D81" i="8"/>
  <c r="E81" i="8"/>
  <c r="F81" i="8"/>
  <c r="G81" i="8"/>
  <c r="C80" i="8"/>
  <c r="D80" i="8"/>
  <c r="E80" i="8"/>
  <c r="F80" i="8"/>
  <c r="G80" i="8"/>
  <c r="C79" i="8"/>
  <c r="D79" i="8"/>
  <c r="E79" i="8"/>
  <c r="F79" i="8"/>
  <c r="G79" i="8"/>
  <c r="C78" i="8"/>
  <c r="D78" i="8"/>
  <c r="E78" i="8"/>
  <c r="F78" i="8"/>
  <c r="G78" i="8"/>
  <c r="C77" i="8"/>
  <c r="D77" i="8"/>
  <c r="E77" i="8"/>
  <c r="F77" i="8"/>
  <c r="G77" i="8"/>
  <c r="C76" i="8"/>
  <c r="D76" i="8"/>
  <c r="E76" i="8"/>
  <c r="F76" i="8"/>
  <c r="G76" i="8"/>
  <c r="C75" i="8"/>
  <c r="D75" i="8"/>
  <c r="E75" i="8"/>
  <c r="F75" i="8"/>
  <c r="G75" i="8"/>
  <c r="C74" i="8"/>
  <c r="D74" i="8"/>
  <c r="E74" i="8"/>
  <c r="F74" i="8"/>
  <c r="G74" i="8"/>
  <c r="C73" i="8"/>
  <c r="D73" i="8"/>
  <c r="E73" i="8"/>
  <c r="F73" i="8"/>
  <c r="G73" i="8"/>
  <c r="C72" i="8"/>
  <c r="D72" i="8"/>
  <c r="E72" i="8"/>
  <c r="F72" i="8"/>
  <c r="G72" i="8"/>
  <c r="C71" i="8"/>
  <c r="D71" i="8"/>
  <c r="E71" i="8"/>
  <c r="F71" i="8"/>
  <c r="G71" i="8"/>
  <c r="C70" i="8"/>
  <c r="D70" i="8"/>
  <c r="E70" i="8"/>
  <c r="F70" i="8"/>
  <c r="G70" i="8"/>
  <c r="C69" i="8"/>
  <c r="D69" i="8"/>
  <c r="E69" i="8"/>
  <c r="F69" i="8"/>
  <c r="G69" i="8"/>
  <c r="C68" i="8"/>
  <c r="D68" i="8"/>
  <c r="E68" i="8"/>
  <c r="F68" i="8"/>
  <c r="G68" i="8"/>
  <c r="C67" i="8"/>
  <c r="D67" i="8"/>
  <c r="E67" i="8"/>
  <c r="F67" i="8"/>
  <c r="G67" i="8"/>
  <c r="C66" i="8"/>
  <c r="D66" i="8"/>
  <c r="E66" i="8"/>
  <c r="F66" i="8"/>
  <c r="G66" i="8"/>
  <c r="C65" i="8"/>
  <c r="D65" i="8"/>
  <c r="E65" i="8"/>
  <c r="F65" i="8"/>
  <c r="G65" i="8"/>
  <c r="C64" i="8"/>
  <c r="D64" i="8"/>
  <c r="E64" i="8"/>
  <c r="F64" i="8"/>
  <c r="G64" i="8"/>
  <c r="C63" i="8"/>
  <c r="D63" i="8"/>
  <c r="E63" i="8"/>
  <c r="F63" i="8"/>
  <c r="G63" i="8"/>
  <c r="C62" i="8"/>
  <c r="D62" i="8"/>
  <c r="E62" i="8"/>
  <c r="F62" i="8"/>
  <c r="G62" i="8"/>
  <c r="C61" i="8"/>
  <c r="D61" i="8"/>
  <c r="E61" i="8"/>
  <c r="F61" i="8"/>
  <c r="G61" i="8"/>
  <c r="C60" i="8"/>
  <c r="D60" i="8"/>
  <c r="E60" i="8"/>
  <c r="F60" i="8"/>
  <c r="G60" i="8"/>
  <c r="C59" i="8"/>
  <c r="D59" i="8"/>
  <c r="E59" i="8"/>
  <c r="F59" i="8"/>
  <c r="G59" i="8"/>
  <c r="C58" i="8"/>
  <c r="D58" i="8"/>
  <c r="E58" i="8"/>
  <c r="F58" i="8"/>
  <c r="G58" i="8"/>
  <c r="C57" i="8"/>
  <c r="D57" i="8"/>
  <c r="E57" i="8"/>
  <c r="F57" i="8"/>
  <c r="G57" i="8"/>
  <c r="C56" i="8"/>
  <c r="D56" i="8"/>
  <c r="E56" i="8"/>
  <c r="F56" i="8"/>
  <c r="G56" i="8"/>
  <c r="C55" i="8"/>
  <c r="D55" i="8"/>
  <c r="E55" i="8"/>
  <c r="F55" i="8"/>
  <c r="G55" i="8"/>
  <c r="C54" i="8"/>
  <c r="D54" i="8"/>
  <c r="E54" i="8"/>
  <c r="F54" i="8"/>
  <c r="G54" i="8"/>
  <c r="C53" i="8"/>
  <c r="D53" i="8"/>
  <c r="E53" i="8"/>
  <c r="F53" i="8"/>
  <c r="G53" i="8"/>
  <c r="C52" i="8"/>
  <c r="D52" i="8"/>
  <c r="E52" i="8"/>
  <c r="F52" i="8"/>
  <c r="G52" i="8"/>
  <c r="C51" i="8"/>
  <c r="D51" i="8"/>
  <c r="E51" i="8"/>
  <c r="F51" i="8"/>
  <c r="G51" i="8"/>
  <c r="C50" i="8"/>
  <c r="D50" i="8"/>
  <c r="E50" i="8"/>
  <c r="F50" i="8"/>
  <c r="G50" i="8"/>
  <c r="C49" i="8"/>
  <c r="D49" i="8"/>
  <c r="E49" i="8"/>
  <c r="F49" i="8"/>
  <c r="G49" i="8"/>
  <c r="C48" i="8"/>
  <c r="D48" i="8"/>
  <c r="E48" i="8"/>
  <c r="F48" i="8"/>
  <c r="G48" i="8"/>
  <c r="C47" i="8"/>
  <c r="D47" i="8"/>
  <c r="E47" i="8"/>
  <c r="F47" i="8"/>
  <c r="G47" i="8"/>
  <c r="C46" i="8"/>
  <c r="D46" i="8"/>
  <c r="E46" i="8"/>
  <c r="F46" i="8"/>
  <c r="G46" i="8"/>
  <c r="C45" i="8"/>
  <c r="D45" i="8"/>
  <c r="E45" i="8"/>
  <c r="F45" i="8"/>
  <c r="G45" i="8"/>
  <c r="C44" i="8"/>
  <c r="D44" i="8"/>
  <c r="E44" i="8"/>
  <c r="F44" i="8"/>
  <c r="G44" i="8"/>
  <c r="C43" i="8"/>
  <c r="D43" i="8"/>
  <c r="E43" i="8"/>
  <c r="F43" i="8"/>
  <c r="G43" i="8"/>
  <c r="C42" i="8"/>
  <c r="D42" i="8"/>
  <c r="E42" i="8"/>
  <c r="F42" i="8"/>
  <c r="G42" i="8"/>
  <c r="C41" i="8"/>
  <c r="D41" i="8"/>
  <c r="E41" i="8"/>
  <c r="F41" i="8"/>
  <c r="G41" i="8"/>
  <c r="C40" i="8"/>
  <c r="D40" i="8"/>
  <c r="E40" i="8"/>
  <c r="F40" i="8"/>
  <c r="G40" i="8"/>
  <c r="C39" i="8"/>
  <c r="D39" i="8"/>
  <c r="E39" i="8"/>
  <c r="F39" i="8"/>
  <c r="G39" i="8"/>
  <c r="C38" i="8"/>
  <c r="D38" i="8"/>
  <c r="E38" i="8"/>
  <c r="F38" i="8"/>
  <c r="G38" i="8"/>
  <c r="C37" i="8"/>
  <c r="D37" i="8"/>
  <c r="E37" i="8"/>
  <c r="F37" i="8"/>
  <c r="G37" i="8"/>
  <c r="C36" i="8"/>
  <c r="D36" i="8"/>
  <c r="E36" i="8"/>
  <c r="F36" i="8"/>
  <c r="G36" i="8"/>
  <c r="C35" i="8"/>
  <c r="D35" i="8"/>
  <c r="E35" i="8"/>
  <c r="F35" i="8"/>
  <c r="G35" i="8"/>
  <c r="C34" i="8"/>
  <c r="D34" i="8"/>
  <c r="E34" i="8"/>
  <c r="F34" i="8"/>
  <c r="G34" i="8"/>
  <c r="C33" i="8"/>
  <c r="D33" i="8"/>
  <c r="E33" i="8"/>
  <c r="F33" i="8"/>
  <c r="G33" i="8"/>
  <c r="C32" i="8"/>
  <c r="D32" i="8"/>
  <c r="E32" i="8"/>
  <c r="F32" i="8"/>
  <c r="G32" i="8"/>
  <c r="C31" i="8"/>
  <c r="D31" i="8"/>
  <c r="E31" i="8"/>
  <c r="F31" i="8"/>
  <c r="G31" i="8"/>
  <c r="C30" i="8"/>
  <c r="D30" i="8"/>
  <c r="E30" i="8"/>
  <c r="F30" i="8"/>
  <c r="G30" i="8"/>
  <c r="C29" i="8"/>
  <c r="D29" i="8"/>
  <c r="E29" i="8"/>
  <c r="F29" i="8"/>
  <c r="G29" i="8"/>
  <c r="C28" i="8"/>
  <c r="D28" i="8"/>
  <c r="E28" i="8"/>
  <c r="F28" i="8"/>
  <c r="G28" i="8"/>
  <c r="C27" i="8"/>
  <c r="D27" i="8"/>
  <c r="E27" i="8"/>
  <c r="F27" i="8"/>
  <c r="G27" i="8"/>
  <c r="C26" i="8"/>
  <c r="D26" i="8"/>
  <c r="E26" i="8"/>
  <c r="F26" i="8"/>
  <c r="G26" i="8"/>
  <c r="C25" i="8"/>
  <c r="D25" i="8"/>
  <c r="E25" i="8"/>
  <c r="F25" i="8"/>
  <c r="G25" i="8"/>
  <c r="C24" i="8"/>
  <c r="D24" i="8"/>
  <c r="E24" i="8"/>
  <c r="F24" i="8"/>
  <c r="G24" i="8"/>
  <c r="C23" i="8"/>
  <c r="D23" i="8"/>
  <c r="E23" i="8"/>
  <c r="F23" i="8"/>
  <c r="G23" i="8"/>
  <c r="C22" i="8"/>
  <c r="D22" i="8"/>
  <c r="E22" i="8"/>
  <c r="F22" i="8"/>
  <c r="G22" i="8"/>
  <c r="C21" i="8"/>
  <c r="D21" i="8"/>
  <c r="E21" i="8"/>
  <c r="F21" i="8"/>
  <c r="G21" i="8"/>
  <c r="C20" i="8"/>
  <c r="D20" i="8"/>
  <c r="E20" i="8"/>
  <c r="F20" i="8"/>
  <c r="G20" i="8"/>
  <c r="C19" i="8"/>
  <c r="D19" i="8"/>
  <c r="E19" i="8"/>
  <c r="F19" i="8"/>
  <c r="G19" i="8"/>
  <c r="C18" i="8"/>
  <c r="D18" i="8"/>
  <c r="E18" i="8"/>
  <c r="G18" i="8"/>
  <c r="K13" i="37"/>
  <c r="W13" i="33"/>
  <c r="E53" i="4"/>
  <c r="W4" i="5"/>
  <c r="X4" i="5"/>
  <c r="Y4" i="5"/>
  <c r="AA4" i="5"/>
  <c r="AD4" i="5"/>
  <c r="E58" i="4"/>
  <c r="E59" i="4"/>
  <c r="E55" i="4"/>
  <c r="F75" i="28" s="1"/>
  <c r="C94" i="8"/>
  <c r="D94" i="8"/>
  <c r="E94" i="8"/>
  <c r="F94" i="8"/>
  <c r="G94" i="8"/>
  <c r="C95" i="8"/>
  <c r="D95" i="8"/>
  <c r="E95" i="8"/>
  <c r="F95" i="8"/>
  <c r="G95" i="8"/>
  <c r="C96" i="8"/>
  <c r="D96" i="8"/>
  <c r="E96" i="8"/>
  <c r="F96" i="8"/>
  <c r="G96" i="8"/>
  <c r="C97" i="8"/>
  <c r="D97" i="8"/>
  <c r="E97" i="8"/>
  <c r="F97" i="8"/>
  <c r="G97" i="8"/>
  <c r="C98" i="8"/>
  <c r="D98" i="8"/>
  <c r="E98" i="8"/>
  <c r="F98" i="8"/>
  <c r="G98" i="8"/>
  <c r="B14" i="7"/>
  <c r="O19" i="36" s="1"/>
  <c r="B3" i="18"/>
  <c r="AE8" i="5"/>
  <c r="AE9" i="5"/>
  <c r="AE10" i="5"/>
  <c r="AE11" i="5"/>
  <c r="AF32" i="5"/>
  <c r="AF11" i="5" s="1"/>
  <c r="AG32" i="5"/>
  <c r="AG11" i="5" s="1"/>
  <c r="AE12" i="5"/>
  <c r="AE13" i="5"/>
  <c r="AE14" i="5"/>
  <c r="AE15" i="5"/>
  <c r="AE16" i="5"/>
  <c r="AE17" i="5"/>
  <c r="AE18" i="5"/>
  <c r="AE19" i="5"/>
  <c r="AE20" i="5"/>
  <c r="AE21" i="5"/>
  <c r="AE22" i="5"/>
  <c r="AE23" i="5"/>
  <c r="AE24" i="5"/>
  <c r="AE25" i="5"/>
  <c r="AE26" i="5"/>
  <c r="W29" i="5"/>
  <c r="X29" i="5"/>
  <c r="Y29" i="5"/>
  <c r="Z29" i="5"/>
  <c r="AD29" i="5"/>
  <c r="C39" i="5"/>
  <c r="C41" i="5"/>
  <c r="B17" i="17"/>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B12" i="28"/>
  <c r="B13" i="28" s="1"/>
  <c r="B14" i="28" s="1"/>
  <c r="B15" i="28" s="1"/>
  <c r="B16" i="28" s="1"/>
  <c r="B17" i="28" s="1"/>
  <c r="B18" i="28" s="1"/>
  <c r="B19" i="28" s="1"/>
  <c r="B20" i="28" s="1"/>
  <c r="B21" i="28" s="1"/>
  <c r="B22" i="28" s="1"/>
  <c r="B23" i="28" s="1"/>
  <c r="B24" i="28" s="1"/>
  <c r="B25" i="28" s="1"/>
  <c r="B26" i="28" s="1"/>
  <c r="B27" i="28" s="1"/>
  <c r="B28" i="28" s="1"/>
  <c r="B29" i="28" s="1"/>
  <c r="B30" i="28" s="1"/>
  <c r="B31" i="28" s="1"/>
  <c r="B32" i="28" s="1"/>
  <c r="B33" i="28" s="1"/>
  <c r="B34" i="28" s="1"/>
  <c r="B35" i="28" s="1"/>
  <c r="B36" i="28" s="1"/>
  <c r="B37" i="28" s="1"/>
  <c r="B38" i="28" s="1"/>
  <c r="B39" i="28" s="1"/>
  <c r="B40" i="28" s="1"/>
  <c r="B41" i="28" s="1"/>
  <c r="B42" i="28" s="1"/>
  <c r="B43" i="28" s="1"/>
  <c r="B44" i="28" s="1"/>
  <c r="B45" i="28" s="1"/>
  <c r="B46" i="28" s="1"/>
  <c r="B47" i="28" s="1"/>
  <c r="B48" i="28" s="1"/>
  <c r="B49" i="28" s="1"/>
  <c r="B50" i="28" s="1"/>
  <c r="B51" i="28" s="1"/>
  <c r="B52" i="28" s="1"/>
  <c r="B53" i="28" s="1"/>
  <c r="B54" i="28" s="1"/>
  <c r="B55" i="28" s="1"/>
  <c r="B56" i="28" s="1"/>
  <c r="B57" i="28" s="1"/>
  <c r="B58" i="28" s="1"/>
  <c r="B59" i="28" s="1"/>
  <c r="B60" i="28" s="1"/>
  <c r="B61" i="28" s="1"/>
  <c r="B62" i="28" s="1"/>
  <c r="B63" i="28" s="1"/>
  <c r="B64" i="28" s="1"/>
  <c r="B65" i="28" s="1"/>
  <c r="B66" i="28" s="1"/>
  <c r="B67" i="28" s="1"/>
  <c r="B68" i="28" s="1"/>
  <c r="B69" i="28" s="1"/>
  <c r="B70" i="28" s="1"/>
  <c r="B71" i="28" s="1"/>
  <c r="B72" i="28" s="1"/>
  <c r="B73" i="28" s="1"/>
  <c r="B74" i="28" s="1"/>
  <c r="B75" i="28" s="1"/>
  <c r="B76" i="28" s="1"/>
  <c r="B77" i="28" s="1"/>
  <c r="B78" i="28" s="1"/>
  <c r="B79" i="28" s="1"/>
  <c r="B80" i="28" s="1"/>
  <c r="B81" i="28" s="1"/>
  <c r="B82" i="28" s="1"/>
  <c r="B83" i="28" s="1"/>
  <c r="B84" i="28" s="1"/>
  <c r="B85" i="28" s="1"/>
  <c r="B86" i="28" s="1"/>
  <c r="B87" i="28" s="1"/>
  <c r="B88" i="28" s="1"/>
  <c r="B89" i="28" s="1"/>
  <c r="B90" i="28" s="1"/>
  <c r="B91" i="28" s="1"/>
  <c r="B92" i="28" s="1"/>
  <c r="I4" i="7"/>
  <c r="B13" i="6"/>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18" i="8"/>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15" i="4"/>
  <c r="C18" i="4"/>
  <c r="C19" i="4"/>
  <c r="C34" i="4"/>
  <c r="D53" i="4"/>
  <c r="B62" i="4"/>
  <c r="B63" i="4"/>
  <c r="B64" i="4"/>
  <c r="E83" i="6"/>
  <c r="J17" i="6"/>
  <c r="K13" i="18"/>
  <c r="H76" i="6"/>
  <c r="J46" i="6"/>
  <c r="E70" i="6"/>
  <c r="E29" i="6"/>
  <c r="E18" i="6"/>
  <c r="E43" i="6"/>
  <c r="F43" i="6"/>
  <c r="H43" i="6"/>
  <c r="J43" i="6"/>
  <c r="K43" i="6"/>
  <c r="L43" i="6"/>
  <c r="E44" i="6"/>
  <c r="E35" i="6"/>
  <c r="E34" i="6"/>
  <c r="E37" i="6"/>
  <c r="E28" i="6"/>
  <c r="E20" i="6"/>
  <c r="E58" i="6"/>
  <c r="J41" i="6"/>
  <c r="E67" i="6"/>
  <c r="E23" i="6"/>
  <c r="J80" i="6"/>
  <c r="H81" i="7" s="1"/>
  <c r="E63" i="6"/>
  <c r="F63" i="6"/>
  <c r="H63" i="6"/>
  <c r="J63" i="6"/>
  <c r="K63" i="6"/>
  <c r="L63" i="6"/>
  <c r="J53" i="6"/>
  <c r="E46" i="6"/>
  <c r="L65" i="6"/>
  <c r="E82" i="6"/>
  <c r="E64" i="6"/>
  <c r="E76" i="6"/>
  <c r="E60" i="6"/>
  <c r="L13" i="6"/>
  <c r="J67" i="6"/>
  <c r="E55" i="6"/>
  <c r="E36" i="6"/>
  <c r="E21" i="6"/>
  <c r="K51" i="6"/>
  <c r="E54" i="6"/>
  <c r="E13" i="6"/>
  <c r="E66" i="6"/>
  <c r="E79" i="6"/>
  <c r="F79" i="6"/>
  <c r="H79" i="6"/>
  <c r="J79" i="6"/>
  <c r="K79" i="6"/>
  <c r="L79" i="6"/>
  <c r="J42" i="6"/>
  <c r="E88" i="6"/>
  <c r="J22" i="6"/>
  <c r="J92" i="6"/>
  <c r="E87" i="6"/>
  <c r="E51" i="6"/>
  <c r="E33" i="6"/>
  <c r="J82" i="6"/>
  <c r="E45" i="6"/>
  <c r="E27" i="6"/>
  <c r="E74" i="6"/>
  <c r="E57" i="6"/>
  <c r="L89" i="6"/>
  <c r="K38" i="6"/>
  <c r="K28" i="6"/>
  <c r="L38" i="6"/>
  <c r="E38" i="6"/>
  <c r="F38" i="6"/>
  <c r="H38" i="6"/>
  <c r="J38" i="6"/>
  <c r="H39" i="7" s="1"/>
  <c r="C44" i="33" s="1"/>
  <c r="K17" i="6"/>
  <c r="F91" i="6"/>
  <c r="D92" i="7" s="1"/>
  <c r="K42" i="6"/>
  <c r="L93" i="6"/>
  <c r="L54" i="6"/>
  <c r="J55" i="7" s="1"/>
  <c r="K23" i="6"/>
  <c r="K88" i="6"/>
  <c r="I89" i="7" s="1"/>
  <c r="L40" i="6"/>
  <c r="L24" i="6"/>
  <c r="L42" i="6"/>
  <c r="K65" i="6"/>
  <c r="F18" i="6"/>
  <c r="K26" i="6"/>
  <c r="L34" i="6"/>
  <c r="F41" i="6"/>
  <c r="F93" i="6"/>
  <c r="O23" i="7"/>
  <c r="F20" i="6"/>
  <c r="L71" i="6"/>
  <c r="L55" i="6"/>
  <c r="L25" i="6"/>
  <c r="K22" i="6"/>
  <c r="E22" i="6"/>
  <c r="F22" i="6"/>
  <c r="H22" i="6"/>
  <c r="L22" i="6"/>
  <c r="F92" i="6"/>
  <c r="K47" i="6"/>
  <c r="F26" i="6"/>
  <c r="L17" i="6"/>
  <c r="L75" i="6"/>
  <c r="F77" i="6"/>
  <c r="L52" i="6"/>
  <c r="L57" i="6"/>
  <c r="L70" i="6"/>
  <c r="L72" i="6"/>
  <c r="K25" i="6"/>
  <c r="K72" i="6"/>
  <c r="E72" i="6"/>
  <c r="F72" i="6"/>
  <c r="D73" i="7" s="1"/>
  <c r="C78" i="35" s="1"/>
  <c r="H72" i="6"/>
  <c r="J72" i="6"/>
  <c r="K46" i="6"/>
  <c r="F53" i="6"/>
  <c r="L86" i="6"/>
  <c r="K92" i="6"/>
  <c r="F59" i="6"/>
  <c r="K48" i="6"/>
  <c r="I49" i="7" s="1"/>
  <c r="L46" i="6"/>
  <c r="O68" i="7"/>
  <c r="F19" i="6"/>
  <c r="L68" i="6"/>
  <c r="L39" i="6"/>
  <c r="L29" i="6"/>
  <c r="J30" i="7" s="1"/>
  <c r="K77" i="6"/>
  <c r="K55" i="6"/>
  <c r="K81" i="6"/>
  <c r="K59" i="6"/>
  <c r="K74" i="6"/>
  <c r="E71" i="7"/>
  <c r="P76" i="35" s="1"/>
  <c r="F86" i="6"/>
  <c r="H14" i="6"/>
  <c r="K68" i="6"/>
  <c r="L31" i="6"/>
  <c r="L59" i="6"/>
  <c r="L83" i="6"/>
  <c r="H86" i="6"/>
  <c r="H26" i="6"/>
  <c r="L18" i="6"/>
  <c r="L80" i="6"/>
  <c r="J81" i="7" s="1"/>
  <c r="L81" i="6"/>
  <c r="L44" i="6"/>
  <c r="L82" i="6"/>
  <c r="L45" i="6"/>
  <c r="L78" i="6"/>
  <c r="K53" i="6"/>
  <c r="I54" i="7" s="1"/>
  <c r="K87" i="6"/>
  <c r="K33" i="6"/>
  <c r="K78" i="6"/>
  <c r="K19" i="6"/>
  <c r="K75" i="6"/>
  <c r="K52" i="6"/>
  <c r="K18" i="6"/>
  <c r="I19" i="7" s="1"/>
  <c r="L23" i="6"/>
  <c r="H67" i="6"/>
  <c r="H80" i="6"/>
  <c r="F81" i="7" s="1"/>
  <c r="H71" i="6"/>
  <c r="H53" i="6"/>
  <c r="K36" i="6"/>
  <c r="K70" i="6"/>
  <c r="L87" i="6"/>
  <c r="H36" i="6"/>
  <c r="F37" i="7" s="1"/>
  <c r="P42" i="32" s="1"/>
  <c r="H48" i="6"/>
  <c r="L26" i="6"/>
  <c r="L27" i="6"/>
  <c r="L20" i="6"/>
  <c r="L49" i="6"/>
  <c r="L16" i="6"/>
  <c r="J17" i="7" s="1"/>
  <c r="L50" i="6"/>
  <c r="L90" i="6"/>
  <c r="K34" i="6"/>
  <c r="K45" i="6"/>
  <c r="I46" i="7" s="1"/>
  <c r="K84" i="6"/>
  <c r="I85" i="7" s="1"/>
  <c r="K57" i="6"/>
  <c r="K54" i="6"/>
  <c r="K27" i="6"/>
  <c r="I28" i="7" s="1"/>
  <c r="K91" i="6"/>
  <c r="K16" i="6"/>
  <c r="I17" i="7" s="1"/>
  <c r="H32" i="6"/>
  <c r="F32" i="6"/>
  <c r="F69" i="6"/>
  <c r="F48" i="6"/>
  <c r="F30" i="6"/>
  <c r="F84" i="6"/>
  <c r="F29" i="6"/>
  <c r="F60" i="6"/>
  <c r="F90" i="6"/>
  <c r="F27" i="6"/>
  <c r="D28" i="7" s="1"/>
  <c r="C33" i="35" s="1"/>
  <c r="F49" i="6"/>
  <c r="F73" i="6"/>
  <c r="F62" i="6"/>
  <c r="F46" i="6"/>
  <c r="F89" i="6"/>
  <c r="F28" i="6"/>
  <c r="F54" i="6"/>
  <c r="F51" i="6"/>
  <c r="F58" i="6"/>
  <c r="F67" i="6"/>
  <c r="F35" i="6"/>
  <c r="D36" i="7" s="1"/>
  <c r="C41" i="31" s="1"/>
  <c r="F15" i="6"/>
  <c r="D16" i="7" s="1"/>
  <c r="C21" i="35" s="1"/>
  <c r="F82" i="6"/>
  <c r="D83" i="7" s="1"/>
  <c r="F13" i="6"/>
  <c r="F33" i="6"/>
  <c r="F87" i="6"/>
  <c r="F61" i="6"/>
  <c r="F31" i="6"/>
  <c r="F75" i="6"/>
  <c r="F34" i="6"/>
  <c r="F55" i="6"/>
  <c r="L62" i="6"/>
  <c r="L51" i="6"/>
  <c r="L84" i="6"/>
  <c r="L60" i="6"/>
  <c r="L41" i="6"/>
  <c r="L21" i="6"/>
  <c r="L76" i="6"/>
  <c r="L53" i="6"/>
  <c r="J54" i="7" s="1"/>
  <c r="L33" i="6"/>
  <c r="L14" i="6"/>
  <c r="L48" i="6"/>
  <c r="L91" i="6"/>
  <c r="J92" i="7" s="1"/>
  <c r="L47" i="6"/>
  <c r="J48" i="7" s="1"/>
  <c r="L74" i="6"/>
  <c r="L67" i="6"/>
  <c r="J68" i="7" s="1"/>
  <c r="L56" i="6"/>
  <c r="L64" i="6"/>
  <c r="L73" i="6"/>
  <c r="L85" i="6"/>
  <c r="K37" i="6"/>
  <c r="K29" i="6"/>
  <c r="K32" i="6"/>
  <c r="I33" i="7" s="1"/>
  <c r="K44" i="6"/>
  <c r="K24" i="6"/>
  <c r="K80" i="6"/>
  <c r="K67" i="6"/>
  <c r="K35" i="6"/>
  <c r="K40" i="6"/>
  <c r="K86" i="6"/>
  <c r="K73" i="6"/>
  <c r="K41" i="6"/>
  <c r="K56" i="6"/>
  <c r="K71" i="6"/>
  <c r="K21" i="6"/>
  <c r="K90" i="6"/>
  <c r="K66" i="6"/>
  <c r="K76" i="6"/>
  <c r="I77" i="7" s="1"/>
  <c r="K93" i="6"/>
  <c r="K61" i="6"/>
  <c r="K82" i="6"/>
  <c r="I83" i="7" s="1"/>
  <c r="K62" i="6"/>
  <c r="K20" i="6"/>
  <c r="K58" i="6"/>
  <c r="L15" i="6"/>
  <c r="J16" i="7" s="1"/>
  <c r="L36" i="6"/>
  <c r="L61" i="6"/>
  <c r="L77" i="6"/>
  <c r="J78" i="7" s="1"/>
  <c r="F83" i="6"/>
  <c r="F57" i="6"/>
  <c r="F23" i="6"/>
  <c r="D24" i="7" s="1"/>
  <c r="L32" i="6"/>
  <c r="L37" i="6"/>
  <c r="L19" i="6"/>
  <c r="L69" i="6"/>
  <c r="L28" i="6"/>
  <c r="J29" i="7" s="1"/>
  <c r="L58" i="6"/>
  <c r="L88" i="6"/>
  <c r="J89" i="7" s="1"/>
  <c r="L35" i="6"/>
  <c r="L66" i="6"/>
  <c r="L92" i="6"/>
  <c r="K31" i="6"/>
  <c r="K85" i="6"/>
  <c r="K39" i="6"/>
  <c r="K30" i="6"/>
  <c r="K49" i="6"/>
  <c r="K89" i="6"/>
  <c r="K13" i="6"/>
  <c r="K83" i="6"/>
  <c r="K14" i="6"/>
  <c r="K60" i="6"/>
  <c r="K64" i="6"/>
  <c r="F68" i="6"/>
  <c r="F24" i="6"/>
  <c r="K69" i="6"/>
  <c r="F39" i="6"/>
  <c r="F50" i="6"/>
  <c r="K15" i="6"/>
  <c r="F21" i="6"/>
  <c r="F37" i="6"/>
  <c r="E81" i="6"/>
  <c r="E42" i="6"/>
  <c r="E90" i="6"/>
  <c r="E15" i="6"/>
  <c r="E52" i="6"/>
  <c r="E85" i="6"/>
  <c r="E89" i="6"/>
  <c r="E69" i="6"/>
  <c r="E47" i="6"/>
  <c r="C48" i="7" s="1"/>
  <c r="E16" i="6"/>
  <c r="C17" i="7" s="1"/>
  <c r="C22" i="18" s="1"/>
  <c r="E86" i="6"/>
  <c r="E84" i="6"/>
  <c r="E41" i="6"/>
  <c r="E59" i="6"/>
  <c r="E26" i="6"/>
  <c r="E39" i="6"/>
  <c r="E48" i="6"/>
  <c r="E61" i="6"/>
  <c r="E91" i="6"/>
  <c r="C92" i="7" s="1"/>
  <c r="P97" i="18" s="1"/>
  <c r="E68" i="6"/>
  <c r="E53" i="6"/>
  <c r="C54" i="7" s="1"/>
  <c r="E17" i="6"/>
  <c r="E93" i="6"/>
  <c r="E77" i="6"/>
  <c r="C78" i="7" s="1"/>
  <c r="E25" i="6"/>
  <c r="E73" i="6"/>
  <c r="E78" i="6"/>
  <c r="E62" i="6"/>
  <c r="C63" i="7" s="1"/>
  <c r="P68" i="18" s="1"/>
  <c r="E30" i="6"/>
  <c r="E80" i="6"/>
  <c r="C81" i="7" s="1"/>
  <c r="E50" i="6"/>
  <c r="E75" i="6"/>
  <c r="J91" i="6"/>
  <c r="J25" i="6"/>
  <c r="J44" i="6"/>
  <c r="J18" i="6"/>
  <c r="J86" i="6"/>
  <c r="J30" i="6"/>
  <c r="J73" i="6"/>
  <c r="J34" i="6"/>
  <c r="J74" i="6"/>
  <c r="J15" i="6"/>
  <c r="J60" i="6"/>
  <c r="J31" i="6"/>
  <c r="J40" i="6"/>
  <c r="J62" i="6"/>
  <c r="J26" i="6"/>
  <c r="J57" i="6"/>
  <c r="J28" i="6"/>
  <c r="J54" i="6"/>
  <c r="J88" i="6"/>
  <c r="J19" i="6"/>
  <c r="J66" i="6"/>
  <c r="J50" i="6"/>
  <c r="J64" i="6"/>
  <c r="J27" i="6"/>
  <c r="J52" i="6"/>
  <c r="J76" i="6"/>
  <c r="H77" i="7" s="1"/>
  <c r="J83" i="6"/>
  <c r="J71" i="6"/>
  <c r="J59" i="6"/>
  <c r="J49" i="6"/>
  <c r="H50" i="7" s="1"/>
  <c r="J37" i="6"/>
  <c r="J24" i="6"/>
  <c r="J85" i="6"/>
  <c r="J21" i="6"/>
  <c r="J58" i="6"/>
  <c r="J84" i="6"/>
  <c r="J75" i="6"/>
  <c r="H76" i="7" s="1"/>
  <c r="P81" i="33" s="1"/>
  <c r="J55" i="6"/>
  <c r="J29" i="6"/>
  <c r="J16" i="6"/>
  <c r="H17" i="7" s="1"/>
  <c r="P22" i="33" s="1"/>
  <c r="J47" i="6"/>
  <c r="H48" i="7" s="1"/>
  <c r="J68" i="6"/>
  <c r="J14" i="6"/>
  <c r="J87" i="6"/>
  <c r="J93" i="6"/>
  <c r="J39" i="6"/>
  <c r="J70" i="6"/>
  <c r="J51" i="6"/>
  <c r="J35" i="6"/>
  <c r="J13" i="6"/>
  <c r="J45" i="6"/>
  <c r="J77" i="6"/>
  <c r="H46" i="6"/>
  <c r="H52" i="6"/>
  <c r="H20" i="6"/>
  <c r="H84" i="6"/>
  <c r="J65" i="6"/>
  <c r="H27" i="6"/>
  <c r="F28" i="7" s="1"/>
  <c r="J56" i="6"/>
  <c r="H74" i="6"/>
  <c r="J20" i="6"/>
  <c r="H21" i="7" s="1"/>
  <c r="H45" i="6"/>
  <c r="H39" i="6"/>
  <c r="H85" i="6"/>
  <c r="H66" i="6"/>
  <c r="H59" i="6"/>
  <c r="H49" i="6"/>
  <c r="H78" i="6"/>
  <c r="H15" i="6"/>
  <c r="H51" i="6"/>
  <c r="H19" i="6"/>
  <c r="H89" i="6"/>
  <c r="H77" i="6"/>
  <c r="H37" i="6"/>
  <c r="H44" i="6"/>
  <c r="H68" i="6"/>
  <c r="H35" i="6"/>
  <c r="H24" i="6"/>
  <c r="H16" i="6"/>
  <c r="H90" i="6"/>
  <c r="H58" i="6"/>
  <c r="H33" i="6"/>
  <c r="H25" i="6"/>
  <c r="H75" i="6"/>
  <c r="H23" i="6"/>
  <c r="F24" i="7" s="1"/>
  <c r="P29" i="32" s="1"/>
  <c r="H54" i="6"/>
  <c r="H61" i="6"/>
  <c r="F62" i="7" s="1"/>
  <c r="H56" i="6"/>
  <c r="H87" i="6"/>
  <c r="H17" i="6"/>
  <c r="H60" i="6"/>
  <c r="H28" i="6"/>
  <c r="H18" i="6"/>
  <c r="H82" i="6"/>
  <c r="H42" i="6"/>
  <c r="H13" i="6"/>
  <c r="H73" i="6"/>
  <c r="H83" i="6"/>
  <c r="H57" i="6"/>
  <c r="H50" i="6"/>
  <c r="H62" i="6"/>
  <c r="H88" i="6"/>
  <c r="H40" i="6"/>
  <c r="H93" i="6"/>
  <c r="H70" i="6"/>
  <c r="H29" i="6"/>
  <c r="H64" i="6"/>
  <c r="F65" i="7" s="1"/>
  <c r="P70" i="32" s="1"/>
  <c r="H65" i="6"/>
  <c r="J33" i="6"/>
  <c r="J61" i="6"/>
  <c r="J90" i="6"/>
  <c r="H81" i="6"/>
  <c r="H21" i="6"/>
  <c r="H92" i="6"/>
  <c r="H30" i="6"/>
  <c r="H31" i="6"/>
  <c r="J32" i="6"/>
  <c r="H47" i="6"/>
  <c r="H34" i="6"/>
  <c r="H41" i="6"/>
  <c r="H55" i="6"/>
  <c r="F66" i="6"/>
  <c r="F64" i="6"/>
  <c r="F81" i="6"/>
  <c r="F45" i="6"/>
  <c r="F70" i="6"/>
  <c r="D71" i="7" s="1"/>
  <c r="P76" i="31" s="1"/>
  <c r="F56" i="6"/>
  <c r="D57" i="7" s="1"/>
  <c r="P62" i="31" s="1"/>
  <c r="F74" i="6"/>
  <c r="F88" i="6"/>
  <c r="D89" i="7" s="1"/>
  <c r="C94" i="35" s="1"/>
  <c r="F47" i="6"/>
  <c r="D48" i="7" s="1"/>
  <c r="C53" i="35" s="1"/>
  <c r="F14" i="6"/>
  <c r="F71" i="6"/>
  <c r="F44" i="6"/>
  <c r="F16" i="6"/>
  <c r="F65" i="6"/>
  <c r="F42" i="6"/>
  <c r="F85" i="6"/>
  <c r="F52" i="6"/>
  <c r="F17" i="6"/>
  <c r="F80" i="6"/>
  <c r="D81" i="7" s="1"/>
  <c r="C86" i="31" s="1"/>
  <c r="F36" i="6"/>
  <c r="F40" i="6"/>
  <c r="F25" i="6"/>
  <c r="D26" i="7" s="1"/>
  <c r="C31" i="31" s="1"/>
  <c r="F76" i="6"/>
  <c r="E19" i="6"/>
  <c r="E56" i="6"/>
  <c r="C57" i="7" s="1"/>
  <c r="E24" i="6"/>
  <c r="E40" i="6"/>
  <c r="E49" i="6"/>
  <c r="E32" i="6"/>
  <c r="C33" i="7" s="1"/>
  <c r="E31" i="6"/>
  <c r="E71" i="6"/>
  <c r="E92" i="6"/>
  <c r="H69" i="6"/>
  <c r="J89" i="6"/>
  <c r="J48" i="6"/>
  <c r="J23" i="6"/>
  <c r="J81" i="6"/>
  <c r="J69" i="6"/>
  <c r="J36" i="6"/>
  <c r="O81" i="7"/>
  <c r="C86" i="37" s="1"/>
  <c r="O56" i="7"/>
  <c r="C61" i="37" s="1"/>
  <c r="L45" i="7"/>
  <c r="O43" i="7"/>
  <c r="P48" i="37" s="1"/>
  <c r="F70" i="28"/>
  <c r="F47" i="28"/>
  <c r="F49" i="28"/>
  <c r="F21" i="28"/>
  <c r="F58" i="28"/>
  <c r="F64" i="28"/>
  <c r="F38" i="28"/>
  <c r="F92" i="28"/>
  <c r="F81" i="28"/>
  <c r="F79" i="28"/>
  <c r="F66" i="28"/>
  <c r="F19" i="28"/>
  <c r="F40" i="28"/>
  <c r="F62" i="28"/>
  <c r="F14" i="28"/>
  <c r="F45" i="28"/>
  <c r="F73" i="28"/>
  <c r="F24" i="28"/>
  <c r="F16" i="28"/>
  <c r="W13" i="18"/>
  <c r="K7" i="18"/>
  <c r="W7" i="18"/>
  <c r="F60" i="28"/>
  <c r="K7" i="31"/>
  <c r="W7" i="31"/>
  <c r="K13" i="31"/>
  <c r="W13" i="31"/>
  <c r="K7" i="32"/>
  <c r="W7" i="32"/>
  <c r="K13" i="32"/>
  <c r="W13" i="32"/>
  <c r="K7" i="33"/>
  <c r="K13" i="33"/>
  <c r="E46" i="7"/>
  <c r="P51" i="35" s="1"/>
  <c r="O46" i="4"/>
  <c r="K7" i="34"/>
  <c r="W7" i="34"/>
  <c r="K13" i="34"/>
  <c r="W13" i="34"/>
  <c r="K7" i="35"/>
  <c r="K13" i="35"/>
  <c r="H73" i="7"/>
  <c r="C78" i="33" s="1"/>
  <c r="L17" i="7"/>
  <c r="O24" i="7"/>
  <c r="P29" i="37" s="1"/>
  <c r="O52" i="7"/>
  <c r="C57" i="37" s="1"/>
  <c r="O26" i="7"/>
  <c r="C31" i="37" s="1"/>
  <c r="L93" i="7"/>
  <c r="L77" i="7"/>
  <c r="L30" i="7"/>
  <c r="K89" i="7"/>
  <c r="O89" i="7"/>
  <c r="P94" i="37" s="1"/>
  <c r="D79" i="7"/>
  <c r="C84" i="31" s="1"/>
  <c r="O79" i="7"/>
  <c r="C84" i="37" s="1"/>
  <c r="O46" i="7"/>
  <c r="C51" i="37" s="1"/>
  <c r="O21" i="7"/>
  <c r="C26" i="37" s="1"/>
  <c r="F57" i="7"/>
  <c r="C62" i="32" s="1"/>
  <c r="F35" i="7"/>
  <c r="C40" i="32" s="1"/>
  <c r="H35" i="7"/>
  <c r="P40" i="33" s="1"/>
  <c r="O28" i="7"/>
  <c r="P33" i="37" s="1"/>
  <c r="O74" i="7"/>
  <c r="O45" i="7"/>
  <c r="G92" i="7"/>
  <c r="P97" i="34" s="1"/>
  <c r="O92" i="7"/>
  <c r="P97" i="37" s="1"/>
  <c r="L49" i="7"/>
  <c r="W13" i="35"/>
  <c r="W7" i="36"/>
  <c r="W13" i="36"/>
  <c r="W7" i="37"/>
  <c r="W13" i="37"/>
  <c r="K7" i="36"/>
  <c r="K13" i="36"/>
  <c r="C94" i="37"/>
  <c r="P61" i="37"/>
  <c r="P22" i="40"/>
  <c r="C22" i="40"/>
  <c r="P24" i="40"/>
  <c r="C24" i="40"/>
  <c r="P27" i="40"/>
  <c r="C27" i="40"/>
  <c r="P29" i="40"/>
  <c r="C29" i="40"/>
  <c r="P31" i="40"/>
  <c r="C31" i="40"/>
  <c r="P33" i="40"/>
  <c r="C33" i="40"/>
  <c r="P35" i="40"/>
  <c r="C35" i="40"/>
  <c r="P37" i="40"/>
  <c r="C37" i="40"/>
  <c r="P41" i="40"/>
  <c r="C41" i="40"/>
  <c r="P43" i="40"/>
  <c r="C43" i="40"/>
  <c r="P45" i="40"/>
  <c r="C45" i="40"/>
  <c r="P47" i="40"/>
  <c r="C47" i="40"/>
  <c r="P49" i="40"/>
  <c r="C49" i="40"/>
  <c r="P51" i="40"/>
  <c r="C51" i="40"/>
  <c r="P53" i="40"/>
  <c r="C53" i="40"/>
  <c r="P57" i="40"/>
  <c r="C57" i="40"/>
  <c r="P60" i="40"/>
  <c r="C60" i="40"/>
  <c r="P64" i="40"/>
  <c r="C64" i="40"/>
  <c r="P68" i="40"/>
  <c r="C68" i="40"/>
  <c r="P72" i="40"/>
  <c r="C72" i="40"/>
  <c r="P76" i="40"/>
  <c r="C76" i="40"/>
  <c r="P78" i="40"/>
  <c r="C78" i="40"/>
  <c r="P80" i="40"/>
  <c r="C80" i="40"/>
  <c r="P82" i="40"/>
  <c r="C82" i="40"/>
  <c r="P84" i="40"/>
  <c r="C84" i="40"/>
  <c r="P86" i="40"/>
  <c r="C86" i="40"/>
  <c r="P88" i="40"/>
  <c r="C88" i="40"/>
  <c r="P93" i="40"/>
  <c r="C93" i="40"/>
  <c r="P95" i="40"/>
  <c r="C95" i="40"/>
  <c r="P97" i="40"/>
  <c r="C97" i="40"/>
  <c r="P99" i="40"/>
  <c r="C99" i="40"/>
  <c r="P57" i="37"/>
  <c r="P19" i="40"/>
  <c r="C19" i="40"/>
  <c r="P21" i="40"/>
  <c r="C21" i="40"/>
  <c r="P25" i="40"/>
  <c r="C25" i="40"/>
  <c r="P28" i="40"/>
  <c r="C28" i="40"/>
  <c r="P30" i="40"/>
  <c r="C30" i="40"/>
  <c r="P32" i="40"/>
  <c r="C32" i="40"/>
  <c r="P34" i="40"/>
  <c r="C34" i="40"/>
  <c r="P36" i="40"/>
  <c r="C36" i="40"/>
  <c r="P38" i="40"/>
  <c r="C38" i="40"/>
  <c r="P40" i="40"/>
  <c r="C40" i="40"/>
  <c r="P44" i="40"/>
  <c r="C44" i="40"/>
  <c r="P46" i="40"/>
  <c r="C46" i="40"/>
  <c r="P48" i="40"/>
  <c r="C48" i="40"/>
  <c r="P50" i="40"/>
  <c r="C50" i="40"/>
  <c r="P52" i="40"/>
  <c r="C52" i="40"/>
  <c r="P54" i="40"/>
  <c r="C54" i="40"/>
  <c r="P56" i="40"/>
  <c r="C56" i="40"/>
  <c r="P59" i="40"/>
  <c r="C59" i="40"/>
  <c r="P61" i="40"/>
  <c r="C61" i="40"/>
  <c r="P63" i="40"/>
  <c r="C63" i="40"/>
  <c r="P65" i="40"/>
  <c r="C65" i="40"/>
  <c r="P67" i="40"/>
  <c r="C67" i="40"/>
  <c r="P69" i="40"/>
  <c r="C69" i="40"/>
  <c r="C71" i="40"/>
  <c r="P73" i="40"/>
  <c r="C73" i="40"/>
  <c r="P75" i="40"/>
  <c r="C75" i="40"/>
  <c r="P77" i="40"/>
  <c r="C77" i="40"/>
  <c r="P79" i="40"/>
  <c r="C79" i="40"/>
  <c r="P81" i="40"/>
  <c r="C81" i="40"/>
  <c r="P83" i="40"/>
  <c r="C83" i="40"/>
  <c r="P85" i="40"/>
  <c r="C85" i="40"/>
  <c r="C87" i="40"/>
  <c r="P89" i="40"/>
  <c r="C89" i="40"/>
  <c r="P91" i="40"/>
  <c r="C91" i="40"/>
  <c r="P92" i="40"/>
  <c r="C92" i="40"/>
  <c r="P94" i="40"/>
  <c r="C94" i="40"/>
  <c r="P96" i="40"/>
  <c r="C96" i="40"/>
  <c r="P98" i="40"/>
  <c r="C98" i="40"/>
  <c r="W6" i="37"/>
  <c r="D10" i="39"/>
  <c r="F12" i="39"/>
  <c r="R16" i="4"/>
  <c r="O17" i="4"/>
  <c r="K6" i="32" s="1"/>
  <c r="W8" i="34"/>
  <c r="O19" i="32"/>
  <c r="O19" i="40"/>
  <c r="W6" i="36"/>
  <c r="W8" i="35"/>
  <c r="R15" i="4"/>
  <c r="F10" i="39" s="1"/>
  <c r="K8" i="33"/>
  <c r="K8" i="37"/>
  <c r="K12" i="37" s="1"/>
  <c r="W8" i="37"/>
  <c r="W10" i="35"/>
  <c r="K12" i="34"/>
  <c r="K9" i="34"/>
  <c r="K12" i="35"/>
  <c r="K9" i="37"/>
  <c r="K10" i="37"/>
  <c r="W10" i="37"/>
  <c r="W12" i="37"/>
  <c r="W9" i="37"/>
  <c r="C42" i="32" l="1"/>
  <c r="B19" i="31"/>
  <c r="B19" i="37"/>
  <c r="P51" i="37"/>
  <c r="C97" i="37"/>
  <c r="P79" i="37"/>
  <c r="C79" i="37"/>
  <c r="W6" i="18"/>
  <c r="B19" i="36"/>
  <c r="B19" i="33"/>
  <c r="C40" i="33"/>
  <c r="O19" i="33"/>
  <c r="B19" i="35"/>
  <c r="F36" i="28"/>
  <c r="F55" i="28"/>
  <c r="F15" i="28"/>
  <c r="F29" i="28"/>
  <c r="F41" i="28"/>
  <c r="F31" i="28"/>
  <c r="F65" i="28"/>
  <c r="F22" i="28"/>
  <c r="F27" i="28"/>
  <c r="B19" i="32"/>
  <c r="AH24" i="5"/>
  <c r="G56" i="7"/>
  <c r="P61" i="34" s="1"/>
  <c r="I56" i="7"/>
  <c r="K73" i="7"/>
  <c r="O73" i="7"/>
  <c r="E79" i="7"/>
  <c r="P84" i="35" s="1"/>
  <c r="L79" i="7"/>
  <c r="K65" i="7"/>
  <c r="O65" i="7"/>
  <c r="P70" i="37" s="1"/>
  <c r="I75" i="7"/>
  <c r="H75" i="7"/>
  <c r="C80" i="33" s="1"/>
  <c r="C75" i="7"/>
  <c r="C80" i="18" s="1"/>
  <c r="L33" i="7"/>
  <c r="F33" i="7"/>
  <c r="C38" i="34" s="1"/>
  <c r="H74" i="7"/>
  <c r="P79" i="33" s="1"/>
  <c r="G74" i="7"/>
  <c r="P79" i="34" s="1"/>
  <c r="L74" i="7"/>
  <c r="F48" i="7"/>
  <c r="O48" i="7"/>
  <c r="C53" i="37" s="1"/>
  <c r="G48" i="7"/>
  <c r="P53" i="34" s="1"/>
  <c r="G62" i="7"/>
  <c r="P67" i="34" s="1"/>
  <c r="E62" i="7"/>
  <c r="P67" i="35" s="1"/>
  <c r="O62" i="7"/>
  <c r="C67" i="37" s="1"/>
  <c r="I57" i="7"/>
  <c r="G57" i="7"/>
  <c r="P62" i="34" s="1"/>
  <c r="L57" i="7"/>
  <c r="H30" i="7"/>
  <c r="P35" i="33" s="1"/>
  <c r="F30" i="7"/>
  <c r="P35" i="32" s="1"/>
  <c r="E30" i="7"/>
  <c r="P35" i="35" s="1"/>
  <c r="C30" i="7"/>
  <c r="P35" i="18" s="1"/>
  <c r="I30" i="7"/>
  <c r="O54" i="7"/>
  <c r="C59" i="37" s="1"/>
  <c r="E54" i="7"/>
  <c r="P59" i="35" s="1"/>
  <c r="C97" i="35"/>
  <c r="P97" i="31"/>
  <c r="P20" i="40"/>
  <c r="C20" i="40"/>
  <c r="P62" i="40"/>
  <c r="C62" i="40"/>
  <c r="S29" i="8"/>
  <c r="S45" i="8"/>
  <c r="S61" i="8"/>
  <c r="N67" i="8"/>
  <c r="S77" i="8"/>
  <c r="S93" i="8"/>
  <c r="S35" i="8"/>
  <c r="C42" i="40"/>
  <c r="C90" i="40"/>
  <c r="C29" i="7"/>
  <c r="C34" i="18" s="1"/>
  <c r="F29" i="7"/>
  <c r="P34" i="32" s="1"/>
  <c r="I29" i="7"/>
  <c r="G72" i="7"/>
  <c r="P77" i="34" s="1"/>
  <c r="L72" i="7"/>
  <c r="F83" i="7"/>
  <c r="C88" i="34" s="1"/>
  <c r="C83" i="7"/>
  <c r="C88" i="18" s="1"/>
  <c r="E78" i="7"/>
  <c r="P83" i="35" s="1"/>
  <c r="D78" i="7"/>
  <c r="C83" i="35" s="1"/>
  <c r="F12" i="28"/>
  <c r="F74" i="28"/>
  <c r="F28" i="28"/>
  <c r="F50" i="28"/>
  <c r="F69" i="28"/>
  <c r="F33" i="28"/>
  <c r="F37" i="28"/>
  <c r="F88" i="28"/>
  <c r="F80" i="28"/>
  <c r="F54" i="28"/>
  <c r="F90" i="28"/>
  <c r="F42" i="28"/>
  <c r="F51" i="28"/>
  <c r="F77" i="28"/>
  <c r="F30" i="28"/>
  <c r="F25" i="28"/>
  <c r="F82" i="28"/>
  <c r="F35" i="28"/>
  <c r="F56" i="28"/>
  <c r="F57" i="28"/>
  <c r="F61" i="28"/>
  <c r="F13" i="28"/>
  <c r="F48" i="28"/>
  <c r="F18" i="28"/>
  <c r="F68" i="28"/>
  <c r="F44" i="28"/>
  <c r="F34" i="28"/>
  <c r="F85" i="28"/>
  <c r="F86" i="28"/>
  <c r="F53" i="28"/>
  <c r="F32" i="28"/>
  <c r="F78" i="28"/>
  <c r="F89" i="28"/>
  <c r="F39" i="28"/>
  <c r="F67" i="28"/>
  <c r="F20" i="28"/>
  <c r="F63" i="28"/>
  <c r="F72" i="28"/>
  <c r="F23" i="28"/>
  <c r="F46" i="28"/>
  <c r="F91" i="28"/>
  <c r="F17" i="28"/>
  <c r="G82" i="7"/>
  <c r="P87" i="34" s="1"/>
  <c r="K82" i="7"/>
  <c r="H58" i="7"/>
  <c r="P63" i="33" s="1"/>
  <c r="P66" i="40"/>
  <c r="C66" i="40"/>
  <c r="B15" i="7"/>
  <c r="B20" i="37" s="1"/>
  <c r="O19" i="35"/>
  <c r="O19" i="37"/>
  <c r="O19" i="31"/>
  <c r="O19" i="34"/>
  <c r="C58" i="40"/>
  <c r="C26" i="40"/>
  <c r="C23" i="40"/>
  <c r="C74" i="40"/>
  <c r="C55" i="40"/>
  <c r="C39" i="40"/>
  <c r="AH15" i="5"/>
  <c r="I47" i="7"/>
  <c r="K47" i="7"/>
  <c r="B19" i="40"/>
  <c r="B19" i="18"/>
  <c r="B19" i="34"/>
  <c r="F59" i="28"/>
  <c r="F83" i="28"/>
  <c r="F26" i="28"/>
  <c r="F52" i="28"/>
  <c r="F76" i="28"/>
  <c r="F87" i="28"/>
  <c r="F84" i="28"/>
  <c r="F43" i="28"/>
  <c r="F71" i="28"/>
  <c r="C47" i="7"/>
  <c r="P52" i="18" s="1"/>
  <c r="O19" i="18"/>
  <c r="AH16" i="5"/>
  <c r="AH19" i="5"/>
  <c r="R81" i="8"/>
  <c r="E82" i="33" s="1"/>
  <c r="L65" i="7"/>
  <c r="E59" i="7"/>
  <c r="P64" i="35" s="1"/>
  <c r="L56" i="7"/>
  <c r="L54" i="7"/>
  <c r="L48" i="7"/>
  <c r="K33" i="7"/>
  <c r="P70" i="40"/>
  <c r="C70" i="40"/>
  <c r="S21" i="8"/>
  <c r="S37" i="8"/>
  <c r="S53" i="8"/>
  <c r="S69" i="8"/>
  <c r="S85" i="8"/>
  <c r="E24" i="7"/>
  <c r="P29" i="35" s="1"/>
  <c r="E48" i="7"/>
  <c r="P53" i="35" s="1"/>
  <c r="S18" i="8"/>
  <c r="S26" i="8"/>
  <c r="S34" i="8"/>
  <c r="S42" i="8"/>
  <c r="S50" i="8"/>
  <c r="S58" i="8"/>
  <c r="S66" i="8"/>
  <c r="S74" i="8"/>
  <c r="S82" i="8"/>
  <c r="I25" i="7"/>
  <c r="L24" i="7"/>
  <c r="L86" i="7"/>
  <c r="I27" i="7"/>
  <c r="F40" i="7"/>
  <c r="C45" i="32" s="1"/>
  <c r="I50" i="7"/>
  <c r="F80" i="7"/>
  <c r="C85" i="34" s="1"/>
  <c r="G81" i="7"/>
  <c r="P86" i="34" s="1"/>
  <c r="S24" i="8"/>
  <c r="S32" i="8"/>
  <c r="S40" i="8"/>
  <c r="S48" i="8"/>
  <c r="S56" i="8"/>
  <c r="S64" i="8"/>
  <c r="S72" i="8"/>
  <c r="S80" i="8"/>
  <c r="S92" i="8"/>
  <c r="H56" i="7"/>
  <c r="P61" i="33" s="1"/>
  <c r="C74" i="7"/>
  <c r="P79" i="18" s="1"/>
  <c r="C62" i="7"/>
  <c r="P67" i="18" s="1"/>
  <c r="C43" i="7"/>
  <c r="C48" i="18" s="1"/>
  <c r="J65" i="7"/>
  <c r="C46" i="7"/>
  <c r="C51" i="18" s="1"/>
  <c r="F36" i="7"/>
  <c r="P41" i="32" s="1"/>
  <c r="H96" i="8"/>
  <c r="H20" i="8"/>
  <c r="L81" i="7"/>
  <c r="S90" i="8"/>
  <c r="S98" i="8"/>
  <c r="G89" i="7"/>
  <c r="P94" i="34" s="1"/>
  <c r="P73" i="37"/>
  <c r="C73" i="37"/>
  <c r="C28" i="37"/>
  <c r="P28" i="37"/>
  <c r="L71" i="7"/>
  <c r="L63" i="7"/>
  <c r="E68" i="7"/>
  <c r="P73" i="35" s="1"/>
  <c r="E72" i="7"/>
  <c r="P77" i="35" s="1"/>
  <c r="G68" i="7"/>
  <c r="P73" i="34" s="1"/>
  <c r="P86" i="37"/>
  <c r="I78" i="7"/>
  <c r="D23" i="7"/>
  <c r="P28" i="31" s="1"/>
  <c r="G21" i="7"/>
  <c r="P26" i="34" s="1"/>
  <c r="C23" i="7"/>
  <c r="C28" i="18" s="1"/>
  <c r="K21" i="7"/>
  <c r="L29" i="7"/>
  <c r="I39" i="7"/>
  <c r="H47" i="7"/>
  <c r="C52" i="33" s="1"/>
  <c r="E83" i="7"/>
  <c r="P88" i="35" s="1"/>
  <c r="L47" i="7"/>
  <c r="C72" i="7"/>
  <c r="C77" i="18" s="1"/>
  <c r="D72" i="7"/>
  <c r="P77" i="31" s="1"/>
  <c r="F63" i="7"/>
  <c r="C68" i="32" s="1"/>
  <c r="F78" i="7"/>
  <c r="C83" i="34" s="1"/>
  <c r="J39" i="7"/>
  <c r="H83" i="7"/>
  <c r="C88" i="33" s="1"/>
  <c r="H42" i="7"/>
  <c r="C47" i="33" s="1"/>
  <c r="C71" i="7"/>
  <c r="P76" i="18" s="1"/>
  <c r="K29" i="7"/>
  <c r="L21" i="7"/>
  <c r="E21" i="7"/>
  <c r="P26" i="35" s="1"/>
  <c r="G29" i="7"/>
  <c r="P34" i="34" s="1"/>
  <c r="L78" i="7"/>
  <c r="K83" i="7"/>
  <c r="O72" i="7"/>
  <c r="C77" i="37" s="1"/>
  <c r="C70" i="32"/>
  <c r="H23" i="7"/>
  <c r="P28" i="33" s="1"/>
  <c r="G24" i="7"/>
  <c r="P29" i="34" s="1"/>
  <c r="J71" i="7"/>
  <c r="F26" i="7"/>
  <c r="C31" i="32" s="1"/>
  <c r="I26" i="7"/>
  <c r="C39" i="7"/>
  <c r="P44" i="18" s="1"/>
  <c r="H68" i="7"/>
  <c r="J47" i="7"/>
  <c r="E47" i="7"/>
  <c r="P52" i="35" s="1"/>
  <c r="I71" i="7"/>
  <c r="F47" i="7"/>
  <c r="C52" i="32" s="1"/>
  <c r="H60" i="7"/>
  <c r="C65" i="33" s="1"/>
  <c r="C26" i="7"/>
  <c r="P31" i="18" s="1"/>
  <c r="D29" i="7"/>
  <c r="C34" i="35" s="1"/>
  <c r="J24" i="7"/>
  <c r="J83" i="7"/>
  <c r="J23" i="7"/>
  <c r="I23" i="7"/>
  <c r="C24" i="7"/>
  <c r="P29" i="18" s="1"/>
  <c r="C21" i="7"/>
  <c r="C26" i="18" s="1"/>
  <c r="K94" i="7"/>
  <c r="K78" i="7"/>
  <c r="K68" i="7"/>
  <c r="K51" i="7"/>
  <c r="K49" i="7"/>
  <c r="K45" i="7"/>
  <c r="K37" i="7"/>
  <c r="K35" i="7"/>
  <c r="K30" i="7"/>
  <c r="G23" i="7"/>
  <c r="P28" i="34" s="1"/>
  <c r="G35" i="7"/>
  <c r="P40" i="34" s="1"/>
  <c r="G39" i="7"/>
  <c r="P44" i="34" s="1"/>
  <c r="G47" i="7"/>
  <c r="P52" i="34" s="1"/>
  <c r="G63" i="7"/>
  <c r="P68" i="34" s="1"/>
  <c r="G71" i="7"/>
  <c r="P76" i="34" s="1"/>
  <c r="G75" i="7"/>
  <c r="P80" i="34" s="1"/>
  <c r="G79" i="7"/>
  <c r="P84" i="34" s="1"/>
  <c r="C70" i="34"/>
  <c r="G78" i="7"/>
  <c r="P83" i="34" s="1"/>
  <c r="H72" i="7"/>
  <c r="C77" i="33" s="1"/>
  <c r="K23" i="7"/>
  <c r="D39" i="7"/>
  <c r="C44" i="31" s="1"/>
  <c r="O71" i="7"/>
  <c r="P76" i="37" s="1"/>
  <c r="H26" i="7"/>
  <c r="P31" i="33" s="1"/>
  <c r="C68" i="7"/>
  <c r="P73" i="18" s="1"/>
  <c r="O47" i="7"/>
  <c r="O40" i="7"/>
  <c r="P45" i="37" s="1"/>
  <c r="O78" i="7"/>
  <c r="I63" i="7"/>
  <c r="J63" i="7"/>
  <c r="D63" i="7"/>
  <c r="C68" i="35" s="1"/>
  <c r="C73" i="7"/>
  <c r="P78" i="18" s="1"/>
  <c r="I24" i="7"/>
  <c r="I43" i="7"/>
  <c r="I44" i="7"/>
  <c r="H88" i="8"/>
  <c r="H34" i="8"/>
  <c r="H66" i="8"/>
  <c r="R34" i="8"/>
  <c r="Q35" i="37" s="1"/>
  <c r="H62" i="8"/>
  <c r="H70" i="8"/>
  <c r="H74" i="8"/>
  <c r="H78" i="8"/>
  <c r="R35" i="8"/>
  <c r="Q36" i="32" s="1"/>
  <c r="H46" i="8"/>
  <c r="R60" i="8"/>
  <c r="E61" i="40" s="1"/>
  <c r="F61" i="40" s="1"/>
  <c r="R95" i="8"/>
  <c r="E96" i="18" s="1"/>
  <c r="H57" i="8"/>
  <c r="H27" i="8"/>
  <c r="R31" i="8"/>
  <c r="Q32" i="34" s="1"/>
  <c r="H38" i="8"/>
  <c r="H50" i="8"/>
  <c r="H89" i="8"/>
  <c r="H29" i="8"/>
  <c r="H40" i="8"/>
  <c r="C48" i="37"/>
  <c r="J82" i="7"/>
  <c r="O50" i="7"/>
  <c r="E82" i="7"/>
  <c r="P87" i="35" s="1"/>
  <c r="F58" i="7"/>
  <c r="C63" i="34" s="1"/>
  <c r="H40" i="7"/>
  <c r="P45" i="33" s="1"/>
  <c r="K27" i="7"/>
  <c r="O27" i="7"/>
  <c r="C32" i="37" s="1"/>
  <c r="D37" i="7"/>
  <c r="C42" i="35" s="1"/>
  <c r="I37" i="7"/>
  <c r="H16" i="7"/>
  <c r="K16" i="7"/>
  <c r="K17" i="7"/>
  <c r="D17" i="7"/>
  <c r="C22" i="31" s="1"/>
  <c r="F17" i="7"/>
  <c r="O17" i="7"/>
  <c r="C22" i="37" s="1"/>
  <c r="L88" i="7"/>
  <c r="C88" i="7"/>
  <c r="C93" i="18" s="1"/>
  <c r="E52" i="7"/>
  <c r="P57" i="35" s="1"/>
  <c r="I52" i="7"/>
  <c r="O35" i="7"/>
  <c r="J35" i="7"/>
  <c r="G77" i="7"/>
  <c r="P82" i="34" s="1"/>
  <c r="J77" i="7"/>
  <c r="C77" i="7"/>
  <c r="C82" i="18" s="1"/>
  <c r="C35" i="7"/>
  <c r="P40" i="18" s="1"/>
  <c r="K88" i="7"/>
  <c r="L52" i="7"/>
  <c r="L50" i="7"/>
  <c r="L46" i="7"/>
  <c r="L40" i="7"/>
  <c r="G40" i="7"/>
  <c r="P45" i="34" s="1"/>
  <c r="G52" i="7"/>
  <c r="P57" i="34" s="1"/>
  <c r="P67" i="37"/>
  <c r="C86" i="33"/>
  <c r="P86" i="33"/>
  <c r="H85" i="7"/>
  <c r="P90" i="33" s="1"/>
  <c r="F45" i="7"/>
  <c r="P50" i="32" s="1"/>
  <c r="J88" i="7"/>
  <c r="K46" i="7"/>
  <c r="O16" i="7"/>
  <c r="C21" i="37" s="1"/>
  <c r="J37" i="7"/>
  <c r="L27" i="7"/>
  <c r="F50" i="7"/>
  <c r="P55" i="32" s="1"/>
  <c r="O77" i="7"/>
  <c r="C29" i="31"/>
  <c r="C29" i="35"/>
  <c r="H37" i="7"/>
  <c r="C42" i="33" s="1"/>
  <c r="E27" i="7"/>
  <c r="P32" i="35" s="1"/>
  <c r="L85" i="7"/>
  <c r="C37" i="7"/>
  <c r="C42" i="18" s="1"/>
  <c r="I58" i="7"/>
  <c r="I73" i="7"/>
  <c r="G49" i="7"/>
  <c r="P54" i="34" s="1"/>
  <c r="O49" i="7"/>
  <c r="C54" i="37" s="1"/>
  <c r="J43" i="7"/>
  <c r="F43" i="7"/>
  <c r="K77" i="7"/>
  <c r="K54" i="7"/>
  <c r="K52" i="7"/>
  <c r="K40" i="7"/>
  <c r="E17" i="7"/>
  <c r="P22" i="35" s="1"/>
  <c r="E45" i="7"/>
  <c r="P50" i="35" s="1"/>
  <c r="E57" i="7"/>
  <c r="P62" i="35" s="1"/>
  <c r="E77" i="7"/>
  <c r="P82" i="35" s="1"/>
  <c r="G65" i="7"/>
  <c r="P70" i="34" s="1"/>
  <c r="P84" i="37"/>
  <c r="F82" i="7"/>
  <c r="H54" i="7"/>
  <c r="P59" i="33" s="1"/>
  <c r="C49" i="7"/>
  <c r="C54" i="18" s="1"/>
  <c r="O85" i="7"/>
  <c r="P90" i="37" s="1"/>
  <c r="L75" i="7"/>
  <c r="C56" i="7"/>
  <c r="H57" i="7"/>
  <c r="C62" i="33" s="1"/>
  <c r="L62" i="7"/>
  <c r="O88" i="7"/>
  <c r="H46" i="7"/>
  <c r="C51" i="33" s="1"/>
  <c r="G46" i="7"/>
  <c r="P51" i="34" s="1"/>
  <c r="G17" i="7"/>
  <c r="P22" i="34" s="1"/>
  <c r="I16" i="7"/>
  <c r="G37" i="7"/>
  <c r="P42" i="34" s="1"/>
  <c r="G27" i="7"/>
  <c r="P32" i="34" s="1"/>
  <c r="G50" i="7"/>
  <c r="P55" i="34" s="1"/>
  <c r="F77" i="7"/>
  <c r="C82" i="34" s="1"/>
  <c r="H88" i="7"/>
  <c r="J46" i="7"/>
  <c r="L73" i="7"/>
  <c r="E43" i="7"/>
  <c r="P48" i="35" s="1"/>
  <c r="E85" i="7"/>
  <c r="P90" i="35" s="1"/>
  <c r="K50" i="7"/>
  <c r="J85" i="7"/>
  <c r="K85" i="7"/>
  <c r="D77" i="7"/>
  <c r="P82" i="31" s="1"/>
  <c r="F56" i="7"/>
  <c r="C61" i="32" s="1"/>
  <c r="F74" i="7"/>
  <c r="F88" i="7"/>
  <c r="C93" i="32" s="1"/>
  <c r="F38" i="7"/>
  <c r="P43" i="32" s="1"/>
  <c r="F52" i="7"/>
  <c r="C57" i="34" s="1"/>
  <c r="F75" i="7"/>
  <c r="C80" i="32" s="1"/>
  <c r="F85" i="7"/>
  <c r="C90" i="32" s="1"/>
  <c r="H52" i="7"/>
  <c r="C40" i="7"/>
  <c r="C45" i="18" s="1"/>
  <c r="C16" i="7"/>
  <c r="C21" i="18" s="1"/>
  <c r="D40" i="7"/>
  <c r="C45" i="35" s="1"/>
  <c r="I65" i="7"/>
  <c r="I40" i="7"/>
  <c r="I62" i="7"/>
  <c r="I45" i="7"/>
  <c r="J49" i="7"/>
  <c r="D56" i="7"/>
  <c r="P61" i="31" s="1"/>
  <c r="D50" i="7"/>
  <c r="C55" i="35" s="1"/>
  <c r="D30" i="7"/>
  <c r="P35" i="31" s="1"/>
  <c r="J40" i="7"/>
  <c r="E63" i="7"/>
  <c r="P68" i="35" s="1"/>
  <c r="O63" i="7"/>
  <c r="P68" i="37" s="1"/>
  <c r="F68" i="7"/>
  <c r="L68" i="7"/>
  <c r="F39" i="7"/>
  <c r="P44" i="32" s="1"/>
  <c r="E39" i="7"/>
  <c r="P44" i="35" s="1"/>
  <c r="L39" i="7"/>
  <c r="O39" i="7"/>
  <c r="C44" i="37" s="1"/>
  <c r="J87" i="7"/>
  <c r="D27" i="7"/>
  <c r="P32" i="31" s="1"/>
  <c r="H29" i="7"/>
  <c r="C34" i="33" s="1"/>
  <c r="E29" i="7"/>
  <c r="P34" i="35" s="1"/>
  <c r="O29" i="7"/>
  <c r="E23" i="7"/>
  <c r="P28" i="35" s="1"/>
  <c r="F23" i="7"/>
  <c r="C28" i="34" s="1"/>
  <c r="L23" i="7"/>
  <c r="L83" i="7"/>
  <c r="G83" i="7"/>
  <c r="P88" i="34" s="1"/>
  <c r="O83" i="7"/>
  <c r="F51" i="7"/>
  <c r="P56" i="32" s="1"/>
  <c r="F16" i="7"/>
  <c r="C21" i="32" s="1"/>
  <c r="H71" i="7"/>
  <c r="C76" i="33" s="1"/>
  <c r="H45" i="7"/>
  <c r="C50" i="33" s="1"/>
  <c r="C79" i="7"/>
  <c r="C84" i="18" s="1"/>
  <c r="J36" i="7"/>
  <c r="I21" i="7"/>
  <c r="I74" i="7"/>
  <c r="I68" i="7"/>
  <c r="D52" i="7"/>
  <c r="C57" i="31" s="1"/>
  <c r="D47" i="7"/>
  <c r="C52" i="35" s="1"/>
  <c r="D33" i="7"/>
  <c r="C38" i="31" s="1"/>
  <c r="D54" i="7"/>
  <c r="C59" i="31" s="1"/>
  <c r="J73" i="7"/>
  <c r="J56" i="7"/>
  <c r="H43" i="7"/>
  <c r="P48" i="33" s="1"/>
  <c r="C14" i="7"/>
  <c r="C19" i="18" s="1"/>
  <c r="E50" i="7"/>
  <c r="P55" i="35" s="1"/>
  <c r="R52" i="8"/>
  <c r="Q53" i="18" s="1"/>
  <c r="H75" i="8"/>
  <c r="R79" i="8"/>
  <c r="Q80" i="33" s="1"/>
  <c r="R33" i="8"/>
  <c r="E34" i="37" s="1"/>
  <c r="H36" i="8"/>
  <c r="H37" i="8"/>
  <c r="R49" i="8"/>
  <c r="R57" i="8"/>
  <c r="Q58" i="36" s="1"/>
  <c r="R58" i="36" s="1"/>
  <c r="H76" i="8"/>
  <c r="R21" i="8"/>
  <c r="E22" i="32" s="1"/>
  <c r="R25" i="8"/>
  <c r="E26" i="33" s="1"/>
  <c r="H25" i="39" s="1"/>
  <c r="R82" i="8"/>
  <c r="Q83" i="34" s="1"/>
  <c r="E96" i="31"/>
  <c r="E32" i="36"/>
  <c r="J31" i="39" s="1"/>
  <c r="R98" i="8"/>
  <c r="E99" i="37" s="1"/>
  <c r="R26" i="8"/>
  <c r="E27" i="34" s="1"/>
  <c r="H30" i="8"/>
  <c r="R37" i="8"/>
  <c r="E38" i="40" s="1"/>
  <c r="Q82" i="36"/>
  <c r="R82" i="36" s="1"/>
  <c r="R97" i="8"/>
  <c r="R19" i="8"/>
  <c r="E20" i="31" s="1"/>
  <c r="H23" i="8"/>
  <c r="R68" i="8"/>
  <c r="E69" i="36" s="1"/>
  <c r="J68" i="39" s="1"/>
  <c r="R83" i="8"/>
  <c r="E84" i="31" s="1"/>
  <c r="H91" i="8"/>
  <c r="R18" i="8"/>
  <c r="E19" i="35" s="1"/>
  <c r="H39" i="8"/>
  <c r="H41" i="8"/>
  <c r="R51" i="8"/>
  <c r="E52" i="37" s="1"/>
  <c r="H56" i="8"/>
  <c r="R63" i="8"/>
  <c r="E64" i="36" s="1"/>
  <c r="J63" i="39" s="1"/>
  <c r="R65" i="8"/>
  <c r="Q66" i="32" s="1"/>
  <c r="R67" i="8"/>
  <c r="E68" i="34" s="1"/>
  <c r="H69" i="8"/>
  <c r="R71" i="8"/>
  <c r="Q72" i="33" s="1"/>
  <c r="H73" i="8"/>
  <c r="R75" i="8"/>
  <c r="E76" i="18" s="1"/>
  <c r="H79" i="8"/>
  <c r="H82" i="8"/>
  <c r="H84" i="8"/>
  <c r="H86" i="8"/>
  <c r="H90" i="8"/>
  <c r="H92" i="8"/>
  <c r="Q84" i="40"/>
  <c r="Q20" i="32"/>
  <c r="E82" i="40"/>
  <c r="F82" i="40" s="1"/>
  <c r="R23" i="8"/>
  <c r="E24" i="18" s="1"/>
  <c r="Q82" i="18"/>
  <c r="Q52" i="33"/>
  <c r="R69" i="8"/>
  <c r="E70" i="33" s="1"/>
  <c r="Q96" i="32"/>
  <c r="Q96" i="31"/>
  <c r="R73" i="8"/>
  <c r="R55" i="8"/>
  <c r="H55" i="8"/>
  <c r="R59" i="8"/>
  <c r="Q60" i="40" s="1"/>
  <c r="H59" i="8"/>
  <c r="E82" i="36"/>
  <c r="J81" i="39" s="1"/>
  <c r="E82" i="18"/>
  <c r="Q82" i="33"/>
  <c r="E82" i="34"/>
  <c r="Q82" i="37"/>
  <c r="Q82" i="32"/>
  <c r="Q20" i="31"/>
  <c r="E82" i="32"/>
  <c r="H77" i="8"/>
  <c r="R77" i="8"/>
  <c r="R93" i="8"/>
  <c r="Q94" i="35" s="1"/>
  <c r="H93" i="8"/>
  <c r="Q82" i="34"/>
  <c r="E82" i="37"/>
  <c r="C81" i="39" s="1"/>
  <c r="R39" i="8"/>
  <c r="H98" i="8"/>
  <c r="H22" i="8"/>
  <c r="R29" i="8"/>
  <c r="E30" i="36" s="1"/>
  <c r="J29" i="39" s="1"/>
  <c r="H43" i="8"/>
  <c r="H47" i="8"/>
  <c r="H54" i="8"/>
  <c r="R61" i="8"/>
  <c r="H65" i="8"/>
  <c r="H68" i="8"/>
  <c r="H72" i="8"/>
  <c r="R87" i="8"/>
  <c r="E88" i="31" s="1"/>
  <c r="R91" i="8"/>
  <c r="Q92" i="40" s="1"/>
  <c r="E36" i="18"/>
  <c r="E36" i="34"/>
  <c r="E36" i="36"/>
  <c r="J35" i="39" s="1"/>
  <c r="E36" i="35"/>
  <c r="Q36" i="35"/>
  <c r="E36" i="40"/>
  <c r="F36" i="40" s="1"/>
  <c r="Q36" i="34"/>
  <c r="E36" i="37"/>
  <c r="E36" i="32"/>
  <c r="Q36" i="37"/>
  <c r="Q36" i="18"/>
  <c r="E76" i="31"/>
  <c r="E58" i="31"/>
  <c r="E35" i="18"/>
  <c r="E35" i="34"/>
  <c r="E35" i="33"/>
  <c r="E35" i="32"/>
  <c r="R85" i="8"/>
  <c r="H85" i="8"/>
  <c r="E35" i="40"/>
  <c r="F35" i="40" s="1"/>
  <c r="Q96" i="40"/>
  <c r="Q96" i="34"/>
  <c r="E96" i="36"/>
  <c r="J95" i="39" s="1"/>
  <c r="R89" i="8"/>
  <c r="R27" i="8"/>
  <c r="R53" i="8"/>
  <c r="H53" i="8"/>
  <c r="E83" i="32"/>
  <c r="Q96" i="33"/>
  <c r="Q96" i="37"/>
  <c r="E96" i="34"/>
  <c r="E68" i="36"/>
  <c r="J67" i="39" s="1"/>
  <c r="Q82" i="40"/>
  <c r="E82" i="35"/>
  <c r="E82" i="31"/>
  <c r="Q82" i="35"/>
  <c r="Q82" i="31"/>
  <c r="E34" i="40"/>
  <c r="F34" i="40" s="1"/>
  <c r="Q92" i="34"/>
  <c r="H87" i="8"/>
  <c r="I88" i="7"/>
  <c r="P79" i="32"/>
  <c r="C79" i="34"/>
  <c r="C79" i="32"/>
  <c r="C67" i="32"/>
  <c r="P67" i="32"/>
  <c r="C67" i="34"/>
  <c r="C62" i="34"/>
  <c r="P62" i="32"/>
  <c r="C42" i="34"/>
  <c r="F46" i="7"/>
  <c r="E16" i="7"/>
  <c r="P21" i="35" s="1"/>
  <c r="E56" i="7"/>
  <c r="P61" i="35" s="1"/>
  <c r="O62" i="6"/>
  <c r="M63" i="7" s="1"/>
  <c r="O74" i="6"/>
  <c r="M75" i="7" s="1"/>
  <c r="O23" i="6"/>
  <c r="M24" i="7" s="1"/>
  <c r="J26" i="7"/>
  <c r="P82" i="33"/>
  <c r="C82" i="33"/>
  <c r="F82" i="33" s="1"/>
  <c r="O89" i="6"/>
  <c r="M90" i="7" s="1"/>
  <c r="O76" i="6"/>
  <c r="M77" i="7" s="1"/>
  <c r="P78" i="33"/>
  <c r="O82" i="6"/>
  <c r="M83" i="7" s="1"/>
  <c r="O30" i="6"/>
  <c r="M31" i="7" s="1"/>
  <c r="O24" i="6"/>
  <c r="M25" i="7" s="1"/>
  <c r="H15" i="7"/>
  <c r="C20" i="33" s="1"/>
  <c r="O83" i="6"/>
  <c r="P83" i="6" s="1"/>
  <c r="O42" i="6"/>
  <c r="M43" i="7" s="1"/>
  <c r="O72" i="6"/>
  <c r="M73" i="7" s="1"/>
  <c r="D49" i="7"/>
  <c r="P54" i="31" s="1"/>
  <c r="P21" i="6"/>
  <c r="C52" i="31"/>
  <c r="C88" i="31"/>
  <c r="P88" i="31"/>
  <c r="C88" i="35"/>
  <c r="D65" i="7"/>
  <c r="C70" i="31" s="1"/>
  <c r="O88" i="6"/>
  <c r="M89" i="7" s="1"/>
  <c r="O50" i="6"/>
  <c r="P50" i="6" s="1"/>
  <c r="O20" i="6"/>
  <c r="M21" i="7" s="1"/>
  <c r="O14" i="6"/>
  <c r="M15" i="7" s="1"/>
  <c r="C97" i="31"/>
  <c r="O64" i="6"/>
  <c r="M65" i="7" s="1"/>
  <c r="O31" i="6"/>
  <c r="M32" i="7" s="1"/>
  <c r="O49" i="6"/>
  <c r="M50" i="7" s="1"/>
  <c r="P38" i="18"/>
  <c r="C62" i="18"/>
  <c r="P62" i="18"/>
  <c r="C67" i="18"/>
  <c r="P8" i="6"/>
  <c r="O61" i="6"/>
  <c r="P61" i="6" s="1"/>
  <c r="O43" i="6"/>
  <c r="M44" i="7" s="1"/>
  <c r="O38" i="6"/>
  <c r="M39" i="7" s="1"/>
  <c r="O59" i="6"/>
  <c r="P59" i="6" s="1"/>
  <c r="O78" i="6"/>
  <c r="P78" i="6" s="1"/>
  <c r="O16" i="6"/>
  <c r="M17" i="7" s="1"/>
  <c r="O90" i="6"/>
  <c r="P90" i="6" s="1"/>
  <c r="O47" i="6"/>
  <c r="M48" i="7" s="1"/>
  <c r="O52" i="6"/>
  <c r="P52" i="6" s="1"/>
  <c r="O32" i="6"/>
  <c r="M33" i="7" s="1"/>
  <c r="O81" i="6"/>
  <c r="M82" i="7" s="1"/>
  <c r="O55" i="6"/>
  <c r="P55" i="6" s="1"/>
  <c r="O33" i="6"/>
  <c r="P33" i="6" s="1"/>
  <c r="O17" i="6"/>
  <c r="P17" i="6" s="1"/>
  <c r="O51" i="6"/>
  <c r="M52" i="7" s="1"/>
  <c r="O85" i="6"/>
  <c r="P85" i="6" s="1"/>
  <c r="O60" i="6"/>
  <c r="P60" i="6" s="1"/>
  <c r="O40" i="6"/>
  <c r="M41" i="7" s="1"/>
  <c r="O36" i="6"/>
  <c r="P36" i="6" s="1"/>
  <c r="O26" i="6"/>
  <c r="P26" i="6" s="1"/>
  <c r="O66" i="6"/>
  <c r="P66" i="6" s="1"/>
  <c r="O22" i="6"/>
  <c r="O54" i="6"/>
  <c r="P54" i="6" s="1"/>
  <c r="O77" i="6"/>
  <c r="M78" i="7" s="1"/>
  <c r="O34" i="6"/>
  <c r="M35" i="7" s="1"/>
  <c r="O86" i="6"/>
  <c r="M87" i="7" s="1"/>
  <c r="O57" i="6"/>
  <c r="M58" i="7" s="1"/>
  <c r="O46" i="6"/>
  <c r="O18" i="6"/>
  <c r="P18" i="6" s="1"/>
  <c r="O80" i="6"/>
  <c r="O87" i="6"/>
  <c r="O48" i="6"/>
  <c r="P48" i="6" s="1"/>
  <c r="O91" i="6"/>
  <c r="M92" i="7" s="1"/>
  <c r="O73" i="6"/>
  <c r="M74" i="7" s="1"/>
  <c r="O70" i="6"/>
  <c r="M71" i="7" s="1"/>
  <c r="O84" i="6"/>
  <c r="M85" i="7" s="1"/>
  <c r="O13" i="6"/>
  <c r="M14" i="7" s="1"/>
  <c r="O25" i="6"/>
  <c r="M26" i="7" s="1"/>
  <c r="O39" i="6"/>
  <c r="P39" i="6" s="1"/>
  <c r="O56" i="6"/>
  <c r="M57" i="7" s="1"/>
  <c r="O53" i="6"/>
  <c r="M54" i="7" s="1"/>
  <c r="O37" i="6"/>
  <c r="M38" i="7" s="1"/>
  <c r="O29" i="6"/>
  <c r="P29" i="6" s="1"/>
  <c r="O15" i="6"/>
  <c r="M16" i="7" s="1"/>
  <c r="O41" i="6"/>
  <c r="M42" i="7" s="1"/>
  <c r="O65" i="6"/>
  <c r="M66" i="7" s="1"/>
  <c r="O71" i="6"/>
  <c r="P71" i="6" s="1"/>
  <c r="O68" i="6"/>
  <c r="P68" i="6" s="1"/>
  <c r="O45" i="6"/>
  <c r="M46" i="7" s="1"/>
  <c r="O28" i="6"/>
  <c r="O75" i="6"/>
  <c r="P75" i="6" s="1"/>
  <c r="P86" i="18"/>
  <c r="C86" i="18"/>
  <c r="C50" i="7"/>
  <c r="C55" i="18" s="1"/>
  <c r="O19" i="6"/>
  <c r="P19" i="6" s="1"/>
  <c r="O58" i="6"/>
  <c r="M59" i="7" s="1"/>
  <c r="O27" i="6"/>
  <c r="M28" i="7" s="1"/>
  <c r="O67" i="6"/>
  <c r="M68" i="7" s="1"/>
  <c r="O69" i="6"/>
  <c r="M70" i="7" s="1"/>
  <c r="O92" i="6"/>
  <c r="M93" i="7" s="1"/>
  <c r="O44" i="6"/>
  <c r="M45" i="7" s="1"/>
  <c r="O93" i="6"/>
  <c r="P93" i="6" s="1"/>
  <c r="O35" i="6"/>
  <c r="P35" i="6" s="1"/>
  <c r="O79" i="6"/>
  <c r="P79" i="6" s="1"/>
  <c r="O63" i="6"/>
  <c r="M64" i="7" s="1"/>
  <c r="P72" i="6"/>
  <c r="P26" i="37"/>
  <c r="C22" i="33"/>
  <c r="P22" i="18"/>
  <c r="C59" i="18"/>
  <c r="P59" i="18"/>
  <c r="C55" i="31"/>
  <c r="P55" i="31"/>
  <c r="P82" i="37"/>
  <c r="D19" i="7"/>
  <c r="C19" i="7"/>
  <c r="C24" i="18" s="1"/>
  <c r="K19" i="7"/>
  <c r="E19" i="7"/>
  <c r="P24" i="35" s="1"/>
  <c r="J19" i="7"/>
  <c r="F19" i="7"/>
  <c r="O19" i="7"/>
  <c r="H19" i="7"/>
  <c r="F14" i="7"/>
  <c r="C19" i="34" s="1"/>
  <c r="O14" i="7"/>
  <c r="E14" i="7"/>
  <c r="P19" i="35" s="1"/>
  <c r="G14" i="7"/>
  <c r="P19" i="34" s="1"/>
  <c r="L14" i="7"/>
  <c r="K14" i="7"/>
  <c r="I22" i="7"/>
  <c r="E22" i="7"/>
  <c r="P27" i="35" s="1"/>
  <c r="K22" i="7"/>
  <c r="D22" i="7"/>
  <c r="L22" i="7"/>
  <c r="J22" i="7"/>
  <c r="O22" i="7"/>
  <c r="H22" i="7"/>
  <c r="F87" i="7"/>
  <c r="P92" i="32" s="1"/>
  <c r="G87" i="7"/>
  <c r="P92" i="34" s="1"/>
  <c r="O87" i="7"/>
  <c r="E87" i="7"/>
  <c r="P92" i="35" s="1"/>
  <c r="L87" i="7"/>
  <c r="H87" i="7"/>
  <c r="P92" i="33" s="1"/>
  <c r="D87" i="7"/>
  <c r="K87" i="7"/>
  <c r="G91" i="7"/>
  <c r="P96" i="34" s="1"/>
  <c r="F91" i="7"/>
  <c r="C96" i="32" s="1"/>
  <c r="L91" i="7"/>
  <c r="H91" i="7"/>
  <c r="D91" i="7"/>
  <c r="P96" i="31" s="1"/>
  <c r="J91" i="7"/>
  <c r="K76" i="7"/>
  <c r="L76" i="7"/>
  <c r="E76" i="7"/>
  <c r="P81" i="35" s="1"/>
  <c r="G76" i="7"/>
  <c r="P81" i="34" s="1"/>
  <c r="O76" i="7"/>
  <c r="J90" i="7"/>
  <c r="K90" i="7"/>
  <c r="H90" i="7"/>
  <c r="D90" i="7"/>
  <c r="E90" i="7"/>
  <c r="P95" i="35" s="1"/>
  <c r="G90" i="7"/>
  <c r="P95" i="34" s="1"/>
  <c r="F86" i="7"/>
  <c r="C91" i="32" s="1"/>
  <c r="C86" i="7"/>
  <c r="E86" i="7"/>
  <c r="P91" i="35" s="1"/>
  <c r="O86" i="7"/>
  <c r="K86" i="7"/>
  <c r="H86" i="7"/>
  <c r="D86" i="7"/>
  <c r="C91" i="31" s="1"/>
  <c r="G86" i="7"/>
  <c r="P91" i="34" s="1"/>
  <c r="L84" i="7"/>
  <c r="O84" i="7"/>
  <c r="H84" i="7"/>
  <c r="P89" i="33" s="1"/>
  <c r="E84" i="7"/>
  <c r="P89" i="35" s="1"/>
  <c r="K84" i="7"/>
  <c r="I84" i="7"/>
  <c r="F84" i="7"/>
  <c r="C84" i="7"/>
  <c r="P89" i="18" s="1"/>
  <c r="D84" i="7"/>
  <c r="L41" i="7"/>
  <c r="K41" i="7"/>
  <c r="I41" i="7"/>
  <c r="O41" i="7"/>
  <c r="E41" i="7"/>
  <c r="P46" i="35" s="1"/>
  <c r="G41" i="7"/>
  <c r="P46" i="34" s="1"/>
  <c r="C41" i="7"/>
  <c r="O20" i="7"/>
  <c r="E20" i="7"/>
  <c r="P25" i="35" s="1"/>
  <c r="J20" i="7"/>
  <c r="C20" i="7"/>
  <c r="F20" i="7"/>
  <c r="C25" i="32" s="1"/>
  <c r="H20" i="7"/>
  <c r="G20" i="7"/>
  <c r="P25" i="34" s="1"/>
  <c r="L59" i="7"/>
  <c r="F59" i="7"/>
  <c r="G59" i="7"/>
  <c r="P64" i="34" s="1"/>
  <c r="O59" i="7"/>
  <c r="D59" i="7"/>
  <c r="C59" i="7"/>
  <c r="H59" i="7"/>
  <c r="P64" i="33" s="1"/>
  <c r="L34" i="7"/>
  <c r="K34" i="7"/>
  <c r="H34" i="7"/>
  <c r="C39" i="33" s="1"/>
  <c r="C34" i="7"/>
  <c r="C39" i="18" s="1"/>
  <c r="D34" i="7"/>
  <c r="P39" i="31" s="1"/>
  <c r="J34" i="7"/>
  <c r="E34" i="7"/>
  <c r="P39" i="35" s="1"/>
  <c r="F34" i="7"/>
  <c r="C39" i="34" s="1"/>
  <c r="G34" i="7"/>
  <c r="P39" i="34" s="1"/>
  <c r="I59" i="7"/>
  <c r="C50" i="37"/>
  <c r="P50" i="37"/>
  <c r="P33" i="32"/>
  <c r="C33" i="34"/>
  <c r="G19" i="7"/>
  <c r="P24" i="34" s="1"/>
  <c r="G84" i="7"/>
  <c r="P89" i="34" s="1"/>
  <c r="C87" i="7"/>
  <c r="K59" i="7"/>
  <c r="D20" i="7"/>
  <c r="J59" i="7"/>
  <c r="J84" i="7"/>
  <c r="D67" i="7"/>
  <c r="I67" i="7"/>
  <c r="E67" i="7"/>
  <c r="P72" i="35" s="1"/>
  <c r="G67" i="7"/>
  <c r="P72" i="34" s="1"/>
  <c r="O67" i="7"/>
  <c r="F67" i="7"/>
  <c r="C72" i="34" s="1"/>
  <c r="E64" i="7"/>
  <c r="P69" i="35" s="1"/>
  <c r="G64" i="7"/>
  <c r="P69" i="34" s="1"/>
  <c r="D64" i="7"/>
  <c r="H64" i="7"/>
  <c r="J64" i="7"/>
  <c r="C64" i="7"/>
  <c r="P69" i="18" s="1"/>
  <c r="O64" i="7"/>
  <c r="D42" i="7"/>
  <c r="F42" i="7"/>
  <c r="C47" i="32" s="1"/>
  <c r="G42" i="7"/>
  <c r="P47" i="34" s="1"/>
  <c r="L42" i="7"/>
  <c r="C42" i="7"/>
  <c r="O42" i="7"/>
  <c r="I42" i="7"/>
  <c r="J53" i="7"/>
  <c r="H53" i="7"/>
  <c r="P58" i="33" s="1"/>
  <c r="K53" i="7"/>
  <c r="I53" i="7"/>
  <c r="E53" i="7"/>
  <c r="P58" i="35" s="1"/>
  <c r="O53" i="7"/>
  <c r="L70" i="7"/>
  <c r="I70" i="7"/>
  <c r="C70" i="7"/>
  <c r="H69" i="7"/>
  <c r="E69" i="7"/>
  <c r="P74" i="35" s="1"/>
  <c r="K69" i="7"/>
  <c r="I69" i="7"/>
  <c r="F69" i="7"/>
  <c r="C74" i="32" s="1"/>
  <c r="E25" i="7"/>
  <c r="P30" i="35" s="1"/>
  <c r="J25" i="7"/>
  <c r="F25" i="7"/>
  <c r="C30" i="34" s="1"/>
  <c r="H25" i="7"/>
  <c r="P30" i="33" s="1"/>
  <c r="O55" i="7"/>
  <c r="G55" i="7"/>
  <c r="P60" i="34" s="1"/>
  <c r="D55" i="7"/>
  <c r="C60" i="31" s="1"/>
  <c r="I55" i="7"/>
  <c r="E55" i="7"/>
  <c r="P60" i="35" s="1"/>
  <c r="K55" i="7"/>
  <c r="F55" i="7"/>
  <c r="L55" i="7"/>
  <c r="K60" i="7"/>
  <c r="E60" i="7"/>
  <c r="P65" i="35" s="1"/>
  <c r="G60" i="7"/>
  <c r="P65" i="34" s="1"/>
  <c r="I60" i="7"/>
  <c r="L60" i="7"/>
  <c r="O60" i="7"/>
  <c r="F31" i="7"/>
  <c r="P36" i="32" s="1"/>
  <c r="E31" i="7"/>
  <c r="P36" i="35" s="1"/>
  <c r="G31" i="7"/>
  <c r="P36" i="34" s="1"/>
  <c r="H31" i="7"/>
  <c r="C36" i="33" s="1"/>
  <c r="O31" i="7"/>
  <c r="I51" i="7"/>
  <c r="H51" i="7"/>
  <c r="J51" i="7"/>
  <c r="O51" i="7"/>
  <c r="E51" i="7"/>
  <c r="P56" i="35" s="1"/>
  <c r="G51" i="7"/>
  <c r="P56" i="34" s="1"/>
  <c r="L51" i="7"/>
  <c r="D51" i="7"/>
  <c r="C56" i="31" s="1"/>
  <c r="D93" i="7"/>
  <c r="C98" i="31" s="1"/>
  <c r="H93" i="7"/>
  <c r="E93" i="7"/>
  <c r="P98" i="35" s="1"/>
  <c r="O93" i="7"/>
  <c r="J93" i="7"/>
  <c r="G93" i="7"/>
  <c r="P98" i="34" s="1"/>
  <c r="I93" i="7"/>
  <c r="G36" i="7"/>
  <c r="P41" i="34" s="1"/>
  <c r="L36" i="7"/>
  <c r="E36" i="7"/>
  <c r="P41" i="35" s="1"/>
  <c r="K36" i="7"/>
  <c r="C36" i="7"/>
  <c r="C41" i="18" s="1"/>
  <c r="E38" i="7"/>
  <c r="P43" i="35" s="1"/>
  <c r="I38" i="7"/>
  <c r="D38" i="7"/>
  <c r="C43" i="35" s="1"/>
  <c r="J38" i="7"/>
  <c r="G38" i="7"/>
  <c r="P43" i="34" s="1"/>
  <c r="L38" i="7"/>
  <c r="K38" i="7"/>
  <c r="H38" i="7"/>
  <c r="P43" i="33" s="1"/>
  <c r="L61" i="7"/>
  <c r="F61" i="7"/>
  <c r="D61" i="7"/>
  <c r="H61" i="7"/>
  <c r="C66" i="33" s="1"/>
  <c r="E61" i="7"/>
  <c r="P66" i="35" s="1"/>
  <c r="G61" i="7"/>
  <c r="P66" i="34" s="1"/>
  <c r="C61" i="7"/>
  <c r="I61" i="7"/>
  <c r="J18" i="7"/>
  <c r="I18" i="7"/>
  <c r="E18" i="7"/>
  <c r="P23" i="35" s="1"/>
  <c r="C18" i="7"/>
  <c r="G18" i="7"/>
  <c r="P23" i="34" s="1"/>
  <c r="D18" i="7"/>
  <c r="C23" i="31" s="1"/>
  <c r="O18" i="7"/>
  <c r="H18" i="7"/>
  <c r="E44" i="7"/>
  <c r="P49" i="35" s="1"/>
  <c r="O44" i="7"/>
  <c r="L44" i="7"/>
  <c r="F44" i="7"/>
  <c r="C49" i="32" s="1"/>
  <c r="G44" i="7"/>
  <c r="P49" i="34" s="1"/>
  <c r="H44" i="7"/>
  <c r="C49" i="33" s="1"/>
  <c r="C44" i="7"/>
  <c r="C49" i="18" s="1"/>
  <c r="D66" i="7"/>
  <c r="C71" i="35" s="1"/>
  <c r="I66" i="7"/>
  <c r="J66" i="7"/>
  <c r="F66" i="7"/>
  <c r="K66" i="7"/>
  <c r="G66" i="7"/>
  <c r="P71" i="34" s="1"/>
  <c r="L66" i="7"/>
  <c r="H66" i="7"/>
  <c r="O66" i="7"/>
  <c r="E94" i="7"/>
  <c r="P99" i="35" s="1"/>
  <c r="I94" i="7"/>
  <c r="H94" i="7"/>
  <c r="F94" i="7"/>
  <c r="K93" i="7"/>
  <c r="K67" i="7"/>
  <c r="K61" i="7"/>
  <c r="I32" i="7"/>
  <c r="H32" i="7"/>
  <c r="P37" i="33" s="1"/>
  <c r="C82" i="37"/>
  <c r="G94" i="7"/>
  <c r="P99" i="34" s="1"/>
  <c r="O90" i="7"/>
  <c r="C31" i="7"/>
  <c r="G25" i="7"/>
  <c r="P30" i="34" s="1"/>
  <c r="C66" i="7"/>
  <c r="J61" i="7"/>
  <c r="O38" i="7"/>
  <c r="C38" i="7"/>
  <c r="O36" i="7"/>
  <c r="P41" i="37" s="1"/>
  <c r="P83" i="18"/>
  <c r="C83" i="18"/>
  <c r="C53" i="33"/>
  <c r="P53" i="33"/>
  <c r="I64" i="7"/>
  <c r="J67" i="7"/>
  <c r="I14" i="7"/>
  <c r="P59" i="37"/>
  <c r="F41" i="7"/>
  <c r="J41" i="7"/>
  <c r="P31" i="37"/>
  <c r="K18" i="7"/>
  <c r="I86" i="7"/>
  <c r="L90" i="7"/>
  <c r="C81" i="33"/>
  <c r="J31" i="7"/>
  <c r="H55" i="7"/>
  <c r="C60" i="33" s="1"/>
  <c r="G70" i="7"/>
  <c r="P75" i="34" s="1"/>
  <c r="G53" i="7"/>
  <c r="P58" i="34" s="1"/>
  <c r="C70" i="37"/>
  <c r="K20" i="7"/>
  <c r="J44" i="7"/>
  <c r="C40" i="34"/>
  <c r="P40" i="32"/>
  <c r="O61" i="7"/>
  <c r="L19" i="7"/>
  <c r="D41" i="7"/>
  <c r="O91" i="7"/>
  <c r="F22" i="7"/>
  <c r="P53" i="18"/>
  <c r="C53" i="18"/>
  <c r="L67" i="7"/>
  <c r="E66" i="7"/>
  <c r="P71" i="35" s="1"/>
  <c r="O15" i="7"/>
  <c r="P20" i="37" s="1"/>
  <c r="M22" i="7"/>
  <c r="F64" i="7"/>
  <c r="O80" i="7"/>
  <c r="C26" i="33"/>
  <c r="P26" i="33"/>
  <c r="C78" i="31"/>
  <c r="C86" i="34"/>
  <c r="P86" i="32"/>
  <c r="C86" i="32"/>
  <c r="C62" i="35"/>
  <c r="C62" i="31"/>
  <c r="H14" i="7"/>
  <c r="C51" i="7"/>
  <c r="J86" i="7"/>
  <c r="I20" i="7"/>
  <c r="E37" i="7"/>
  <c r="P42" i="35" s="1"/>
  <c r="E40" i="7"/>
  <c r="P45" i="35" s="1"/>
  <c r="H89" i="7"/>
  <c r="C94" i="33" s="1"/>
  <c r="E89" i="7"/>
  <c r="P94" i="35" s="1"/>
  <c r="L92" i="7"/>
  <c r="I92" i="7"/>
  <c r="F92" i="7"/>
  <c r="L28" i="7"/>
  <c r="H28" i="7"/>
  <c r="E88" i="7"/>
  <c r="P93" i="35" s="1"/>
  <c r="H24" i="7"/>
  <c r="P29" i="33" s="1"/>
  <c r="D43" i="7"/>
  <c r="P48" i="31" s="1"/>
  <c r="I35" i="7"/>
  <c r="O37" i="7"/>
  <c r="D46" i="7"/>
  <c r="C51" i="31" s="1"/>
  <c r="F89" i="7"/>
  <c r="F18" i="7"/>
  <c r="H67" i="7"/>
  <c r="C72" i="33" s="1"/>
  <c r="I90" i="7"/>
  <c r="D88" i="7"/>
  <c r="J28" i="7"/>
  <c r="J60" i="7"/>
  <c r="E73" i="7"/>
  <c r="P78" i="35" s="1"/>
  <c r="G73" i="7"/>
  <c r="P78" i="34" s="1"/>
  <c r="F73" i="7"/>
  <c r="H33" i="7"/>
  <c r="E33" i="7"/>
  <c r="P38" i="35" s="1"/>
  <c r="C93" i="7"/>
  <c r="F93" i="7"/>
  <c r="C98" i="32" s="1"/>
  <c r="F90" i="7"/>
  <c r="P95" i="32" s="1"/>
  <c r="I81" i="7"/>
  <c r="I34" i="7"/>
  <c r="C22" i="7"/>
  <c r="J14" i="7"/>
  <c r="D44" i="7"/>
  <c r="K64" i="7"/>
  <c r="P39" i="37"/>
  <c r="P29" i="31"/>
  <c r="C33" i="37"/>
  <c r="C29" i="37"/>
  <c r="C33" i="32"/>
  <c r="C29" i="34"/>
  <c r="B20" i="35"/>
  <c r="O20" i="34"/>
  <c r="P84" i="31"/>
  <c r="C84" i="35"/>
  <c r="C21" i="31"/>
  <c r="P21" i="31"/>
  <c r="C55" i="33"/>
  <c r="P55" i="33"/>
  <c r="P80" i="33"/>
  <c r="C95" i="32"/>
  <c r="H63" i="7"/>
  <c r="H92" i="7"/>
  <c r="I87" i="7"/>
  <c r="H79" i="7"/>
  <c r="P84" i="33" s="1"/>
  <c r="I79" i="7"/>
  <c r="F79" i="7"/>
  <c r="K79" i="7"/>
  <c r="J79" i="7"/>
  <c r="J42" i="7"/>
  <c r="K42" i="7"/>
  <c r="E42" i="7"/>
  <c r="P47" i="35" s="1"/>
  <c r="H65" i="7"/>
  <c r="C65" i="7"/>
  <c r="E65" i="7"/>
  <c r="P70" i="35" s="1"/>
  <c r="F53" i="7"/>
  <c r="D53" i="7"/>
  <c r="P58" i="31" s="1"/>
  <c r="L53" i="7"/>
  <c r="C53" i="7"/>
  <c r="J75" i="7"/>
  <c r="O75" i="7"/>
  <c r="E75" i="7"/>
  <c r="P80" i="35" s="1"/>
  <c r="D75" i="7"/>
  <c r="P80" i="31" s="1"/>
  <c r="O70" i="7"/>
  <c r="D70" i="7"/>
  <c r="H70" i="7"/>
  <c r="J70" i="7"/>
  <c r="K70" i="7"/>
  <c r="F70" i="7"/>
  <c r="E70" i="7"/>
  <c r="P75" i="35" s="1"/>
  <c r="O25" i="7"/>
  <c r="L25" i="7"/>
  <c r="C25" i="7"/>
  <c r="K25" i="7"/>
  <c r="D25" i="7"/>
  <c r="C30" i="35" s="1"/>
  <c r="E91" i="7"/>
  <c r="P96" i="35" s="1"/>
  <c r="K91" i="7"/>
  <c r="C91" i="7"/>
  <c r="P96" i="18" s="1"/>
  <c r="I91" i="7"/>
  <c r="R24" i="8"/>
  <c r="H24" i="8"/>
  <c r="H25" i="8"/>
  <c r="H26" i="8"/>
  <c r="R58" i="8"/>
  <c r="H58" i="8"/>
  <c r="Q61" i="35"/>
  <c r="H60" i="8"/>
  <c r="H61" i="8"/>
  <c r="R80" i="8"/>
  <c r="H80" i="8"/>
  <c r="H81" i="8"/>
  <c r="P53" i="31"/>
  <c r="C53" i="31"/>
  <c r="C63" i="33"/>
  <c r="H78" i="7"/>
  <c r="D14" i="7"/>
  <c r="D68" i="7"/>
  <c r="F54" i="7"/>
  <c r="D62" i="7"/>
  <c r="J62" i="7"/>
  <c r="K62" i="7"/>
  <c r="H62" i="7"/>
  <c r="J76" i="7"/>
  <c r="C76" i="7"/>
  <c r="P81" i="18" s="1"/>
  <c r="F76" i="7"/>
  <c r="C81" i="34" s="1"/>
  <c r="I76" i="7"/>
  <c r="D76" i="7"/>
  <c r="C81" i="31" s="1"/>
  <c r="F49" i="7"/>
  <c r="H49" i="7"/>
  <c r="P54" i="33" s="1"/>
  <c r="E49" i="7"/>
  <c r="P54" i="35" s="1"/>
  <c r="O57" i="7"/>
  <c r="K57" i="7"/>
  <c r="J57" i="7"/>
  <c r="C28" i="7"/>
  <c r="C52" i="7"/>
  <c r="C89" i="7"/>
  <c r="C67" i="7"/>
  <c r="C55" i="7"/>
  <c r="AE29" i="5"/>
  <c r="H97" i="8"/>
  <c r="H18" i="8"/>
  <c r="H19" i="8"/>
  <c r="R32" i="8"/>
  <c r="H32" i="8"/>
  <c r="H33" i="8"/>
  <c r="Q35" i="36"/>
  <c r="R35" i="36" s="1"/>
  <c r="Q35" i="34"/>
  <c r="Q35" i="32"/>
  <c r="E35" i="31"/>
  <c r="H35" i="8"/>
  <c r="R50" i="8"/>
  <c r="H51" i="8"/>
  <c r="H52" i="8"/>
  <c r="R66" i="8"/>
  <c r="H67" i="8"/>
  <c r="H71" i="8"/>
  <c r="H83" i="8"/>
  <c r="N18" i="8"/>
  <c r="N20" i="8"/>
  <c r="N21" i="8"/>
  <c r="N22" i="8"/>
  <c r="N23" i="8"/>
  <c r="N24" i="8"/>
  <c r="N25" i="8"/>
  <c r="N26" i="8"/>
  <c r="N27" i="8"/>
  <c r="N28" i="8"/>
  <c r="N29" i="8"/>
  <c r="N30" i="8"/>
  <c r="N31" i="8"/>
  <c r="N32" i="8"/>
  <c r="N33" i="8"/>
  <c r="N34" i="8"/>
  <c r="N36" i="8"/>
  <c r="N37" i="8"/>
  <c r="N38" i="8"/>
  <c r="N39" i="8"/>
  <c r="N40" i="8"/>
  <c r="N41" i="8"/>
  <c r="N42" i="8"/>
  <c r="N43" i="8"/>
  <c r="N44" i="8"/>
  <c r="N45" i="8"/>
  <c r="N46" i="8"/>
  <c r="N47" i="8"/>
  <c r="N48" i="8"/>
  <c r="N49" i="8"/>
  <c r="N50" i="8"/>
  <c r="N52" i="8"/>
  <c r="N53" i="8"/>
  <c r="N54" i="8"/>
  <c r="N55" i="8"/>
  <c r="N56" i="8"/>
  <c r="N57" i="8"/>
  <c r="N58" i="8"/>
  <c r="N59" i="8"/>
  <c r="N60" i="8"/>
  <c r="N61" i="8"/>
  <c r="N62" i="8"/>
  <c r="N63" i="8"/>
  <c r="N64" i="8"/>
  <c r="N65" i="8"/>
  <c r="N66" i="8"/>
  <c r="N68" i="8"/>
  <c r="N69" i="8"/>
  <c r="N70" i="8"/>
  <c r="N71" i="8"/>
  <c r="N72" i="8"/>
  <c r="N73" i="8"/>
  <c r="N74" i="8"/>
  <c r="N75" i="8"/>
  <c r="N76" i="8"/>
  <c r="N77" i="8"/>
  <c r="N78" i="8"/>
  <c r="N79" i="8"/>
  <c r="N80" i="8"/>
  <c r="N81" i="8"/>
  <c r="N82" i="8"/>
  <c r="N84" i="8"/>
  <c r="N85" i="8"/>
  <c r="N86" i="8"/>
  <c r="N87" i="8"/>
  <c r="N88" i="8"/>
  <c r="N89" i="8"/>
  <c r="N90" i="8"/>
  <c r="N91" i="8"/>
  <c r="N92" i="8"/>
  <c r="N93" i="8"/>
  <c r="N94" i="8"/>
  <c r="N95" i="8"/>
  <c r="N96" i="8"/>
  <c r="N97" i="8"/>
  <c r="N98" i="8"/>
  <c r="L94" i="7"/>
  <c r="J94" i="7"/>
  <c r="D94" i="7"/>
  <c r="C94" i="7"/>
  <c r="O94" i="7"/>
  <c r="L82" i="7"/>
  <c r="C82" i="7"/>
  <c r="O82" i="7"/>
  <c r="D82" i="7"/>
  <c r="I82" i="7"/>
  <c r="H82" i="7"/>
  <c r="L80" i="7"/>
  <c r="G80" i="7"/>
  <c r="P85" i="34" s="1"/>
  <c r="H80" i="7"/>
  <c r="D80" i="7"/>
  <c r="C85" i="31" s="1"/>
  <c r="J80" i="7"/>
  <c r="K80" i="7"/>
  <c r="I80" i="7"/>
  <c r="C80" i="7"/>
  <c r="E80" i="7"/>
  <c r="P85" i="35" s="1"/>
  <c r="K74" i="7"/>
  <c r="L58" i="7"/>
  <c r="C58" i="7"/>
  <c r="G58" i="7"/>
  <c r="P63" i="34" s="1"/>
  <c r="O58" i="7"/>
  <c r="C63" i="37" s="1"/>
  <c r="K58" i="7"/>
  <c r="J58" i="7"/>
  <c r="E58" i="7"/>
  <c r="P63" i="35" s="1"/>
  <c r="D58" i="7"/>
  <c r="K43" i="7"/>
  <c r="K39" i="7"/>
  <c r="L32" i="7"/>
  <c r="G32" i="7"/>
  <c r="P37" i="34" s="1"/>
  <c r="J32" i="7"/>
  <c r="F32" i="7"/>
  <c r="P37" i="32" s="1"/>
  <c r="O32" i="7"/>
  <c r="C32" i="7"/>
  <c r="K32" i="7"/>
  <c r="D32" i="7"/>
  <c r="E32" i="7"/>
  <c r="P37" i="35" s="1"/>
  <c r="L15" i="7"/>
  <c r="G15" i="7"/>
  <c r="P20" i="34" s="1"/>
  <c r="K15" i="7"/>
  <c r="C15" i="7"/>
  <c r="D15" i="7"/>
  <c r="F15" i="7"/>
  <c r="J15" i="7"/>
  <c r="I15" i="7"/>
  <c r="E15" i="7"/>
  <c r="P20" i="35" s="1"/>
  <c r="AH10" i="5"/>
  <c r="AH13" i="5"/>
  <c r="AH8" i="5"/>
  <c r="AH14" i="5"/>
  <c r="AH21" i="5"/>
  <c r="R86" i="8"/>
  <c r="R78" i="8"/>
  <c r="R90" i="8"/>
  <c r="R74" i="8"/>
  <c r="R64" i="8"/>
  <c r="R56" i="8"/>
  <c r="R48" i="8"/>
  <c r="R47" i="8"/>
  <c r="R46" i="8"/>
  <c r="R45" i="8"/>
  <c r="R44" i="8"/>
  <c r="R43" i="8"/>
  <c r="R42" i="8"/>
  <c r="R41" i="8"/>
  <c r="R40" i="8"/>
  <c r="R38" i="8"/>
  <c r="R30" i="8"/>
  <c r="R22" i="8"/>
  <c r="R94" i="8"/>
  <c r="C76" i="31"/>
  <c r="C76" i="35"/>
  <c r="H41" i="7"/>
  <c r="C90" i="7"/>
  <c r="F27" i="7"/>
  <c r="J27" i="7"/>
  <c r="H27" i="7"/>
  <c r="C27" i="7"/>
  <c r="K71" i="7"/>
  <c r="F71" i="7"/>
  <c r="P76" i="32" s="1"/>
  <c r="G69" i="7"/>
  <c r="P74" i="34" s="1"/>
  <c r="J69" i="7"/>
  <c r="L69" i="7"/>
  <c r="D69" i="7"/>
  <c r="P74" i="31" s="1"/>
  <c r="C69" i="7"/>
  <c r="O69" i="7"/>
  <c r="J33" i="7"/>
  <c r="O33" i="7"/>
  <c r="D74" i="7"/>
  <c r="J74" i="7"/>
  <c r="I48" i="7"/>
  <c r="J45" i="7"/>
  <c r="C45" i="7"/>
  <c r="C50" i="18" s="1"/>
  <c r="D45" i="7"/>
  <c r="J52" i="7"/>
  <c r="F60" i="7"/>
  <c r="D60" i="7"/>
  <c r="C60" i="7"/>
  <c r="D85" i="7"/>
  <c r="C85" i="7"/>
  <c r="P90" i="18" s="1"/>
  <c r="K31" i="7"/>
  <c r="D31" i="7"/>
  <c r="I31" i="7"/>
  <c r="L31" i="7"/>
  <c r="J72" i="7"/>
  <c r="F72" i="7"/>
  <c r="K72" i="7"/>
  <c r="I72" i="7"/>
  <c r="I36" i="7"/>
  <c r="H36" i="7"/>
  <c r="C41" i="33" s="1"/>
  <c r="D21" i="7"/>
  <c r="J21" i="7"/>
  <c r="F21" i="7"/>
  <c r="O30" i="7"/>
  <c r="D35" i="7"/>
  <c r="L35" i="7"/>
  <c r="J50" i="7"/>
  <c r="AF29" i="5"/>
  <c r="R96" i="8"/>
  <c r="H95" i="8"/>
  <c r="H94" i="8"/>
  <c r="AH12" i="5"/>
  <c r="AH20" i="5"/>
  <c r="AH9" i="5"/>
  <c r="AH23" i="5"/>
  <c r="AH11" i="5"/>
  <c r="AH22" i="5"/>
  <c r="AH26" i="5"/>
  <c r="AH17" i="5"/>
  <c r="AH18" i="5"/>
  <c r="R20" i="8"/>
  <c r="H21" i="8"/>
  <c r="R28" i="8"/>
  <c r="H28" i="8"/>
  <c r="H31" i="8"/>
  <c r="R36" i="8"/>
  <c r="H42" i="8"/>
  <c r="H44" i="8"/>
  <c r="H45" i="8"/>
  <c r="H48" i="8"/>
  <c r="H49" i="8"/>
  <c r="R54" i="8"/>
  <c r="R62" i="8"/>
  <c r="H63" i="8"/>
  <c r="H64" i="8"/>
  <c r="R70" i="8"/>
  <c r="R72" i="8"/>
  <c r="R88" i="8"/>
  <c r="R76" i="8"/>
  <c r="R84" i="8"/>
  <c r="R92" i="8"/>
  <c r="D11" i="39"/>
  <c r="W6" i="31"/>
  <c r="K12" i="33"/>
  <c r="K9" i="33"/>
  <c r="K10" i="33"/>
  <c r="O47" i="4"/>
  <c r="O36" i="4"/>
  <c r="W9" i="35"/>
  <c r="W12" i="35"/>
  <c r="K9" i="35"/>
  <c r="K10" i="35"/>
  <c r="O26" i="4"/>
  <c r="K6" i="37" s="1"/>
  <c r="O15" i="4"/>
  <c r="K6" i="18" s="1"/>
  <c r="K8" i="31"/>
  <c r="W8" i="31"/>
  <c r="O27" i="4"/>
  <c r="K6" i="36" s="1"/>
  <c r="O16" i="4"/>
  <c r="K6" i="31" s="1"/>
  <c r="W6" i="40"/>
  <c r="H12" i="39"/>
  <c r="K90" i="39" s="1"/>
  <c r="W8" i="36"/>
  <c r="K8" i="36"/>
  <c r="W6" i="35"/>
  <c r="H10" i="39"/>
  <c r="R17" i="4"/>
  <c r="W8" i="18"/>
  <c r="K8" i="18"/>
  <c r="W9" i="34"/>
  <c r="W12" i="34"/>
  <c r="W10" i="34"/>
  <c r="H81" i="39"/>
  <c r="K10" i="31"/>
  <c r="K12" i="31"/>
  <c r="K9" i="31"/>
  <c r="W12" i="33"/>
  <c r="W10" i="33"/>
  <c r="D12" i="39"/>
  <c r="W6" i="34"/>
  <c r="K98" i="39"/>
  <c r="K66" i="39"/>
  <c r="K34" i="39"/>
  <c r="K75" i="39"/>
  <c r="K43" i="39"/>
  <c r="K9" i="18"/>
  <c r="C31" i="35"/>
  <c r="C29" i="32"/>
  <c r="P93" i="32"/>
  <c r="P33" i="31"/>
  <c r="P86" i="31"/>
  <c r="P76" i="33"/>
  <c r="P44" i="33"/>
  <c r="C86" i="35"/>
  <c r="C97" i="18"/>
  <c r="C38" i="18"/>
  <c r="C33" i="31"/>
  <c r="C93" i="34"/>
  <c r="C68" i="18"/>
  <c r="P31" i="31"/>
  <c r="C94" i="31"/>
  <c r="P78" i="31"/>
  <c r="P94" i="31"/>
  <c r="P41" i="31"/>
  <c r="C41" i="35"/>
  <c r="P52" i="31" l="1"/>
  <c r="P50" i="33"/>
  <c r="C64" i="33"/>
  <c r="C73" i="18"/>
  <c r="P82" i="6"/>
  <c r="C63" i="32"/>
  <c r="C79" i="33"/>
  <c r="P88" i="33"/>
  <c r="P83" i="32"/>
  <c r="M37" i="7"/>
  <c r="P90" i="32"/>
  <c r="C83" i="32"/>
  <c r="F83" i="32" s="1"/>
  <c r="P88" i="18"/>
  <c r="C77" i="35"/>
  <c r="C82" i="31"/>
  <c r="F82" i="31" s="1"/>
  <c r="G82" i="31" s="1"/>
  <c r="C78" i="18"/>
  <c r="P80" i="32"/>
  <c r="C80" i="34"/>
  <c r="P65" i="33"/>
  <c r="C82" i="35"/>
  <c r="D75" i="39"/>
  <c r="P51" i="33"/>
  <c r="P77" i="33"/>
  <c r="C83" i="31"/>
  <c r="F83" i="31" s="1"/>
  <c r="G83" i="31" s="1"/>
  <c r="D81" i="39"/>
  <c r="P83" i="31"/>
  <c r="M76" i="7"/>
  <c r="C76" i="18"/>
  <c r="P82" i="18"/>
  <c r="C90" i="34"/>
  <c r="M69" i="7"/>
  <c r="C59" i="33"/>
  <c r="P23" i="6"/>
  <c r="C42" i="31"/>
  <c r="P42" i="18"/>
  <c r="C44" i="18"/>
  <c r="C41" i="32"/>
  <c r="C34" i="31"/>
  <c r="C39" i="32"/>
  <c r="C41" i="34"/>
  <c r="P42" i="31"/>
  <c r="O20" i="32"/>
  <c r="O20" i="18"/>
  <c r="B20" i="36"/>
  <c r="O20" i="36"/>
  <c r="O20" i="37"/>
  <c r="B20" i="40"/>
  <c r="P31" i="32"/>
  <c r="P26" i="18"/>
  <c r="C31" i="34"/>
  <c r="C31" i="33"/>
  <c r="O20" i="40"/>
  <c r="O20" i="35"/>
  <c r="B20" i="31"/>
  <c r="B20" i="32"/>
  <c r="B20" i="34"/>
  <c r="B20" i="18"/>
  <c r="P22" i="37"/>
  <c r="P28" i="18"/>
  <c r="P21" i="37"/>
  <c r="H34" i="39"/>
  <c r="C45" i="34"/>
  <c r="P63" i="32"/>
  <c r="P54" i="18"/>
  <c r="C52" i="18"/>
  <c r="F52" i="18" s="1"/>
  <c r="P54" i="37"/>
  <c r="C61" i="33"/>
  <c r="F61" i="33" s="1"/>
  <c r="H61" i="33" s="1"/>
  <c r="P41" i="33"/>
  <c r="P34" i="18"/>
  <c r="C68" i="37"/>
  <c r="P48" i="18"/>
  <c r="P53" i="37"/>
  <c r="C35" i="33"/>
  <c r="F35" i="33" s="1"/>
  <c r="H35" i="33" s="1"/>
  <c r="C50" i="32"/>
  <c r="C50" i="34"/>
  <c r="C89" i="33"/>
  <c r="C39" i="35"/>
  <c r="P47" i="33"/>
  <c r="C45" i="33"/>
  <c r="P52" i="32"/>
  <c r="F88" i="31"/>
  <c r="G88" i="31" s="1"/>
  <c r="P68" i="32"/>
  <c r="C58" i="33"/>
  <c r="P80" i="18"/>
  <c r="H69" i="39"/>
  <c r="P45" i="32"/>
  <c r="P77" i="37"/>
  <c r="C28" i="32"/>
  <c r="P28" i="32"/>
  <c r="P32" i="37"/>
  <c r="C35" i="31"/>
  <c r="F35" i="31" s="1"/>
  <c r="G35" i="31" s="1"/>
  <c r="C45" i="31"/>
  <c r="C38" i="35"/>
  <c r="P38" i="31"/>
  <c r="C48" i="33"/>
  <c r="P34" i="33"/>
  <c r="P45" i="31"/>
  <c r="C35" i="35"/>
  <c r="F35" i="35" s="1"/>
  <c r="P38" i="32"/>
  <c r="C34" i="34"/>
  <c r="F34" i="34" s="1"/>
  <c r="H34" i="34" s="1"/>
  <c r="C32" i="35"/>
  <c r="C34" i="32"/>
  <c r="C35" i="18"/>
  <c r="F35" i="18" s="1"/>
  <c r="C32" i="31"/>
  <c r="P21" i="18"/>
  <c r="C19" i="32"/>
  <c r="Q76" i="18"/>
  <c r="R76" i="18" s="1"/>
  <c r="Q20" i="40"/>
  <c r="Q76" i="33"/>
  <c r="E52" i="33"/>
  <c r="F52" i="33" s="1"/>
  <c r="E52" i="34"/>
  <c r="Q52" i="37"/>
  <c r="C53" i="34"/>
  <c r="C53" i="32"/>
  <c r="P53" i="32"/>
  <c r="P85" i="32"/>
  <c r="P77" i="18"/>
  <c r="K19" i="39"/>
  <c r="K51" i="39"/>
  <c r="K83" i="39"/>
  <c r="K42" i="39"/>
  <c r="K74" i="39"/>
  <c r="E99" i="36"/>
  <c r="J98" i="39" s="1"/>
  <c r="C79" i="18"/>
  <c r="C38" i="32"/>
  <c r="R82" i="31"/>
  <c r="Q58" i="35"/>
  <c r="E83" i="40"/>
  <c r="F83" i="40" s="1"/>
  <c r="Q34" i="40"/>
  <c r="B20" i="33"/>
  <c r="O20" i="31"/>
  <c r="O20" i="33"/>
  <c r="B16" i="7"/>
  <c r="P78" i="37"/>
  <c r="C78" i="37"/>
  <c r="C88" i="32"/>
  <c r="K27" i="39"/>
  <c r="K59" i="39"/>
  <c r="K91" i="39"/>
  <c r="K50" i="39"/>
  <c r="K82" i="39"/>
  <c r="C31" i="18"/>
  <c r="Q83" i="33"/>
  <c r="C85" i="32"/>
  <c r="P55" i="18"/>
  <c r="P88" i="32"/>
  <c r="C28" i="33"/>
  <c r="P76" i="6"/>
  <c r="Q58" i="37"/>
  <c r="C35" i="32"/>
  <c r="F35" i="32" s="1"/>
  <c r="C35" i="34"/>
  <c r="F35" i="34" s="1"/>
  <c r="C30" i="32"/>
  <c r="P51" i="18"/>
  <c r="C48" i="35"/>
  <c r="K35" i="39"/>
  <c r="K67" i="39"/>
  <c r="K26" i="39"/>
  <c r="K58" i="39"/>
  <c r="P24" i="6"/>
  <c r="E83" i="37"/>
  <c r="C82" i="39" s="1"/>
  <c r="P22" i="31"/>
  <c r="M94" i="7"/>
  <c r="E83" i="31"/>
  <c r="D34" i="39"/>
  <c r="P73" i="33"/>
  <c r="C73" i="33"/>
  <c r="P68" i="31"/>
  <c r="F82" i="34"/>
  <c r="H82" i="34" s="1"/>
  <c r="C52" i="34"/>
  <c r="C52" i="37"/>
  <c r="P52" i="37"/>
  <c r="R52" i="37" s="1"/>
  <c r="C69" i="18"/>
  <c r="C68" i="31"/>
  <c r="F68" i="31" s="1"/>
  <c r="G68" i="31" s="1"/>
  <c r="P44" i="31"/>
  <c r="P96" i="32"/>
  <c r="P34" i="31"/>
  <c r="C61" i="34"/>
  <c r="C43" i="32"/>
  <c r="C61" i="31"/>
  <c r="C92" i="33"/>
  <c r="C56" i="34"/>
  <c r="C90" i="37"/>
  <c r="C56" i="32"/>
  <c r="P52" i="33"/>
  <c r="R52" i="33" s="1"/>
  <c r="T52" i="33" s="1"/>
  <c r="P42" i="33"/>
  <c r="C68" i="34"/>
  <c r="F68" i="34" s="1"/>
  <c r="F52" i="34"/>
  <c r="H52" i="34" s="1"/>
  <c r="D35" i="39"/>
  <c r="P57" i="31"/>
  <c r="P44" i="37"/>
  <c r="P20" i="33"/>
  <c r="P59" i="31"/>
  <c r="C44" i="35"/>
  <c r="C92" i="34"/>
  <c r="C82" i="32"/>
  <c r="F82" i="32" s="1"/>
  <c r="C39" i="31"/>
  <c r="C29" i="18"/>
  <c r="C37" i="33"/>
  <c r="C77" i="31"/>
  <c r="C55" i="32"/>
  <c r="C83" i="37"/>
  <c r="P83" i="37"/>
  <c r="C28" i="31"/>
  <c r="C28" i="35"/>
  <c r="R82" i="37"/>
  <c r="T82" i="37" s="1"/>
  <c r="P98" i="32"/>
  <c r="P49" i="33"/>
  <c r="C51" i="39"/>
  <c r="C45" i="37"/>
  <c r="C76" i="37"/>
  <c r="Q35" i="33"/>
  <c r="R35" i="33" s="1"/>
  <c r="T35" i="33" s="1"/>
  <c r="E35" i="37"/>
  <c r="E69" i="34"/>
  <c r="G68" i="39" s="1"/>
  <c r="E34" i="34"/>
  <c r="Q58" i="40"/>
  <c r="R58" i="40" s="1"/>
  <c r="Q96" i="35"/>
  <c r="E96" i="33"/>
  <c r="H95" i="39" s="1"/>
  <c r="E96" i="32"/>
  <c r="E58" i="34"/>
  <c r="E68" i="18"/>
  <c r="D67" i="39" s="1"/>
  <c r="Q35" i="40"/>
  <c r="R35" i="40" s="1"/>
  <c r="Q58" i="34"/>
  <c r="E76" i="36"/>
  <c r="J75" i="39" s="1"/>
  <c r="E72" i="18"/>
  <c r="E52" i="32"/>
  <c r="F52" i="32" s="1"/>
  <c r="E20" i="40"/>
  <c r="F20" i="40" s="1"/>
  <c r="R96" i="18"/>
  <c r="S96" i="18" s="1"/>
  <c r="Q35" i="18"/>
  <c r="R35" i="18" s="1"/>
  <c r="Q35" i="35"/>
  <c r="R35" i="35" s="1"/>
  <c r="E68" i="31"/>
  <c r="E35" i="35"/>
  <c r="Q96" i="36"/>
  <c r="R96" i="36" s="1"/>
  <c r="Q35" i="31"/>
  <c r="R35" i="31" s="1"/>
  <c r="Q96" i="18"/>
  <c r="E96" i="40"/>
  <c r="F96" i="40" s="1"/>
  <c r="E35" i="36"/>
  <c r="J34" i="39" s="1"/>
  <c r="Q76" i="36"/>
  <c r="R76" i="36" s="1"/>
  <c r="E96" i="35"/>
  <c r="Q20" i="33"/>
  <c r="E96" i="37"/>
  <c r="E61" i="18"/>
  <c r="D60" i="39" s="1"/>
  <c r="Q70" i="36"/>
  <c r="R70" i="36" s="1"/>
  <c r="Q92" i="32"/>
  <c r="Q32" i="33"/>
  <c r="Q32" i="37"/>
  <c r="Q32" i="31"/>
  <c r="Q80" i="31"/>
  <c r="E32" i="40"/>
  <c r="F32" i="40" s="1"/>
  <c r="Q53" i="33"/>
  <c r="R53" i="33" s="1"/>
  <c r="S53" i="33" s="1"/>
  <c r="Q61" i="31"/>
  <c r="R61" i="31" s="1"/>
  <c r="E94" i="32"/>
  <c r="Q61" i="40"/>
  <c r="Q36" i="33"/>
  <c r="E36" i="33"/>
  <c r="F36" i="33" s="1"/>
  <c r="Q36" i="40"/>
  <c r="R36" i="40" s="1"/>
  <c r="Q64" i="31"/>
  <c r="Q61" i="32"/>
  <c r="E61" i="37"/>
  <c r="E94" i="40"/>
  <c r="F94" i="40" s="1"/>
  <c r="Q80" i="34"/>
  <c r="R80" i="34" s="1"/>
  <c r="Q32" i="36"/>
  <c r="R32" i="36" s="1"/>
  <c r="E61" i="32"/>
  <c r="F61" i="32" s="1"/>
  <c r="E32" i="34"/>
  <c r="G31" i="39" s="1"/>
  <c r="E32" i="31"/>
  <c r="F31" i="39" s="1"/>
  <c r="Q64" i="36"/>
  <c r="R64" i="36" s="1"/>
  <c r="E61" i="36"/>
  <c r="J60" i="39" s="1"/>
  <c r="Q69" i="32"/>
  <c r="Q61" i="33"/>
  <c r="R61" i="33" s="1"/>
  <c r="T61" i="33" s="1"/>
  <c r="Q61" i="36"/>
  <c r="R61" i="36" s="1"/>
  <c r="E32" i="32"/>
  <c r="E26" i="32"/>
  <c r="E61" i="33"/>
  <c r="H60" i="39" s="1"/>
  <c r="Q32" i="35"/>
  <c r="R32" i="35" s="1"/>
  <c r="E32" i="35"/>
  <c r="E61" i="31"/>
  <c r="F60" i="39" s="1"/>
  <c r="R76" i="33"/>
  <c r="T76" i="33" s="1"/>
  <c r="Q61" i="18"/>
  <c r="Q61" i="34"/>
  <c r="Q61" i="37"/>
  <c r="R61" i="37" s="1"/>
  <c r="S61" i="37" s="1"/>
  <c r="E52" i="40"/>
  <c r="F52" i="40" s="1"/>
  <c r="Q32" i="32"/>
  <c r="E61" i="35"/>
  <c r="E32" i="18"/>
  <c r="D31" i="39" s="1"/>
  <c r="E61" i="34"/>
  <c r="F61" i="34" s="1"/>
  <c r="G61" i="34" s="1"/>
  <c r="Q32" i="18"/>
  <c r="E68" i="40"/>
  <c r="E32" i="37"/>
  <c r="C31" i="39" s="1"/>
  <c r="Q32" i="40"/>
  <c r="R32" i="40" s="1"/>
  <c r="Q76" i="40"/>
  <c r="R76" i="40" s="1"/>
  <c r="E76" i="40"/>
  <c r="L75" i="39" s="1"/>
  <c r="Q36" i="36"/>
  <c r="R36" i="36" s="1"/>
  <c r="Q36" i="31"/>
  <c r="E36" i="31"/>
  <c r="F35" i="39" s="1"/>
  <c r="E22" i="35"/>
  <c r="E68" i="32"/>
  <c r="F68" i="32" s="1"/>
  <c r="Q52" i="35"/>
  <c r="R52" i="35" s="1"/>
  <c r="E20" i="34"/>
  <c r="G19" i="39" s="1"/>
  <c r="E32" i="33"/>
  <c r="E22" i="40"/>
  <c r="M21" i="39" s="1"/>
  <c r="E19" i="31"/>
  <c r="F18" i="39" s="1"/>
  <c r="Q52" i="18"/>
  <c r="R52" i="18" s="1"/>
  <c r="Q52" i="40"/>
  <c r="R52" i="40" s="1"/>
  <c r="Q68" i="33"/>
  <c r="E68" i="35"/>
  <c r="F68" i="35" s="1"/>
  <c r="G68" i="35" s="1"/>
  <c r="Q68" i="36"/>
  <c r="R68" i="36" s="1"/>
  <c r="Q68" i="18"/>
  <c r="R68" i="18" s="1"/>
  <c r="E53" i="37"/>
  <c r="Q94" i="31"/>
  <c r="R94" i="31" s="1"/>
  <c r="Q52" i="34"/>
  <c r="Q68" i="32"/>
  <c r="Q68" i="31"/>
  <c r="Q68" i="34"/>
  <c r="R68" i="34" s="1"/>
  <c r="E76" i="37"/>
  <c r="C75" i="39" s="1"/>
  <c r="Q76" i="31"/>
  <c r="R76" i="31" s="1"/>
  <c r="E76" i="34"/>
  <c r="G75" i="39" s="1"/>
  <c r="Q22" i="35"/>
  <c r="R22" i="35" s="1"/>
  <c r="E20" i="36"/>
  <c r="J19" i="39" s="1"/>
  <c r="E52" i="36"/>
  <c r="Q20" i="34"/>
  <c r="R20" i="34" s="1"/>
  <c r="E20" i="35"/>
  <c r="Q76" i="34"/>
  <c r="E76" i="33"/>
  <c r="Q76" i="37"/>
  <c r="R76" i="37" s="1"/>
  <c r="S76" i="37" s="1"/>
  <c r="E22" i="31"/>
  <c r="F21" i="39" s="1"/>
  <c r="Q52" i="31"/>
  <c r="R52" i="31" s="1"/>
  <c r="T52" i="31" s="1"/>
  <c r="Q20" i="18"/>
  <c r="Q20" i="35"/>
  <c r="R20" i="35" s="1"/>
  <c r="F76" i="40"/>
  <c r="E72" i="34"/>
  <c r="G71" i="39" s="1"/>
  <c r="E22" i="36"/>
  <c r="J21" i="39" s="1"/>
  <c r="E22" i="37"/>
  <c r="C21" i="39" s="1"/>
  <c r="Q22" i="40"/>
  <c r="R22" i="40" s="1"/>
  <c r="Q68" i="40"/>
  <c r="R68" i="40" s="1"/>
  <c r="Q38" i="40"/>
  <c r="E19" i="34"/>
  <c r="G18" i="39" s="1"/>
  <c r="E94" i="36"/>
  <c r="J93" i="39" s="1"/>
  <c r="E52" i="18"/>
  <c r="D51" i="39" s="1"/>
  <c r="Q68" i="37"/>
  <c r="R68" i="37" s="1"/>
  <c r="T68" i="37" s="1"/>
  <c r="E68" i="33"/>
  <c r="H67" i="39" s="1"/>
  <c r="Q76" i="32"/>
  <c r="E76" i="32"/>
  <c r="Q76" i="35"/>
  <c r="R76" i="35" s="1"/>
  <c r="T76" i="35" s="1"/>
  <c r="E76" i="35"/>
  <c r="I75" i="39" s="1"/>
  <c r="E22" i="34"/>
  <c r="G21" i="39" s="1"/>
  <c r="Q22" i="31"/>
  <c r="Q20" i="36"/>
  <c r="R20" i="36" s="1"/>
  <c r="E20" i="32"/>
  <c r="E20" i="18"/>
  <c r="D19" i="39" s="1"/>
  <c r="E40" i="33"/>
  <c r="H39" i="39" s="1"/>
  <c r="E40" i="40"/>
  <c r="F40" i="40" s="1"/>
  <c r="Q40" i="31"/>
  <c r="Q74" i="40"/>
  <c r="R74" i="40" s="1"/>
  <c r="E74" i="32"/>
  <c r="F74" i="32" s="1"/>
  <c r="Q74" i="36"/>
  <c r="R74" i="36" s="1"/>
  <c r="E70" i="40"/>
  <c r="F70" i="40" s="1"/>
  <c r="E70" i="37"/>
  <c r="C69" i="39" s="1"/>
  <c r="Q66" i="33"/>
  <c r="Q66" i="34"/>
  <c r="R66" i="34" s="1"/>
  <c r="Q98" i="35"/>
  <c r="R98" i="35" s="1"/>
  <c r="Q98" i="32"/>
  <c r="Q53" i="40"/>
  <c r="R53" i="40" s="1"/>
  <c r="E53" i="40"/>
  <c r="F53" i="40" s="1"/>
  <c r="E53" i="31"/>
  <c r="F52" i="39" s="1"/>
  <c r="E53" i="35"/>
  <c r="F53" i="35" s="1"/>
  <c r="Q53" i="32"/>
  <c r="Q53" i="36"/>
  <c r="R53" i="36" s="1"/>
  <c r="E53" i="34"/>
  <c r="F53" i="34" s="1"/>
  <c r="H53" i="34" s="1"/>
  <c r="E53" i="36"/>
  <c r="J52" i="39" s="1"/>
  <c r="Q53" i="35"/>
  <c r="R53" i="35" s="1"/>
  <c r="T53" i="35" s="1"/>
  <c r="Q53" i="31"/>
  <c r="R53" i="31" s="1"/>
  <c r="Q53" i="34"/>
  <c r="R53" i="34" s="1"/>
  <c r="Q27" i="32"/>
  <c r="E74" i="36"/>
  <c r="J73" i="39" s="1"/>
  <c r="Q84" i="33"/>
  <c r="R84" i="33" s="1"/>
  <c r="E53" i="18"/>
  <c r="D52" i="39" s="1"/>
  <c r="E53" i="32"/>
  <c r="F53" i="32" s="1"/>
  <c r="E24" i="34"/>
  <c r="G23" i="39" s="1"/>
  <c r="E24" i="36"/>
  <c r="J23" i="39" s="1"/>
  <c r="Q24" i="18"/>
  <c r="E24" i="35"/>
  <c r="I23" i="39" s="1"/>
  <c r="E72" i="31"/>
  <c r="Q72" i="40"/>
  <c r="R72" i="40" s="1"/>
  <c r="E72" i="36"/>
  <c r="J71" i="39" s="1"/>
  <c r="E72" i="33"/>
  <c r="F72" i="33" s="1"/>
  <c r="Q72" i="34"/>
  <c r="R72" i="34" s="1"/>
  <c r="E72" i="40"/>
  <c r="F72" i="40" s="1"/>
  <c r="Q64" i="40"/>
  <c r="R64" i="40" s="1"/>
  <c r="Q64" i="34"/>
  <c r="R64" i="34" s="1"/>
  <c r="E64" i="37"/>
  <c r="C63" i="39" s="1"/>
  <c r="E64" i="35"/>
  <c r="I63" i="39" s="1"/>
  <c r="Q64" i="18"/>
  <c r="E64" i="32"/>
  <c r="E69" i="31"/>
  <c r="F68" i="39" s="1"/>
  <c r="E69" i="18"/>
  <c r="D68" i="39" s="1"/>
  <c r="E69" i="40"/>
  <c r="F69" i="40" s="1"/>
  <c r="E69" i="37"/>
  <c r="C68" i="39" s="1"/>
  <c r="E99" i="34"/>
  <c r="E99" i="18"/>
  <c r="D98" i="39" s="1"/>
  <c r="Q99" i="33"/>
  <c r="Q99" i="32"/>
  <c r="E83" i="35"/>
  <c r="Q83" i="37"/>
  <c r="Q83" i="36"/>
  <c r="R83" i="36" s="1"/>
  <c r="E83" i="36"/>
  <c r="J82" i="39" s="1"/>
  <c r="Q83" i="32"/>
  <c r="E83" i="34"/>
  <c r="G82" i="39" s="1"/>
  <c r="Q83" i="40"/>
  <c r="R83" i="40" s="1"/>
  <c r="Q83" i="35"/>
  <c r="R83" i="35" s="1"/>
  <c r="T83" i="35" s="1"/>
  <c r="Q83" i="31"/>
  <c r="R83" i="31" s="1"/>
  <c r="E58" i="36"/>
  <c r="J57" i="39" s="1"/>
  <c r="E58" i="40"/>
  <c r="F58" i="40" s="1"/>
  <c r="E58" i="18"/>
  <c r="E58" i="32"/>
  <c r="E58" i="37"/>
  <c r="C57" i="39" s="1"/>
  <c r="Q58" i="18"/>
  <c r="E34" i="32"/>
  <c r="Q34" i="31"/>
  <c r="E34" i="18"/>
  <c r="D33" i="39" s="1"/>
  <c r="Q34" i="33"/>
  <c r="E34" i="36"/>
  <c r="J33" i="39" s="1"/>
  <c r="Q34" i="32"/>
  <c r="F83" i="37"/>
  <c r="H83" i="37" s="1"/>
  <c r="C34" i="39"/>
  <c r="Q69" i="33"/>
  <c r="Q53" i="37"/>
  <c r="R53" i="37" s="1"/>
  <c r="S53" i="37" s="1"/>
  <c r="Q83" i="18"/>
  <c r="R83" i="18" s="1"/>
  <c r="E83" i="18"/>
  <c r="D82" i="39" s="1"/>
  <c r="Q69" i="40"/>
  <c r="R69" i="40" s="1"/>
  <c r="Q34" i="36"/>
  <c r="R34" i="36" s="1"/>
  <c r="Q58" i="31"/>
  <c r="R58" i="31" s="1"/>
  <c r="E58" i="35"/>
  <c r="I57" i="39" s="1"/>
  <c r="E83" i="33"/>
  <c r="E53" i="33"/>
  <c r="H52" i="39" s="1"/>
  <c r="Q58" i="32"/>
  <c r="Q72" i="18"/>
  <c r="E64" i="31"/>
  <c r="F63" i="39" s="1"/>
  <c r="Q92" i="36"/>
  <c r="R92" i="36" s="1"/>
  <c r="E92" i="36"/>
  <c r="J91" i="39" s="1"/>
  <c r="E92" i="31"/>
  <c r="F91" i="39" s="1"/>
  <c r="E92" i="40"/>
  <c r="E92" i="32"/>
  <c r="E34" i="31"/>
  <c r="F33" i="39" s="1"/>
  <c r="F68" i="36"/>
  <c r="R96" i="31"/>
  <c r="E80" i="18"/>
  <c r="E26" i="35"/>
  <c r="I25" i="39" s="1"/>
  <c r="C34" i="37"/>
  <c r="F34" i="37" s="1"/>
  <c r="P34" i="37"/>
  <c r="C93" i="37"/>
  <c r="P93" i="37"/>
  <c r="C87" i="34"/>
  <c r="C87" i="32"/>
  <c r="C22" i="34"/>
  <c r="P22" i="32"/>
  <c r="C22" i="32"/>
  <c r="F22" i="32" s="1"/>
  <c r="P81" i="32"/>
  <c r="P61" i="32"/>
  <c r="P91" i="32"/>
  <c r="C21" i="34"/>
  <c r="R82" i="33"/>
  <c r="T82" i="33" s="1"/>
  <c r="P48" i="32"/>
  <c r="C48" i="34"/>
  <c r="C48" i="32"/>
  <c r="C58" i="35"/>
  <c r="C43" i="34"/>
  <c r="C98" i="34"/>
  <c r="C33" i="39"/>
  <c r="C22" i="35"/>
  <c r="P45" i="18"/>
  <c r="P21" i="32"/>
  <c r="P93" i="18"/>
  <c r="C40" i="18"/>
  <c r="P84" i="18"/>
  <c r="P87" i="32"/>
  <c r="P57" i="32"/>
  <c r="R80" i="33"/>
  <c r="S80" i="33" s="1"/>
  <c r="C88" i="37"/>
  <c r="P88" i="37"/>
  <c r="P73" i="32"/>
  <c r="C73" i="32"/>
  <c r="C73" i="34"/>
  <c r="C40" i="37"/>
  <c r="P40" i="37"/>
  <c r="C44" i="34"/>
  <c r="C44" i="32"/>
  <c r="C21" i="33"/>
  <c r="P21" i="33"/>
  <c r="P55" i="37"/>
  <c r="C55" i="37"/>
  <c r="C57" i="35"/>
  <c r="C55" i="34"/>
  <c r="C57" i="32"/>
  <c r="C57" i="33"/>
  <c r="P57" i="33"/>
  <c r="P94" i="33"/>
  <c r="C49" i="34"/>
  <c r="P19" i="18"/>
  <c r="C81" i="32"/>
  <c r="C90" i="33"/>
  <c r="C59" i="35"/>
  <c r="C37" i="32"/>
  <c r="R53" i="18"/>
  <c r="C54" i="31"/>
  <c r="F54" i="31" s="1"/>
  <c r="H54" i="31" s="1"/>
  <c r="C95" i="34"/>
  <c r="C61" i="35"/>
  <c r="F61" i="35" s="1"/>
  <c r="P82" i="32"/>
  <c r="C96" i="34"/>
  <c r="P62" i="33"/>
  <c r="H35" i="39"/>
  <c r="P93" i="33"/>
  <c r="C93" i="33"/>
  <c r="C61" i="18"/>
  <c r="P61" i="18"/>
  <c r="Q50" i="18"/>
  <c r="Q50" i="36"/>
  <c r="R50" i="36" s="1"/>
  <c r="Q50" i="32"/>
  <c r="Q50" i="31"/>
  <c r="Q50" i="40"/>
  <c r="R50" i="40" s="1"/>
  <c r="E50" i="36"/>
  <c r="J49" i="39" s="1"/>
  <c r="Q50" i="34"/>
  <c r="R50" i="34" s="1"/>
  <c r="E50" i="40"/>
  <c r="M49" i="39" s="1"/>
  <c r="Q50" i="37"/>
  <c r="R50" i="37" s="1"/>
  <c r="S50" i="37" s="1"/>
  <c r="E50" i="37"/>
  <c r="E50" i="18"/>
  <c r="F50" i="18" s="1"/>
  <c r="E50" i="31"/>
  <c r="F49" i="39" s="1"/>
  <c r="Q50" i="33"/>
  <c r="R50" i="33" s="1"/>
  <c r="S50" i="33" s="1"/>
  <c r="Q50" i="35"/>
  <c r="R50" i="35" s="1"/>
  <c r="T50" i="35" s="1"/>
  <c r="E88" i="32"/>
  <c r="F88" i="32" s="1"/>
  <c r="Q26" i="36"/>
  <c r="R26" i="36" s="1"/>
  <c r="E50" i="32"/>
  <c r="E62" i="40"/>
  <c r="E62" i="18"/>
  <c r="D61" i="39" s="1"/>
  <c r="E62" i="33"/>
  <c r="E40" i="37"/>
  <c r="C39" i="39" s="1"/>
  <c r="Q40" i="36"/>
  <c r="R40" i="36" s="1"/>
  <c r="Q40" i="18"/>
  <c r="R40" i="18" s="1"/>
  <c r="Q40" i="33"/>
  <c r="R40" i="33" s="1"/>
  <c r="S40" i="33" s="1"/>
  <c r="Q40" i="34"/>
  <c r="R40" i="34" s="1"/>
  <c r="E40" i="34"/>
  <c r="Q40" i="40"/>
  <c r="E40" i="32"/>
  <c r="F40" i="32" s="1"/>
  <c r="E26" i="34"/>
  <c r="G25" i="39" s="1"/>
  <c r="E26" i="36"/>
  <c r="J25" i="39" s="1"/>
  <c r="Q26" i="37"/>
  <c r="R26" i="37" s="1"/>
  <c r="Q26" i="35"/>
  <c r="R26" i="35" s="1"/>
  <c r="Q26" i="33"/>
  <c r="R26" i="33" s="1"/>
  <c r="T26" i="33" s="1"/>
  <c r="E26" i="37"/>
  <c r="E26" i="40"/>
  <c r="F26" i="40" s="1"/>
  <c r="Q26" i="34"/>
  <c r="Q26" i="40"/>
  <c r="R26" i="40" s="1"/>
  <c r="E26" i="31"/>
  <c r="F25" i="39" s="1"/>
  <c r="Q26" i="18"/>
  <c r="Q26" i="32"/>
  <c r="Q26" i="31"/>
  <c r="E26" i="18"/>
  <c r="D25" i="39" s="1"/>
  <c r="Q80" i="35"/>
  <c r="Q80" i="18"/>
  <c r="E80" i="40"/>
  <c r="E80" i="33"/>
  <c r="Q80" i="32"/>
  <c r="E80" i="31"/>
  <c r="F79" i="39" s="1"/>
  <c r="Q80" i="37"/>
  <c r="E80" i="36"/>
  <c r="J79" i="39" s="1"/>
  <c r="E80" i="37"/>
  <c r="Q80" i="36"/>
  <c r="R80" i="36" s="1"/>
  <c r="E80" i="35"/>
  <c r="I79" i="39" s="1"/>
  <c r="Q80" i="40"/>
  <c r="R80" i="40" s="1"/>
  <c r="E80" i="32"/>
  <c r="F80" i="32" s="1"/>
  <c r="E80" i="34"/>
  <c r="G79" i="39" s="1"/>
  <c r="E50" i="35"/>
  <c r="I49" i="39" s="1"/>
  <c r="E50" i="34"/>
  <c r="E50" i="33"/>
  <c r="H49" i="39" s="1"/>
  <c r="E66" i="40"/>
  <c r="F66" i="40" s="1"/>
  <c r="E66" i="18"/>
  <c r="D65" i="39" s="1"/>
  <c r="Q66" i="31"/>
  <c r="E66" i="31"/>
  <c r="E66" i="32"/>
  <c r="E66" i="35"/>
  <c r="I65" i="39" s="1"/>
  <c r="E84" i="32"/>
  <c r="Q84" i="34"/>
  <c r="R84" i="34" s="1"/>
  <c r="E84" i="34"/>
  <c r="G83" i="39" s="1"/>
  <c r="E84" i="33"/>
  <c r="H83" i="39" s="1"/>
  <c r="Q84" i="35"/>
  <c r="R84" i="35" s="1"/>
  <c r="Q84" i="31"/>
  <c r="R84" i="31" s="1"/>
  <c r="Q84" i="18"/>
  <c r="R84" i="18" s="1"/>
  <c r="E98" i="35"/>
  <c r="I97" i="39" s="1"/>
  <c r="Q98" i="33"/>
  <c r="E98" i="32"/>
  <c r="F98" i="32" s="1"/>
  <c r="E98" i="37"/>
  <c r="C97" i="39" s="1"/>
  <c r="E98" i="36"/>
  <c r="J97" i="39" s="1"/>
  <c r="E98" i="40"/>
  <c r="Q98" i="37"/>
  <c r="E98" i="33"/>
  <c r="H97" i="39" s="1"/>
  <c r="Q27" i="37"/>
  <c r="Q27" i="34"/>
  <c r="R27" i="34" s="1"/>
  <c r="E27" i="37"/>
  <c r="E27" i="31"/>
  <c r="F26" i="39" s="1"/>
  <c r="Q27" i="33"/>
  <c r="Q27" i="36"/>
  <c r="R27" i="36" s="1"/>
  <c r="Q27" i="18"/>
  <c r="E27" i="36"/>
  <c r="J26" i="39" s="1"/>
  <c r="F82" i="35"/>
  <c r="H82" i="35" s="1"/>
  <c r="H31" i="39"/>
  <c r="Q69" i="31"/>
  <c r="Q69" i="35"/>
  <c r="R69" i="35" s="1"/>
  <c r="S69" i="35" s="1"/>
  <c r="Q69" i="37"/>
  <c r="Q99" i="31"/>
  <c r="Q99" i="35"/>
  <c r="R99" i="35" s="1"/>
  <c r="S99" i="35" s="1"/>
  <c r="R36" i="35"/>
  <c r="T36" i="35" s="1"/>
  <c r="E99" i="35"/>
  <c r="I98" i="39" s="1"/>
  <c r="E69" i="35"/>
  <c r="I68" i="39" s="1"/>
  <c r="Q72" i="35"/>
  <c r="R72" i="35" s="1"/>
  <c r="Q72" i="36"/>
  <c r="R72" i="36" s="1"/>
  <c r="Q72" i="37"/>
  <c r="E72" i="37"/>
  <c r="C71" i="39" s="1"/>
  <c r="E72" i="35"/>
  <c r="I71" i="39" s="1"/>
  <c r="Q22" i="18"/>
  <c r="R22" i="18" s="1"/>
  <c r="Q22" i="37"/>
  <c r="E22" i="18"/>
  <c r="E22" i="33"/>
  <c r="H21" i="39" s="1"/>
  <c r="Q22" i="36"/>
  <c r="R22" i="36" s="1"/>
  <c r="Q64" i="37"/>
  <c r="E64" i="40"/>
  <c r="E64" i="33"/>
  <c r="H63" i="39" s="1"/>
  <c r="E64" i="34"/>
  <c r="E99" i="33"/>
  <c r="Q58" i="33"/>
  <c r="R58" i="33" s="1"/>
  <c r="T58" i="33" s="1"/>
  <c r="E58" i="33"/>
  <c r="H57" i="39" s="1"/>
  <c r="Q34" i="34"/>
  <c r="E34" i="35"/>
  <c r="F34" i="35" s="1"/>
  <c r="H34" i="35" s="1"/>
  <c r="Q34" i="18"/>
  <c r="E34" i="33"/>
  <c r="Q34" i="37"/>
  <c r="Q34" i="35"/>
  <c r="R34" i="35" s="1"/>
  <c r="Q69" i="18"/>
  <c r="R69" i="18" s="1"/>
  <c r="Q69" i="34"/>
  <c r="R69" i="34" s="1"/>
  <c r="Q69" i="36"/>
  <c r="R69" i="36" s="1"/>
  <c r="Q99" i="18"/>
  <c r="Q99" i="34"/>
  <c r="R99" i="34" s="1"/>
  <c r="Q72" i="31"/>
  <c r="Q72" i="32"/>
  <c r="E72" i="32"/>
  <c r="Q22" i="32"/>
  <c r="Q22" i="33"/>
  <c r="R22" i="33" s="1"/>
  <c r="T22" i="33" s="1"/>
  <c r="Q22" i="34"/>
  <c r="R22" i="34" s="1"/>
  <c r="Q64" i="32"/>
  <c r="Q64" i="33"/>
  <c r="R64" i="33" s="1"/>
  <c r="T64" i="33" s="1"/>
  <c r="Q64" i="35"/>
  <c r="R64" i="35" s="1"/>
  <c r="S64" i="35" s="1"/>
  <c r="E64" i="18"/>
  <c r="D63" i="39" s="1"/>
  <c r="L37" i="39"/>
  <c r="F38" i="40"/>
  <c r="Q19" i="34"/>
  <c r="R19" i="34" s="1"/>
  <c r="E40" i="36"/>
  <c r="Q24" i="32"/>
  <c r="Q24" i="40"/>
  <c r="R24" i="40" s="1"/>
  <c r="E84" i="37"/>
  <c r="C83" i="39" s="1"/>
  <c r="E66" i="33"/>
  <c r="H65" i="39" s="1"/>
  <c r="Q66" i="18"/>
  <c r="Q40" i="37"/>
  <c r="E66" i="34"/>
  <c r="G65" i="39" s="1"/>
  <c r="E66" i="36"/>
  <c r="E98" i="18"/>
  <c r="D97" i="39" s="1"/>
  <c r="Q84" i="32"/>
  <c r="E84" i="36"/>
  <c r="J83" i="39" s="1"/>
  <c r="E84" i="35"/>
  <c r="Q68" i="35"/>
  <c r="R68" i="35" s="1"/>
  <c r="E68" i="37"/>
  <c r="C67" i="39" s="1"/>
  <c r="Q52" i="36"/>
  <c r="R52" i="36" s="1"/>
  <c r="E52" i="31"/>
  <c r="Q52" i="32"/>
  <c r="E52" i="35"/>
  <c r="E20" i="33"/>
  <c r="E20" i="37"/>
  <c r="C19" i="39" s="1"/>
  <c r="Q20" i="37"/>
  <c r="R20" i="37" s="1"/>
  <c r="T20" i="37" s="1"/>
  <c r="E19" i="40"/>
  <c r="L18" i="39" s="1"/>
  <c r="E19" i="33"/>
  <c r="H18" i="39" s="1"/>
  <c r="Q19" i="18"/>
  <c r="E19" i="18"/>
  <c r="E19" i="32"/>
  <c r="Q19" i="31"/>
  <c r="Q19" i="37"/>
  <c r="Q19" i="35"/>
  <c r="E19" i="36"/>
  <c r="J18" i="39" s="1"/>
  <c r="Q19" i="33"/>
  <c r="E38" i="35"/>
  <c r="E38" i="18"/>
  <c r="D37" i="39" s="1"/>
  <c r="Q38" i="34"/>
  <c r="E38" i="31"/>
  <c r="E38" i="34"/>
  <c r="F38" i="34" s="1"/>
  <c r="G38" i="34" s="1"/>
  <c r="Q38" i="37"/>
  <c r="Q38" i="33"/>
  <c r="Q38" i="31"/>
  <c r="E38" i="37"/>
  <c r="C37" i="39" s="1"/>
  <c r="E38" i="33"/>
  <c r="E38" i="36"/>
  <c r="J37" i="39" s="1"/>
  <c r="Q38" i="32"/>
  <c r="E38" i="32"/>
  <c r="Q38" i="35"/>
  <c r="R38" i="35" s="1"/>
  <c r="Q38" i="18"/>
  <c r="R38" i="18" s="1"/>
  <c r="S38" i="18" s="1"/>
  <c r="Q38" i="36"/>
  <c r="R38" i="36" s="1"/>
  <c r="R19" i="35"/>
  <c r="S19" i="35" s="1"/>
  <c r="U19" i="35" s="1"/>
  <c r="Q19" i="36"/>
  <c r="R19" i="36" s="1"/>
  <c r="Q66" i="35"/>
  <c r="R66" i="35" s="1"/>
  <c r="E66" i="37"/>
  <c r="E98" i="34"/>
  <c r="Q98" i="18"/>
  <c r="E27" i="33"/>
  <c r="H26" i="39" s="1"/>
  <c r="Q27" i="40"/>
  <c r="R27" i="40" s="1"/>
  <c r="E27" i="32"/>
  <c r="E27" i="40"/>
  <c r="F27" i="40" s="1"/>
  <c r="Q27" i="31"/>
  <c r="Q27" i="35"/>
  <c r="R27" i="35" s="1"/>
  <c r="R80" i="31"/>
  <c r="F96" i="34"/>
  <c r="F26" i="33"/>
  <c r="G26" i="33" s="1"/>
  <c r="Q98" i="36"/>
  <c r="R98" i="36" s="1"/>
  <c r="Q70" i="32"/>
  <c r="E19" i="37"/>
  <c r="C18" i="39" s="1"/>
  <c r="E92" i="37"/>
  <c r="C91" i="39" s="1"/>
  <c r="Q19" i="32"/>
  <c r="Q19" i="40"/>
  <c r="R19" i="40" s="1"/>
  <c r="Q74" i="32"/>
  <c r="E84" i="40"/>
  <c r="M83" i="39" s="1"/>
  <c r="Q84" i="36"/>
  <c r="R84" i="36" s="1"/>
  <c r="Q24" i="35"/>
  <c r="R24" i="35" s="1"/>
  <c r="S24" i="35" s="1"/>
  <c r="Q84" i="37"/>
  <c r="R84" i="37" s="1"/>
  <c r="Q40" i="35"/>
  <c r="R40" i="35" s="1"/>
  <c r="Q66" i="40"/>
  <c r="R66" i="40" s="1"/>
  <c r="E40" i="31"/>
  <c r="F39" i="39" s="1"/>
  <c r="Q66" i="37"/>
  <c r="Q66" i="36"/>
  <c r="R66" i="36" s="1"/>
  <c r="E27" i="18"/>
  <c r="D26" i="39" s="1"/>
  <c r="E27" i="35"/>
  <c r="I26" i="39" s="1"/>
  <c r="Q98" i="34"/>
  <c r="Q98" i="40"/>
  <c r="R98" i="40" s="1"/>
  <c r="Q98" i="31"/>
  <c r="E98" i="31"/>
  <c r="E84" i="18"/>
  <c r="D83" i="39" s="1"/>
  <c r="E69" i="32"/>
  <c r="E69" i="33"/>
  <c r="H68" i="39" s="1"/>
  <c r="E99" i="31"/>
  <c r="E99" i="40"/>
  <c r="F99" i="40" s="1"/>
  <c r="Q99" i="37"/>
  <c r="E99" i="32"/>
  <c r="Q99" i="36"/>
  <c r="R99" i="36" s="1"/>
  <c r="Q99" i="40"/>
  <c r="R99" i="40" s="1"/>
  <c r="E88" i="35"/>
  <c r="F88" i="35" s="1"/>
  <c r="Q88" i="35"/>
  <c r="R88" i="35" s="1"/>
  <c r="T88" i="35" s="1"/>
  <c r="Q88" i="40"/>
  <c r="R88" i="40" s="1"/>
  <c r="E88" i="34"/>
  <c r="F88" i="34" s="1"/>
  <c r="Q88" i="33"/>
  <c r="R88" i="33" s="1"/>
  <c r="S88" i="33" s="1"/>
  <c r="E88" i="33"/>
  <c r="Q88" i="37"/>
  <c r="R88" i="37" s="1"/>
  <c r="E88" i="40"/>
  <c r="Q88" i="18"/>
  <c r="Q30" i="40"/>
  <c r="R30" i="40" s="1"/>
  <c r="E30" i="35"/>
  <c r="F30" i="35" s="1"/>
  <c r="E30" i="33"/>
  <c r="H29" i="39" s="1"/>
  <c r="Q30" i="34"/>
  <c r="R30" i="34" s="1"/>
  <c r="E30" i="34"/>
  <c r="F30" i="34" s="1"/>
  <c r="G30" i="34" s="1"/>
  <c r="E30" i="18"/>
  <c r="D29" i="39" s="1"/>
  <c r="E30" i="31"/>
  <c r="F29" i="39" s="1"/>
  <c r="Q30" i="35"/>
  <c r="R30" i="35" s="1"/>
  <c r="E30" i="40"/>
  <c r="F30" i="40" s="1"/>
  <c r="E30" i="37"/>
  <c r="C29" i="39" s="1"/>
  <c r="Q30" i="32"/>
  <c r="E62" i="32"/>
  <c r="F62" i="32" s="1"/>
  <c r="E88" i="37"/>
  <c r="Q30" i="36"/>
  <c r="R30" i="36" s="1"/>
  <c r="Q62" i="34"/>
  <c r="R62" i="34" s="1"/>
  <c r="Q62" i="32"/>
  <c r="E88" i="18"/>
  <c r="D87" i="39" s="1"/>
  <c r="Q30" i="18"/>
  <c r="Q88" i="32"/>
  <c r="Q30" i="33"/>
  <c r="R30" i="33" s="1"/>
  <c r="S30" i="33" s="1"/>
  <c r="E94" i="37"/>
  <c r="C93" i="39" s="1"/>
  <c r="E94" i="31"/>
  <c r="F94" i="31" s="1"/>
  <c r="G94" i="31" s="1"/>
  <c r="Q94" i="33"/>
  <c r="E94" i="35"/>
  <c r="Q94" i="37"/>
  <c r="R94" i="37" s="1"/>
  <c r="Q94" i="32"/>
  <c r="E94" i="33"/>
  <c r="Q94" i="40"/>
  <c r="R94" i="40" s="1"/>
  <c r="Q94" i="34"/>
  <c r="R94" i="34" s="1"/>
  <c r="Q94" i="18"/>
  <c r="Q94" i="36"/>
  <c r="R94" i="36" s="1"/>
  <c r="E94" i="18"/>
  <c r="D93" i="39" s="1"/>
  <c r="E94" i="34"/>
  <c r="G93" i="39" s="1"/>
  <c r="E62" i="31"/>
  <c r="F62" i="31" s="1"/>
  <c r="H62" i="31" s="1"/>
  <c r="Q62" i="31"/>
  <c r="R62" i="31" s="1"/>
  <c r="E62" i="36"/>
  <c r="J61" i="39" s="1"/>
  <c r="Q62" i="37"/>
  <c r="Q62" i="18"/>
  <c r="R62" i="18" s="1"/>
  <c r="T62" i="18" s="1"/>
  <c r="Q62" i="40"/>
  <c r="R62" i="40" s="1"/>
  <c r="E62" i="34"/>
  <c r="F62" i="34" s="1"/>
  <c r="H62" i="34" s="1"/>
  <c r="Q62" i="33"/>
  <c r="Q62" i="35"/>
  <c r="R62" i="35" s="1"/>
  <c r="S62" i="35" s="1"/>
  <c r="E62" i="35"/>
  <c r="F62" i="35" s="1"/>
  <c r="G62" i="35" s="1"/>
  <c r="E62" i="37"/>
  <c r="Q30" i="37"/>
  <c r="E88" i="36"/>
  <c r="J87" i="39" s="1"/>
  <c r="E56" i="34"/>
  <c r="F56" i="34" s="1"/>
  <c r="H56" i="34" s="1"/>
  <c r="E56" i="18"/>
  <c r="D55" i="39" s="1"/>
  <c r="Q56" i="34"/>
  <c r="R56" i="34" s="1"/>
  <c r="Q56" i="18"/>
  <c r="E56" i="40"/>
  <c r="M55" i="39" s="1"/>
  <c r="E56" i="37"/>
  <c r="E56" i="33"/>
  <c r="H55" i="39" s="1"/>
  <c r="Q56" i="37"/>
  <c r="Q56" i="33"/>
  <c r="E56" i="31"/>
  <c r="F56" i="31" s="1"/>
  <c r="Q56" i="31"/>
  <c r="E56" i="35"/>
  <c r="E56" i="36"/>
  <c r="J55" i="39" s="1"/>
  <c r="Q56" i="36"/>
  <c r="R56" i="36" s="1"/>
  <c r="Q56" i="35"/>
  <c r="R56" i="35" s="1"/>
  <c r="S56" i="35" s="1"/>
  <c r="Q56" i="40"/>
  <c r="E56" i="32"/>
  <c r="Q56" i="32"/>
  <c r="R82" i="18"/>
  <c r="F96" i="32"/>
  <c r="Q62" i="36"/>
  <c r="R62" i="36" s="1"/>
  <c r="Q88" i="31"/>
  <c r="R88" i="31" s="1"/>
  <c r="Q30" i="31"/>
  <c r="Q88" i="34"/>
  <c r="R88" i="34" s="1"/>
  <c r="Q88" i="36"/>
  <c r="R88" i="36" s="1"/>
  <c r="E30" i="32"/>
  <c r="E92" i="34"/>
  <c r="Q92" i="35"/>
  <c r="R92" i="35" s="1"/>
  <c r="E92" i="33"/>
  <c r="H91" i="39" s="1"/>
  <c r="Q92" i="33"/>
  <c r="R92" i="33" s="1"/>
  <c r="E92" i="35"/>
  <c r="I91" i="39" s="1"/>
  <c r="Q92" i="18"/>
  <c r="Q92" i="37"/>
  <c r="E92" i="18"/>
  <c r="D91" i="39" s="1"/>
  <c r="Q92" i="31"/>
  <c r="E40" i="18"/>
  <c r="D39" i="39" s="1"/>
  <c r="Q40" i="32"/>
  <c r="E40" i="35"/>
  <c r="I39" i="39" s="1"/>
  <c r="E78" i="34"/>
  <c r="G77" i="39" s="1"/>
  <c r="E78" i="18"/>
  <c r="D77" i="39" s="1"/>
  <c r="Q78" i="32"/>
  <c r="Q78" i="36"/>
  <c r="R78" i="36" s="1"/>
  <c r="Q78" i="40"/>
  <c r="R78" i="40" s="1"/>
  <c r="E78" i="33"/>
  <c r="Q78" i="35"/>
  <c r="Q78" i="31"/>
  <c r="R78" i="31" s="1"/>
  <c r="E78" i="37"/>
  <c r="E78" i="31"/>
  <c r="Q78" i="37"/>
  <c r="R78" i="37" s="1"/>
  <c r="S78" i="37" s="1"/>
  <c r="Q78" i="33"/>
  <c r="R78" i="33" s="1"/>
  <c r="T78" i="33" s="1"/>
  <c r="E78" i="40"/>
  <c r="M77" i="39" s="1"/>
  <c r="Q78" i="34"/>
  <c r="R78" i="34" s="1"/>
  <c r="E78" i="36"/>
  <c r="J77" i="39" s="1"/>
  <c r="E78" i="35"/>
  <c r="E78" i="32"/>
  <c r="Q78" i="18"/>
  <c r="R78" i="18" s="1"/>
  <c r="E60" i="40"/>
  <c r="F60" i="40" s="1"/>
  <c r="E60" i="34"/>
  <c r="G59" i="39" s="1"/>
  <c r="E60" i="18"/>
  <c r="D59" i="39" s="1"/>
  <c r="Q60" i="34"/>
  <c r="R60" i="34" s="1"/>
  <c r="Q60" i="18"/>
  <c r="E60" i="37"/>
  <c r="C59" i="39" s="1"/>
  <c r="E60" i="33"/>
  <c r="Q60" i="37"/>
  <c r="Q60" i="33"/>
  <c r="E60" i="31"/>
  <c r="Q60" i="31"/>
  <c r="E60" i="35"/>
  <c r="I59" i="39" s="1"/>
  <c r="E60" i="36"/>
  <c r="J59" i="39" s="1"/>
  <c r="Q60" i="36"/>
  <c r="R60" i="36" s="1"/>
  <c r="Q60" i="35"/>
  <c r="R60" i="35" s="1"/>
  <c r="E60" i="32"/>
  <c r="Q60" i="32"/>
  <c r="E74" i="40"/>
  <c r="M73" i="39" s="1"/>
  <c r="E74" i="35"/>
  <c r="I73" i="39" s="1"/>
  <c r="E74" i="18"/>
  <c r="D73" i="39" s="1"/>
  <c r="E74" i="34"/>
  <c r="G73" i="39" s="1"/>
  <c r="E74" i="31"/>
  <c r="F73" i="39" s="1"/>
  <c r="Q74" i="33"/>
  <c r="Q74" i="35"/>
  <c r="R74" i="35" s="1"/>
  <c r="Q74" i="37"/>
  <c r="Q74" i="31"/>
  <c r="R74" i="31" s="1"/>
  <c r="E74" i="37"/>
  <c r="C73" i="39" s="1"/>
  <c r="Q74" i="18"/>
  <c r="E74" i="33"/>
  <c r="H73" i="39" s="1"/>
  <c r="Q74" i="34"/>
  <c r="R74" i="34" s="1"/>
  <c r="E70" i="35"/>
  <c r="I69" i="39" s="1"/>
  <c r="Q70" i="37"/>
  <c r="R70" i="37" s="1"/>
  <c r="Q70" i="31"/>
  <c r="Q70" i="40"/>
  <c r="R70" i="40" s="1"/>
  <c r="E70" i="34"/>
  <c r="F70" i="34" s="1"/>
  <c r="G70" i="34" s="1"/>
  <c r="Q70" i="35"/>
  <c r="R70" i="35" s="1"/>
  <c r="T70" i="35" s="1"/>
  <c r="Q70" i="18"/>
  <c r="E70" i="36"/>
  <c r="Q70" i="33"/>
  <c r="E70" i="31"/>
  <c r="E70" i="32"/>
  <c r="F70" i="32" s="1"/>
  <c r="E70" i="18"/>
  <c r="D69" i="39" s="1"/>
  <c r="Q70" i="34"/>
  <c r="R70" i="34" s="1"/>
  <c r="T70" i="34" s="1"/>
  <c r="E24" i="32"/>
  <c r="E24" i="31"/>
  <c r="F23" i="39" s="1"/>
  <c r="E24" i="40"/>
  <c r="F24" i="40" s="1"/>
  <c r="E24" i="37"/>
  <c r="C23" i="39" s="1"/>
  <c r="Q24" i="37"/>
  <c r="Q24" i="31"/>
  <c r="E24" i="33"/>
  <c r="H23" i="39" s="1"/>
  <c r="Q24" i="34"/>
  <c r="R24" i="34" s="1"/>
  <c r="Q24" i="33"/>
  <c r="Q24" i="36"/>
  <c r="R24" i="36" s="1"/>
  <c r="F72" i="34"/>
  <c r="G72" i="34" s="1"/>
  <c r="D23" i="39"/>
  <c r="E90" i="36"/>
  <c r="J89" i="39" s="1"/>
  <c r="E90" i="32"/>
  <c r="F90" i="32" s="1"/>
  <c r="Q90" i="35"/>
  <c r="R90" i="35" s="1"/>
  <c r="Q90" i="31"/>
  <c r="E90" i="18"/>
  <c r="D89" i="39" s="1"/>
  <c r="E90" i="33"/>
  <c r="H89" i="39" s="1"/>
  <c r="Q90" i="34"/>
  <c r="R90" i="34" s="1"/>
  <c r="E90" i="37"/>
  <c r="C89" i="39" s="1"/>
  <c r="E90" i="31"/>
  <c r="F89" i="39" s="1"/>
  <c r="Q90" i="33"/>
  <c r="R90" i="33" s="1"/>
  <c r="T90" i="33" s="1"/>
  <c r="E90" i="35"/>
  <c r="I89" i="39" s="1"/>
  <c r="Q90" i="37"/>
  <c r="R90" i="37" s="1"/>
  <c r="Q90" i="32"/>
  <c r="E90" i="40"/>
  <c r="Q90" i="40"/>
  <c r="R90" i="40" s="1"/>
  <c r="E90" i="34"/>
  <c r="F90" i="34" s="1"/>
  <c r="H90" i="34" s="1"/>
  <c r="Q90" i="36"/>
  <c r="R90" i="36" s="1"/>
  <c r="Q90" i="18"/>
  <c r="R90" i="18" s="1"/>
  <c r="Q86" i="40"/>
  <c r="R86" i="40" s="1"/>
  <c r="E86" i="40"/>
  <c r="F86" i="40" s="1"/>
  <c r="E86" i="36"/>
  <c r="J85" i="39" s="1"/>
  <c r="E86" i="32"/>
  <c r="F86" i="32" s="1"/>
  <c r="Q86" i="35"/>
  <c r="R86" i="35" s="1"/>
  <c r="Q86" i="31"/>
  <c r="R86" i="31" s="1"/>
  <c r="E86" i="18"/>
  <c r="D85" i="39" s="1"/>
  <c r="E86" i="33"/>
  <c r="Q86" i="34"/>
  <c r="R86" i="34" s="1"/>
  <c r="E86" i="37"/>
  <c r="E86" i="31"/>
  <c r="Q86" i="33"/>
  <c r="R86" i="33" s="1"/>
  <c r="T86" i="33" s="1"/>
  <c r="E86" i="35"/>
  <c r="Q86" i="37"/>
  <c r="R86" i="37" s="1"/>
  <c r="Q86" i="32"/>
  <c r="E86" i="34"/>
  <c r="F86" i="34" s="1"/>
  <c r="Q86" i="36"/>
  <c r="R86" i="36" s="1"/>
  <c r="Q86" i="18"/>
  <c r="R86" i="18" s="1"/>
  <c r="C98" i="39"/>
  <c r="F50" i="33"/>
  <c r="G50" i="33" s="1"/>
  <c r="E54" i="36"/>
  <c r="J53" i="39" s="1"/>
  <c r="E54" i="32"/>
  <c r="Q54" i="36"/>
  <c r="R54" i="36" s="1"/>
  <c r="Q54" i="32"/>
  <c r="Q54" i="40"/>
  <c r="R54" i="40" s="1"/>
  <c r="E54" i="37"/>
  <c r="E54" i="31"/>
  <c r="F53" i="39" s="1"/>
  <c r="Q54" i="34"/>
  <c r="R54" i="34" s="1"/>
  <c r="E54" i="33"/>
  <c r="H53" i="39" s="1"/>
  <c r="Q54" i="33"/>
  <c r="R54" i="33" s="1"/>
  <c r="E54" i="40"/>
  <c r="E54" i="18"/>
  <c r="Q54" i="31"/>
  <c r="R54" i="31" s="1"/>
  <c r="E54" i="35"/>
  <c r="I53" i="39" s="1"/>
  <c r="Q54" i="37"/>
  <c r="R54" i="37" s="1"/>
  <c r="T54" i="37" s="1"/>
  <c r="Q54" i="18"/>
  <c r="E54" i="34"/>
  <c r="G53" i="39" s="1"/>
  <c r="Q54" i="35"/>
  <c r="R54" i="35" s="1"/>
  <c r="S54" i="35" s="1"/>
  <c r="Q28" i="40"/>
  <c r="R28" i="40" s="1"/>
  <c r="E28" i="37"/>
  <c r="E28" i="33"/>
  <c r="Q28" i="37"/>
  <c r="R28" i="37" s="1"/>
  <c r="Q28" i="33"/>
  <c r="R28" i="33" s="1"/>
  <c r="E28" i="34"/>
  <c r="F28" i="34" s="1"/>
  <c r="E28" i="36"/>
  <c r="Q28" i="31"/>
  <c r="R28" i="31" s="1"/>
  <c r="E28" i="40"/>
  <c r="E28" i="32"/>
  <c r="Q28" i="35"/>
  <c r="R28" i="35" s="1"/>
  <c r="S28" i="35" s="1"/>
  <c r="Q28" i="18"/>
  <c r="Q28" i="36"/>
  <c r="R28" i="36" s="1"/>
  <c r="E28" i="31"/>
  <c r="Q28" i="34"/>
  <c r="R28" i="34" s="1"/>
  <c r="E28" i="35"/>
  <c r="E28" i="18"/>
  <c r="D27" i="39" s="1"/>
  <c r="Q28" i="32"/>
  <c r="C72" i="32"/>
  <c r="C36" i="34"/>
  <c r="F36" i="34" s="1"/>
  <c r="G36" i="34" s="1"/>
  <c r="C74" i="34"/>
  <c r="P49" i="32"/>
  <c r="C25" i="34"/>
  <c r="P39" i="32"/>
  <c r="C51" i="32"/>
  <c r="C51" i="34"/>
  <c r="P51" i="32"/>
  <c r="P74" i="32"/>
  <c r="P72" i="32"/>
  <c r="P30" i="32"/>
  <c r="C36" i="32"/>
  <c r="F36" i="32" s="1"/>
  <c r="P30" i="6"/>
  <c r="P62" i="6"/>
  <c r="P42" i="6"/>
  <c r="M84" i="7"/>
  <c r="P74" i="6"/>
  <c r="M79" i="7"/>
  <c r="M34" i="7"/>
  <c r="C43" i="33"/>
  <c r="P60" i="33"/>
  <c r="P37" i="6"/>
  <c r="P39" i="33"/>
  <c r="P27" i="6"/>
  <c r="C54" i="33"/>
  <c r="P89" i="6"/>
  <c r="M53" i="7"/>
  <c r="C54" i="35"/>
  <c r="C74" i="31"/>
  <c r="M60" i="7"/>
  <c r="P16" i="6"/>
  <c r="P45" i="6"/>
  <c r="P14" i="6"/>
  <c r="P77" i="6"/>
  <c r="P41" i="6"/>
  <c r="M27" i="7"/>
  <c r="M49" i="7"/>
  <c r="P44" i="6"/>
  <c r="P41" i="18"/>
  <c r="P88" i="6"/>
  <c r="M86" i="7"/>
  <c r="P70" i="6"/>
  <c r="P84" i="6"/>
  <c r="P49" i="6"/>
  <c r="P40" i="6"/>
  <c r="P58" i="6"/>
  <c r="P31" i="6"/>
  <c r="C30" i="31"/>
  <c r="M80" i="7"/>
  <c r="M62" i="7"/>
  <c r="P86" i="6"/>
  <c r="P70" i="31"/>
  <c r="C43" i="31"/>
  <c r="M61" i="7"/>
  <c r="M51" i="7"/>
  <c r="M20" i="7"/>
  <c r="M19" i="7"/>
  <c r="P64" i="6"/>
  <c r="C58" i="31"/>
  <c r="F58" i="31" s="1"/>
  <c r="H58" i="31" s="1"/>
  <c r="C48" i="31"/>
  <c r="F57" i="39"/>
  <c r="P73" i="6"/>
  <c r="P91" i="6"/>
  <c r="C70" i="35"/>
  <c r="C96" i="31"/>
  <c r="F96" i="31" s="1"/>
  <c r="H96" i="31" s="1"/>
  <c r="P43" i="31"/>
  <c r="M56" i="7"/>
  <c r="M36" i="7"/>
  <c r="M67" i="7"/>
  <c r="P47" i="6"/>
  <c r="P43" i="6"/>
  <c r="P20" i="6"/>
  <c r="P92" i="6"/>
  <c r="P25" i="6"/>
  <c r="P87" i="6"/>
  <c r="M88" i="7"/>
  <c r="M72" i="7"/>
  <c r="M55" i="7"/>
  <c r="P81" i="6"/>
  <c r="P38" i="6"/>
  <c r="M29" i="7"/>
  <c r="P28" i="6"/>
  <c r="P80" i="6"/>
  <c r="M81" i="7"/>
  <c r="P22" i="6"/>
  <c r="M23" i="7"/>
  <c r="P63" i="6"/>
  <c r="M30" i="7"/>
  <c r="P65" i="6"/>
  <c r="P67" i="6"/>
  <c r="M91" i="7"/>
  <c r="P32" i="6"/>
  <c r="M40" i="7"/>
  <c r="P57" i="6"/>
  <c r="P69" i="6"/>
  <c r="C89" i="18"/>
  <c r="P51" i="6"/>
  <c r="P53" i="6"/>
  <c r="P13" i="6"/>
  <c r="M18" i="7"/>
  <c r="M47" i="7"/>
  <c r="P46" i="6"/>
  <c r="P34" i="6"/>
  <c r="P15" i="6"/>
  <c r="P56" i="6"/>
  <c r="P25" i="32"/>
  <c r="P27" i="18"/>
  <c r="P19" i="32"/>
  <c r="P24" i="18"/>
  <c r="C27" i="18"/>
  <c r="C98" i="18"/>
  <c r="P98" i="18"/>
  <c r="P85" i="37"/>
  <c r="C85" i="37"/>
  <c r="C69" i="34"/>
  <c r="P69" i="32"/>
  <c r="C69" i="32"/>
  <c r="C20" i="37"/>
  <c r="C46" i="35"/>
  <c r="P46" i="31"/>
  <c r="C46" i="31"/>
  <c r="C46" i="34"/>
  <c r="P46" i="32"/>
  <c r="C46" i="32"/>
  <c r="C71" i="18"/>
  <c r="P71" i="18"/>
  <c r="P99" i="33"/>
  <c r="C99" i="33"/>
  <c r="P71" i="33"/>
  <c r="C71" i="33"/>
  <c r="C71" i="34"/>
  <c r="C71" i="32"/>
  <c r="P71" i="32"/>
  <c r="P23" i="33"/>
  <c r="C23" i="33"/>
  <c r="P23" i="18"/>
  <c r="C23" i="18"/>
  <c r="C66" i="32"/>
  <c r="C66" i="34"/>
  <c r="P66" i="32"/>
  <c r="P98" i="37"/>
  <c r="C98" i="37"/>
  <c r="P56" i="37"/>
  <c r="C56" i="37"/>
  <c r="C60" i="37"/>
  <c r="C25" i="31"/>
  <c r="C25" i="35"/>
  <c r="C64" i="31"/>
  <c r="C64" i="35"/>
  <c r="P64" i="31"/>
  <c r="R64" i="31" s="1"/>
  <c r="P25" i="37"/>
  <c r="C25" i="37"/>
  <c r="C89" i="37"/>
  <c r="P89" i="37"/>
  <c r="P91" i="33"/>
  <c r="C91" i="33"/>
  <c r="C91" i="18"/>
  <c r="P91" i="18"/>
  <c r="P95" i="31"/>
  <c r="C95" i="31"/>
  <c r="C95" i="35"/>
  <c r="P24" i="33"/>
  <c r="C24" i="33"/>
  <c r="C24" i="35"/>
  <c r="P24" i="31"/>
  <c r="C24" i="31"/>
  <c r="C81" i="35"/>
  <c r="P60" i="37"/>
  <c r="H98" i="39"/>
  <c r="C49" i="31"/>
  <c r="P49" i="31"/>
  <c r="C49" i="35"/>
  <c r="P38" i="33"/>
  <c r="C38" i="33"/>
  <c r="C42" i="37"/>
  <c r="P42" i="37"/>
  <c r="P33" i="33"/>
  <c r="C33" i="33"/>
  <c r="P95" i="37"/>
  <c r="C95" i="37"/>
  <c r="C23" i="37"/>
  <c r="P23" i="37"/>
  <c r="C36" i="37"/>
  <c r="F36" i="37" s="1"/>
  <c r="G36" i="37" s="1"/>
  <c r="C35" i="39"/>
  <c r="P47" i="37"/>
  <c r="C47" i="37"/>
  <c r="C72" i="37"/>
  <c r="P72" i="37"/>
  <c r="C72" i="35"/>
  <c r="P72" i="31"/>
  <c r="C72" i="31"/>
  <c r="F72" i="31" s="1"/>
  <c r="H72" i="31" s="1"/>
  <c r="C64" i="37"/>
  <c r="F64" i="37" s="1"/>
  <c r="H64" i="37" s="1"/>
  <c r="P64" i="37"/>
  <c r="P25" i="18"/>
  <c r="C25" i="18"/>
  <c r="C46" i="18"/>
  <c r="P46" i="18"/>
  <c r="C46" i="37"/>
  <c r="P46" i="37"/>
  <c r="C89" i="31"/>
  <c r="C89" i="35"/>
  <c r="P95" i="33"/>
  <c r="C95" i="33"/>
  <c r="C81" i="37"/>
  <c r="P81" i="37"/>
  <c r="C96" i="33"/>
  <c r="P96" i="33"/>
  <c r="R96" i="33" s="1"/>
  <c r="T96" i="33" s="1"/>
  <c r="C24" i="37"/>
  <c r="P24" i="37"/>
  <c r="P81" i="31"/>
  <c r="P47" i="32"/>
  <c r="C56" i="35"/>
  <c r="P72" i="33"/>
  <c r="R72" i="33" s="1"/>
  <c r="S72" i="33" s="1"/>
  <c r="C92" i="32"/>
  <c r="I35" i="39"/>
  <c r="C51" i="35"/>
  <c r="C91" i="34"/>
  <c r="C78" i="34"/>
  <c r="C78" i="32"/>
  <c r="P78" i="32"/>
  <c r="C23" i="32"/>
  <c r="P23" i="32"/>
  <c r="C23" i="34"/>
  <c r="C56" i="18"/>
  <c r="P56" i="18"/>
  <c r="C27" i="32"/>
  <c r="C27" i="34"/>
  <c r="F27" i="34" s="1"/>
  <c r="P27" i="32"/>
  <c r="P66" i="37"/>
  <c r="C66" i="37"/>
  <c r="C43" i="37"/>
  <c r="P43" i="37"/>
  <c r="P36" i="18"/>
  <c r="R36" i="18" s="1"/>
  <c r="C36" i="18"/>
  <c r="F36" i="18" s="1"/>
  <c r="P99" i="32"/>
  <c r="C99" i="34"/>
  <c r="C99" i="32"/>
  <c r="C49" i="37"/>
  <c r="P49" i="37"/>
  <c r="P23" i="31"/>
  <c r="C23" i="35"/>
  <c r="C66" i="18"/>
  <c r="F66" i="18" s="1"/>
  <c r="P66" i="18"/>
  <c r="P66" i="33"/>
  <c r="C98" i="33"/>
  <c r="P98" i="33"/>
  <c r="P60" i="32"/>
  <c r="C60" i="32"/>
  <c r="C60" i="34"/>
  <c r="P60" i="31"/>
  <c r="C60" i="35"/>
  <c r="C74" i="33"/>
  <c r="P74" i="33"/>
  <c r="P58" i="37"/>
  <c r="R58" i="37" s="1"/>
  <c r="C58" i="37"/>
  <c r="P47" i="18"/>
  <c r="C47" i="18"/>
  <c r="P47" i="31"/>
  <c r="C47" i="31"/>
  <c r="C47" i="35"/>
  <c r="C69" i="33"/>
  <c r="P69" i="33"/>
  <c r="P25" i="33"/>
  <c r="C25" i="33"/>
  <c r="C91" i="37"/>
  <c r="P91" i="37"/>
  <c r="P92" i="31"/>
  <c r="C92" i="35"/>
  <c r="C92" i="31"/>
  <c r="C27" i="33"/>
  <c r="P27" i="33"/>
  <c r="C27" i="31"/>
  <c r="P27" i="31"/>
  <c r="C27" i="35"/>
  <c r="P19" i="37"/>
  <c r="C19" i="37"/>
  <c r="F19" i="37" s="1"/>
  <c r="H19" i="37" s="1"/>
  <c r="J19" i="37" s="1"/>
  <c r="K19" i="37" s="1"/>
  <c r="J17" i="17" s="1"/>
  <c r="P24" i="32"/>
  <c r="C24" i="32"/>
  <c r="C24" i="34"/>
  <c r="P56" i="31"/>
  <c r="C41" i="37"/>
  <c r="P36" i="37"/>
  <c r="R36" i="37" s="1"/>
  <c r="C47" i="34"/>
  <c r="C74" i="35"/>
  <c r="P49" i="18"/>
  <c r="P89" i="31"/>
  <c r="P25" i="31"/>
  <c r="P30" i="31"/>
  <c r="H37" i="39"/>
  <c r="P51" i="31"/>
  <c r="C96" i="35"/>
  <c r="F96" i="35" s="1"/>
  <c r="C30" i="33"/>
  <c r="C29" i="33"/>
  <c r="P39" i="18"/>
  <c r="P36" i="33"/>
  <c r="C93" i="35"/>
  <c r="C93" i="31"/>
  <c r="P93" i="31"/>
  <c r="C94" i="32"/>
  <c r="C94" i="34"/>
  <c r="P94" i="32"/>
  <c r="C97" i="34"/>
  <c r="P97" i="32"/>
  <c r="C97" i="32"/>
  <c r="C19" i="33"/>
  <c r="P19" i="33"/>
  <c r="P96" i="37"/>
  <c r="R96" i="37" s="1"/>
  <c r="S96" i="37" s="1"/>
  <c r="C95" i="39"/>
  <c r="C96" i="37"/>
  <c r="P43" i="18"/>
  <c r="C43" i="18"/>
  <c r="C71" i="37"/>
  <c r="P71" i="37"/>
  <c r="C71" i="31"/>
  <c r="P71" i="31"/>
  <c r="C66" i="31"/>
  <c r="C66" i="35"/>
  <c r="P66" i="31"/>
  <c r="C98" i="35"/>
  <c r="P98" i="31"/>
  <c r="C56" i="33"/>
  <c r="P56" i="33"/>
  <c r="C65" i="37"/>
  <c r="P65" i="37"/>
  <c r="C75" i="18"/>
  <c r="P75" i="18"/>
  <c r="C69" i="37"/>
  <c r="P69" i="37"/>
  <c r="P69" i="31"/>
  <c r="C69" i="31"/>
  <c r="C69" i="35"/>
  <c r="C92" i="18"/>
  <c r="P92" i="18"/>
  <c r="C64" i="18"/>
  <c r="P64" i="18"/>
  <c r="C64" i="34"/>
  <c r="F64" i="34" s="1"/>
  <c r="C64" i="32"/>
  <c r="P64" i="32"/>
  <c r="C89" i="34"/>
  <c r="C89" i="32"/>
  <c r="P89" i="32"/>
  <c r="P91" i="31"/>
  <c r="C91" i="35"/>
  <c r="P92" i="37"/>
  <c r="C92" i="37"/>
  <c r="P27" i="37"/>
  <c r="C27" i="37"/>
  <c r="C37" i="34"/>
  <c r="F76" i="36"/>
  <c r="F76" i="18"/>
  <c r="F68" i="18"/>
  <c r="F52" i="37"/>
  <c r="H52" i="37" s="1"/>
  <c r="E93" i="18"/>
  <c r="Q93" i="37"/>
  <c r="R93" i="37" s="1"/>
  <c r="S93" i="37" s="1"/>
  <c r="Q93" i="36"/>
  <c r="R93" i="36" s="1"/>
  <c r="E93" i="37"/>
  <c r="C92" i="39" s="1"/>
  <c r="Q93" i="35"/>
  <c r="R93" i="35" s="1"/>
  <c r="T93" i="35" s="1"/>
  <c r="Q93" i="34"/>
  <c r="R93" i="34" s="1"/>
  <c r="Q93" i="33"/>
  <c r="Q93" i="32"/>
  <c r="Q93" i="31"/>
  <c r="E93" i="36"/>
  <c r="E93" i="34"/>
  <c r="F93" i="34" s="1"/>
  <c r="E93" i="32"/>
  <c r="F93" i="32" s="1"/>
  <c r="Q93" i="18"/>
  <c r="E93" i="35"/>
  <c r="E93" i="33"/>
  <c r="E93" i="31"/>
  <c r="Q93" i="40"/>
  <c r="R93" i="40" s="1"/>
  <c r="E93" i="40"/>
  <c r="Q77" i="37"/>
  <c r="R77" i="37" s="1"/>
  <c r="S77" i="37" s="1"/>
  <c r="Q77" i="36"/>
  <c r="R77" i="36" s="1"/>
  <c r="E77" i="18"/>
  <c r="E77" i="37"/>
  <c r="Q77" i="35"/>
  <c r="R77" i="35" s="1"/>
  <c r="T77" i="35" s="1"/>
  <c r="Q77" i="34"/>
  <c r="R77" i="34" s="1"/>
  <c r="Q77" i="33"/>
  <c r="Q77" i="32"/>
  <c r="Q77" i="31"/>
  <c r="R77" i="31" s="1"/>
  <c r="E77" i="36"/>
  <c r="E77" i="34"/>
  <c r="G76" i="39" s="1"/>
  <c r="E77" i="32"/>
  <c r="Q77" i="18"/>
  <c r="E77" i="35"/>
  <c r="E77" i="33"/>
  <c r="E77" i="31"/>
  <c r="F76" i="39" s="1"/>
  <c r="E77" i="40"/>
  <c r="L76" i="39" s="1"/>
  <c r="Q77" i="40"/>
  <c r="R77" i="40" s="1"/>
  <c r="E89" i="18"/>
  <c r="D88" i="39" s="1"/>
  <c r="Q89" i="37"/>
  <c r="Q89" i="36"/>
  <c r="R89" i="36" s="1"/>
  <c r="E89" i="37"/>
  <c r="C88" i="39" s="1"/>
  <c r="Q89" i="35"/>
  <c r="R89" i="35" s="1"/>
  <c r="Q89" i="34"/>
  <c r="R89" i="34" s="1"/>
  <c r="Q89" i="33"/>
  <c r="R89" i="33" s="1"/>
  <c r="S89" i="33" s="1"/>
  <c r="Q89" i="32"/>
  <c r="Q89" i="31"/>
  <c r="Q89" i="18"/>
  <c r="R89" i="18" s="1"/>
  <c r="E89" i="35"/>
  <c r="I88" i="39" s="1"/>
  <c r="E89" i="33"/>
  <c r="E89" i="31"/>
  <c r="F88" i="39" s="1"/>
  <c r="E89" i="36"/>
  <c r="E89" i="34"/>
  <c r="F89" i="34" s="1"/>
  <c r="E89" i="32"/>
  <c r="F89" i="32" s="1"/>
  <c r="Q89" i="40"/>
  <c r="R89" i="40" s="1"/>
  <c r="E89" i="40"/>
  <c r="F89" i="40" s="1"/>
  <c r="E71" i="18"/>
  <c r="D70" i="39" s="1"/>
  <c r="E71" i="37"/>
  <c r="E71" i="36"/>
  <c r="Q71" i="35"/>
  <c r="R71" i="35" s="1"/>
  <c r="S71" i="35" s="1"/>
  <c r="Q71" i="34"/>
  <c r="R71" i="34" s="1"/>
  <c r="Q71" i="33"/>
  <c r="Q71" i="32"/>
  <c r="Q71" i="31"/>
  <c r="Q71" i="37"/>
  <c r="R71" i="37" s="1"/>
  <c r="T71" i="37" s="1"/>
  <c r="E71" i="34"/>
  <c r="G70" i="39" s="1"/>
  <c r="E71" i="32"/>
  <c r="Q71" i="36"/>
  <c r="R71" i="36" s="1"/>
  <c r="E71" i="35"/>
  <c r="E71" i="33"/>
  <c r="E71" i="31"/>
  <c r="F70" i="39" s="1"/>
  <c r="Q71" i="18"/>
  <c r="Q71" i="40"/>
  <c r="R71" i="40" s="1"/>
  <c r="E71" i="40"/>
  <c r="M70" i="39" s="1"/>
  <c r="E55" i="18"/>
  <c r="E55" i="37"/>
  <c r="E55" i="36"/>
  <c r="Q55" i="35"/>
  <c r="R55" i="35" s="1"/>
  <c r="Q55" i="34"/>
  <c r="R55" i="34" s="1"/>
  <c r="Q55" i="33"/>
  <c r="R55" i="33" s="1"/>
  <c r="S55" i="33" s="1"/>
  <c r="Q55" i="32"/>
  <c r="Q55" i="31"/>
  <c r="R55" i="31" s="1"/>
  <c r="Q55" i="18"/>
  <c r="Q55" i="37"/>
  <c r="E55" i="34"/>
  <c r="E55" i="32"/>
  <c r="F55" i="32" s="1"/>
  <c r="Q55" i="36"/>
  <c r="R55" i="36" s="1"/>
  <c r="E55" i="35"/>
  <c r="F55" i="35" s="1"/>
  <c r="E55" i="33"/>
  <c r="E55" i="31"/>
  <c r="E55" i="40"/>
  <c r="F55" i="40" s="1"/>
  <c r="Q55" i="40"/>
  <c r="R55" i="40" s="1"/>
  <c r="E37" i="18"/>
  <c r="Q37" i="37"/>
  <c r="Q37" i="36"/>
  <c r="R37" i="36" s="1"/>
  <c r="Q37" i="35"/>
  <c r="R37" i="35" s="1"/>
  <c r="S37" i="35" s="1"/>
  <c r="Q37" i="34"/>
  <c r="R37" i="34" s="1"/>
  <c r="Q37" i="33"/>
  <c r="R37" i="33" s="1"/>
  <c r="S37" i="33" s="1"/>
  <c r="Q37" i="32"/>
  <c r="E37" i="31"/>
  <c r="F36" i="39" s="1"/>
  <c r="E37" i="36"/>
  <c r="J36" i="39" s="1"/>
  <c r="E37" i="35"/>
  <c r="E37" i="33"/>
  <c r="E37" i="37"/>
  <c r="E37" i="34"/>
  <c r="G36" i="39" s="1"/>
  <c r="E37" i="32"/>
  <c r="Q37" i="18"/>
  <c r="Q37" i="31"/>
  <c r="Q37" i="40"/>
  <c r="R37" i="40" s="1"/>
  <c r="E37" i="40"/>
  <c r="M36" i="39" s="1"/>
  <c r="AC30" i="5"/>
  <c r="AA30" i="5"/>
  <c r="AB30" i="5"/>
  <c r="Y30" i="5"/>
  <c r="X30" i="5"/>
  <c r="Z30" i="5"/>
  <c r="W30" i="5"/>
  <c r="C26" i="32"/>
  <c r="C26" i="34"/>
  <c r="P26" i="32"/>
  <c r="P26" i="31"/>
  <c r="C26" i="31"/>
  <c r="C26" i="35"/>
  <c r="C77" i="34"/>
  <c r="P77" i="32"/>
  <c r="C77" i="32"/>
  <c r="P36" i="31"/>
  <c r="R36" i="31" s="1"/>
  <c r="C36" i="35"/>
  <c r="F36" i="35" s="1"/>
  <c r="H36" i="35" s="1"/>
  <c r="C36" i="31"/>
  <c r="C90" i="18"/>
  <c r="C65" i="35"/>
  <c r="C65" i="31"/>
  <c r="P65" i="31"/>
  <c r="C50" i="35"/>
  <c r="C50" i="31"/>
  <c r="P50" i="31"/>
  <c r="C79" i="35"/>
  <c r="P79" i="31"/>
  <c r="C79" i="31"/>
  <c r="P74" i="18"/>
  <c r="C74" i="18"/>
  <c r="C76" i="32"/>
  <c r="C76" i="34"/>
  <c r="C32" i="33"/>
  <c r="F32" i="33" s="1"/>
  <c r="G32" i="33" s="1"/>
  <c r="P32" i="33"/>
  <c r="R32" i="33" s="1"/>
  <c r="T32" i="33" s="1"/>
  <c r="P32" i="32"/>
  <c r="C32" i="32"/>
  <c r="C32" i="34"/>
  <c r="Q95" i="37"/>
  <c r="Q95" i="36"/>
  <c r="R95" i="36" s="1"/>
  <c r="E95" i="36"/>
  <c r="Q95" i="35"/>
  <c r="R95" i="35" s="1"/>
  <c r="S95" i="35" s="1"/>
  <c r="Q95" i="34"/>
  <c r="R95" i="34" s="1"/>
  <c r="Q95" i="33"/>
  <c r="Q95" i="32"/>
  <c r="Q95" i="31"/>
  <c r="Q95" i="18"/>
  <c r="E95" i="37"/>
  <c r="C94" i="39" s="1"/>
  <c r="E95" i="34"/>
  <c r="E95" i="32"/>
  <c r="F95" i="32" s="1"/>
  <c r="E95" i="18"/>
  <c r="D94" i="39" s="1"/>
  <c r="E95" i="35"/>
  <c r="I94" i="39" s="1"/>
  <c r="E95" i="33"/>
  <c r="E95" i="31"/>
  <c r="F94" i="39" s="1"/>
  <c r="Q95" i="40"/>
  <c r="R95" i="40" s="1"/>
  <c r="E95" i="40"/>
  <c r="Q31" i="35"/>
  <c r="R31" i="35" s="1"/>
  <c r="Q31" i="34"/>
  <c r="R31" i="34" s="1"/>
  <c r="Q31" i="33"/>
  <c r="R31" i="33" s="1"/>
  <c r="T31" i="33" s="1"/>
  <c r="Q31" i="32"/>
  <c r="Q31" i="31"/>
  <c r="R31" i="31" s="1"/>
  <c r="Q31" i="18"/>
  <c r="R31" i="18" s="1"/>
  <c r="E31" i="37"/>
  <c r="E31" i="36"/>
  <c r="J30" i="39" s="1"/>
  <c r="E31" i="34"/>
  <c r="E31" i="32"/>
  <c r="F31" i="32" s="1"/>
  <c r="E31" i="18"/>
  <c r="D30" i="39" s="1"/>
  <c r="Q31" i="37"/>
  <c r="R31" i="37" s="1"/>
  <c r="S31" i="37" s="1"/>
  <c r="E31" i="35"/>
  <c r="E31" i="33"/>
  <c r="E31" i="31"/>
  <c r="F31" i="31" s="1"/>
  <c r="Q31" i="36"/>
  <c r="R31" i="36" s="1"/>
  <c r="Q31" i="40"/>
  <c r="R31" i="40" s="1"/>
  <c r="E31" i="40"/>
  <c r="F31" i="40" s="1"/>
  <c r="E41" i="18"/>
  <c r="E41" i="37"/>
  <c r="C40" i="39" s="1"/>
  <c r="Q41" i="36"/>
  <c r="R41" i="36" s="1"/>
  <c r="Q41" i="35"/>
  <c r="R41" i="35" s="1"/>
  <c r="T41" i="35" s="1"/>
  <c r="Q41" i="34"/>
  <c r="R41" i="34" s="1"/>
  <c r="Q41" i="33"/>
  <c r="Q41" i="32"/>
  <c r="Q41" i="31"/>
  <c r="R41" i="31" s="1"/>
  <c r="E41" i="36"/>
  <c r="E41" i="35"/>
  <c r="I40" i="39" s="1"/>
  <c r="E41" i="33"/>
  <c r="E41" i="31"/>
  <c r="F41" i="31" s="1"/>
  <c r="H41" i="31" s="1"/>
  <c r="Q41" i="18"/>
  <c r="Q41" i="37"/>
  <c r="R41" i="37" s="1"/>
  <c r="T41" i="37" s="1"/>
  <c r="E41" i="34"/>
  <c r="E41" i="32"/>
  <c r="E41" i="40"/>
  <c r="Q41" i="40"/>
  <c r="R41" i="40" s="1"/>
  <c r="Q43" i="36"/>
  <c r="R43" i="36" s="1"/>
  <c r="Q43" i="35"/>
  <c r="R43" i="35" s="1"/>
  <c r="Q43" i="34"/>
  <c r="R43" i="34" s="1"/>
  <c r="Q43" i="33"/>
  <c r="R43" i="33" s="1"/>
  <c r="S43" i="33" s="1"/>
  <c r="Q43" i="32"/>
  <c r="Q43" i="31"/>
  <c r="Q43" i="18"/>
  <c r="E43" i="37"/>
  <c r="C42" i="39" s="1"/>
  <c r="E43" i="36"/>
  <c r="Q43" i="37"/>
  <c r="E43" i="35"/>
  <c r="E43" i="33"/>
  <c r="E43" i="31"/>
  <c r="F42" i="39" s="1"/>
  <c r="E43" i="40"/>
  <c r="E43" i="34"/>
  <c r="G42" i="39" s="1"/>
  <c r="E43" i="32"/>
  <c r="E43" i="18"/>
  <c r="Q43" i="40"/>
  <c r="R43" i="40" s="1"/>
  <c r="E45" i="18"/>
  <c r="D44" i="39" s="1"/>
  <c r="E45" i="37"/>
  <c r="C44" i="39" s="1"/>
  <c r="Q45" i="36"/>
  <c r="R45" i="36" s="1"/>
  <c r="Q45" i="35"/>
  <c r="R45" i="35" s="1"/>
  <c r="S45" i="35" s="1"/>
  <c r="Q45" i="34"/>
  <c r="R45" i="34" s="1"/>
  <c r="Q45" i="33"/>
  <c r="R45" i="33" s="1"/>
  <c r="S45" i="33" s="1"/>
  <c r="Q45" i="32"/>
  <c r="Q45" i="31"/>
  <c r="Q45" i="18"/>
  <c r="Q45" i="37"/>
  <c r="R45" i="37" s="1"/>
  <c r="T45" i="37" s="1"/>
  <c r="E45" i="34"/>
  <c r="E45" i="32"/>
  <c r="F45" i="32" s="1"/>
  <c r="E45" i="36"/>
  <c r="J44" i="39" s="1"/>
  <c r="E45" i="35"/>
  <c r="E45" i="33"/>
  <c r="E45" i="31"/>
  <c r="F44" i="39" s="1"/>
  <c r="E45" i="40"/>
  <c r="Q45" i="40"/>
  <c r="R45" i="40" s="1"/>
  <c r="Q47" i="35"/>
  <c r="R47" i="35" s="1"/>
  <c r="T47" i="35" s="1"/>
  <c r="Q47" i="34"/>
  <c r="R47" i="34" s="1"/>
  <c r="Q47" i="33"/>
  <c r="Q47" i="32"/>
  <c r="Q47" i="31"/>
  <c r="Q47" i="18"/>
  <c r="Q47" i="37"/>
  <c r="Q47" i="36"/>
  <c r="R47" i="36" s="1"/>
  <c r="E47" i="34"/>
  <c r="E47" i="32"/>
  <c r="F47" i="32" s="1"/>
  <c r="E47" i="18"/>
  <c r="E47" i="36"/>
  <c r="E47" i="35"/>
  <c r="I46" i="39" s="1"/>
  <c r="E47" i="33"/>
  <c r="E47" i="31"/>
  <c r="F46" i="39" s="1"/>
  <c r="E47" i="37"/>
  <c r="C46" i="39" s="1"/>
  <c r="E47" i="40"/>
  <c r="L46" i="39" s="1"/>
  <c r="Q47" i="40"/>
  <c r="R47" i="40" s="1"/>
  <c r="Q49" i="37"/>
  <c r="Q49" i="36"/>
  <c r="R49" i="36" s="1"/>
  <c r="E49" i="35"/>
  <c r="I48" i="39" s="1"/>
  <c r="E49" i="34"/>
  <c r="E49" i="33"/>
  <c r="E49" i="32"/>
  <c r="F49" i="32" s="1"/>
  <c r="E49" i="31"/>
  <c r="F48" i="39" s="1"/>
  <c r="E49" i="18"/>
  <c r="E49" i="36"/>
  <c r="J48" i="39" s="1"/>
  <c r="E49" i="37"/>
  <c r="C48" i="39" s="1"/>
  <c r="Q49" i="35"/>
  <c r="R49" i="35" s="1"/>
  <c r="S49" i="35" s="1"/>
  <c r="Q49" i="33"/>
  <c r="Q49" i="31"/>
  <c r="E49" i="40"/>
  <c r="F49" i="40" s="1"/>
  <c r="Q49" i="34"/>
  <c r="R49" i="34" s="1"/>
  <c r="Q49" i="32"/>
  <c r="Q49" i="18"/>
  <c r="Q49" i="40"/>
  <c r="R49" i="40" s="1"/>
  <c r="Q65" i="35"/>
  <c r="R65" i="35" s="1"/>
  <c r="Q65" i="34"/>
  <c r="R65" i="34" s="1"/>
  <c r="Q65" i="33"/>
  <c r="Q65" i="32"/>
  <c r="Q65" i="31"/>
  <c r="Q65" i="18"/>
  <c r="Q65" i="37"/>
  <c r="Q65" i="36"/>
  <c r="R65" i="36" s="1"/>
  <c r="E65" i="34"/>
  <c r="G64" i="39" s="1"/>
  <c r="E65" i="32"/>
  <c r="E65" i="18"/>
  <c r="D64" i="39" s="1"/>
  <c r="E65" i="36"/>
  <c r="E65" i="35"/>
  <c r="I64" i="39" s="1"/>
  <c r="E65" i="33"/>
  <c r="E65" i="31"/>
  <c r="F64" i="39" s="1"/>
  <c r="E65" i="37"/>
  <c r="Q65" i="40"/>
  <c r="R65" i="40" s="1"/>
  <c r="E65" i="40"/>
  <c r="Q91" i="35"/>
  <c r="R91" i="35" s="1"/>
  <c r="T91" i="35" s="1"/>
  <c r="Q91" i="34"/>
  <c r="R91" i="34" s="1"/>
  <c r="Q91" i="33"/>
  <c r="Q91" i="32"/>
  <c r="Q91" i="31"/>
  <c r="Q91" i="18"/>
  <c r="Q91" i="37"/>
  <c r="Q91" i="36"/>
  <c r="R91" i="36" s="1"/>
  <c r="E91" i="34"/>
  <c r="G90" i="39" s="1"/>
  <c r="E91" i="32"/>
  <c r="F91" i="32" s="1"/>
  <c r="E91" i="18"/>
  <c r="E91" i="36"/>
  <c r="E91" i="35"/>
  <c r="E91" i="33"/>
  <c r="E91" i="31"/>
  <c r="F91" i="31" s="1"/>
  <c r="G91" i="31" s="1"/>
  <c r="E91" i="37"/>
  <c r="Q91" i="40"/>
  <c r="R91" i="40" s="1"/>
  <c r="E91" i="40"/>
  <c r="M90" i="39" s="1"/>
  <c r="E87" i="37"/>
  <c r="C86" i="39" s="1"/>
  <c r="E87" i="36"/>
  <c r="J86" i="39" s="1"/>
  <c r="Q87" i="35"/>
  <c r="R87" i="35" s="1"/>
  <c r="T87" i="35" s="1"/>
  <c r="Q87" i="34"/>
  <c r="R87" i="34" s="1"/>
  <c r="Q87" i="33"/>
  <c r="Q87" i="32"/>
  <c r="Q87" i="31"/>
  <c r="Q87" i="37"/>
  <c r="E87" i="34"/>
  <c r="E87" i="32"/>
  <c r="E87" i="18"/>
  <c r="Q87" i="36"/>
  <c r="R87" i="36" s="1"/>
  <c r="E87" i="35"/>
  <c r="I86" i="39" s="1"/>
  <c r="E87" i="33"/>
  <c r="H86" i="39" s="1"/>
  <c r="E87" i="31"/>
  <c r="F86" i="39" s="1"/>
  <c r="Q87" i="18"/>
  <c r="E87" i="40"/>
  <c r="M86" i="39" s="1"/>
  <c r="Q87" i="40"/>
  <c r="R87" i="40" s="1"/>
  <c r="C20" i="31"/>
  <c r="F20" i="31" s="1"/>
  <c r="G20" i="31" s="1"/>
  <c r="C20" i="35"/>
  <c r="P20" i="31"/>
  <c r="R20" i="31" s="1"/>
  <c r="C37" i="31"/>
  <c r="C37" i="35"/>
  <c r="P37" i="31"/>
  <c r="P37" i="18"/>
  <c r="C37" i="18"/>
  <c r="D36" i="39"/>
  <c r="C63" i="35"/>
  <c r="P63" i="31"/>
  <c r="C63" i="31"/>
  <c r="P85" i="33"/>
  <c r="C85" i="33"/>
  <c r="C87" i="35"/>
  <c r="F87" i="35" s="1"/>
  <c r="P87" i="31"/>
  <c r="C87" i="31"/>
  <c r="F87" i="31" s="1"/>
  <c r="G87" i="31" s="1"/>
  <c r="P87" i="18"/>
  <c r="R87" i="18" s="1"/>
  <c r="C87" i="18"/>
  <c r="C99" i="37"/>
  <c r="P99" i="37"/>
  <c r="C99" i="31"/>
  <c r="P99" i="31"/>
  <c r="C99" i="35"/>
  <c r="E51" i="37"/>
  <c r="C50" i="39" s="1"/>
  <c r="Q51" i="36"/>
  <c r="R51" i="36" s="1"/>
  <c r="Q51" i="35"/>
  <c r="R51" i="35" s="1"/>
  <c r="Q51" i="34"/>
  <c r="R51" i="34" s="1"/>
  <c r="Q51" i="33"/>
  <c r="Q51" i="32"/>
  <c r="Q51" i="31"/>
  <c r="E51" i="18"/>
  <c r="Q51" i="37"/>
  <c r="R51" i="37" s="1"/>
  <c r="T51" i="37" s="1"/>
  <c r="E51" i="36"/>
  <c r="J50" i="39" s="1"/>
  <c r="E51" i="35"/>
  <c r="I50" i="39" s="1"/>
  <c r="E51" i="33"/>
  <c r="E51" i="31"/>
  <c r="F51" i="31" s="1"/>
  <c r="G51" i="31" s="1"/>
  <c r="Q51" i="18"/>
  <c r="E51" i="34"/>
  <c r="G50" i="39" s="1"/>
  <c r="E51" i="32"/>
  <c r="E51" i="40"/>
  <c r="F51" i="40" s="1"/>
  <c r="Q51" i="40"/>
  <c r="R51" i="40" s="1"/>
  <c r="Q33" i="37"/>
  <c r="R33" i="37" s="1"/>
  <c r="T33" i="37" s="1"/>
  <c r="E33" i="36"/>
  <c r="E33" i="35"/>
  <c r="F33" i="35" s="1"/>
  <c r="H33" i="35" s="1"/>
  <c r="E33" i="34"/>
  <c r="F33" i="34" s="1"/>
  <c r="E33" i="33"/>
  <c r="E33" i="32"/>
  <c r="F33" i="32" s="1"/>
  <c r="E33" i="31"/>
  <c r="F32" i="39" s="1"/>
  <c r="E33" i="18"/>
  <c r="D32" i="39" s="1"/>
  <c r="Q33" i="36"/>
  <c r="R33" i="36" s="1"/>
  <c r="Q33" i="35"/>
  <c r="R33" i="35" s="1"/>
  <c r="S33" i="35" s="1"/>
  <c r="Q33" i="33"/>
  <c r="Q33" i="31"/>
  <c r="R33" i="31" s="1"/>
  <c r="E33" i="37"/>
  <c r="Q33" i="40"/>
  <c r="R33" i="40" s="1"/>
  <c r="Q33" i="34"/>
  <c r="R33" i="34" s="1"/>
  <c r="Q33" i="32"/>
  <c r="Q33" i="18"/>
  <c r="E33" i="40"/>
  <c r="F33" i="40" s="1"/>
  <c r="AE30" i="5"/>
  <c r="P60" i="18"/>
  <c r="C60" i="18"/>
  <c r="P72" i="18"/>
  <c r="C72" i="18"/>
  <c r="F72" i="18" s="1"/>
  <c r="D71" i="39"/>
  <c r="P57" i="18"/>
  <c r="C57" i="18"/>
  <c r="P62" i="37"/>
  <c r="C62" i="37"/>
  <c r="P54" i="32"/>
  <c r="C54" i="34"/>
  <c r="C54" i="32"/>
  <c r="C81" i="18"/>
  <c r="C67" i="33"/>
  <c r="P67" i="33"/>
  <c r="C59" i="34"/>
  <c r="P59" i="32"/>
  <c r="C59" i="32"/>
  <c r="P19" i="31"/>
  <c r="C19" i="35"/>
  <c r="F19" i="35" s="1"/>
  <c r="G19" i="35" s="1"/>
  <c r="I19" i="35" s="1"/>
  <c r="C19" i="31"/>
  <c r="C75" i="33"/>
  <c r="P75" i="33"/>
  <c r="P75" i="31"/>
  <c r="C75" i="35"/>
  <c r="C75" i="31"/>
  <c r="C80" i="35"/>
  <c r="C80" i="31"/>
  <c r="P80" i="37"/>
  <c r="C80" i="37"/>
  <c r="C79" i="39"/>
  <c r="P58" i="32"/>
  <c r="C58" i="34"/>
  <c r="F58" i="34" s="1"/>
  <c r="C58" i="32"/>
  <c r="P70" i="33"/>
  <c r="C70" i="33"/>
  <c r="F70" i="33" s="1"/>
  <c r="H70" i="33" s="1"/>
  <c r="C84" i="33"/>
  <c r="P97" i="33"/>
  <c r="C97" i="33"/>
  <c r="Q85" i="37"/>
  <c r="Q85" i="36"/>
  <c r="R85" i="36" s="1"/>
  <c r="E85" i="35"/>
  <c r="I84" i="39" s="1"/>
  <c r="E85" i="34"/>
  <c r="F85" i="34" s="1"/>
  <c r="E85" i="33"/>
  <c r="H84" i="39" s="1"/>
  <c r="E85" i="32"/>
  <c r="E85" i="31"/>
  <c r="E85" i="18"/>
  <c r="D84" i="39" s="1"/>
  <c r="E85" i="36"/>
  <c r="E85" i="37"/>
  <c r="C84" i="39" s="1"/>
  <c r="Q85" i="35"/>
  <c r="R85" i="35" s="1"/>
  <c r="Q85" i="33"/>
  <c r="Q85" i="31"/>
  <c r="Q85" i="32"/>
  <c r="E85" i="40"/>
  <c r="L84" i="39" s="1"/>
  <c r="Q85" i="34"/>
  <c r="R85" i="34" s="1"/>
  <c r="Q85" i="18"/>
  <c r="Q85" i="40"/>
  <c r="R85" i="40" s="1"/>
  <c r="Q73" i="37"/>
  <c r="R73" i="37" s="1"/>
  <c r="T73" i="37" s="1"/>
  <c r="Q73" i="36"/>
  <c r="R73" i="36" s="1"/>
  <c r="E73" i="37"/>
  <c r="C72" i="39" s="1"/>
  <c r="Q73" i="35"/>
  <c r="R73" i="35" s="1"/>
  <c r="S73" i="35" s="1"/>
  <c r="Q73" i="34"/>
  <c r="R73" i="34" s="1"/>
  <c r="Q73" i="33"/>
  <c r="R73" i="33" s="1"/>
  <c r="S73" i="33" s="1"/>
  <c r="Q73" i="32"/>
  <c r="Q73" i="31"/>
  <c r="Q73" i="18"/>
  <c r="R73" i="18" s="1"/>
  <c r="E73" i="18"/>
  <c r="E73" i="35"/>
  <c r="I72" i="39" s="1"/>
  <c r="E73" i="33"/>
  <c r="E73" i="31"/>
  <c r="F72" i="39" s="1"/>
  <c r="E73" i="36"/>
  <c r="E73" i="34"/>
  <c r="E73" i="32"/>
  <c r="E73" i="40"/>
  <c r="L72" i="39" s="1"/>
  <c r="Q73" i="40"/>
  <c r="R73" i="40" s="1"/>
  <c r="E63" i="35"/>
  <c r="I62" i="39" s="1"/>
  <c r="E63" i="34"/>
  <c r="F63" i="34" s="1"/>
  <c r="E63" i="33"/>
  <c r="E63" i="32"/>
  <c r="F63" i="32" s="1"/>
  <c r="E63" i="31"/>
  <c r="F62" i="39" s="1"/>
  <c r="E63" i="18"/>
  <c r="D62" i="39" s="1"/>
  <c r="E63" i="37"/>
  <c r="C62" i="39" s="1"/>
  <c r="E63" i="36"/>
  <c r="Q63" i="35"/>
  <c r="R63" i="35" s="1"/>
  <c r="T63" i="35" s="1"/>
  <c r="Q63" i="33"/>
  <c r="R63" i="33" s="1"/>
  <c r="S63" i="33" s="1"/>
  <c r="Q63" i="31"/>
  <c r="Q63" i="37"/>
  <c r="Q63" i="40"/>
  <c r="R63" i="40" s="1"/>
  <c r="Q63" i="34"/>
  <c r="R63" i="34" s="1"/>
  <c r="Q63" i="32"/>
  <c r="Q63" i="18"/>
  <c r="Q63" i="36"/>
  <c r="R63" i="36" s="1"/>
  <c r="E63" i="40"/>
  <c r="F63" i="40" s="1"/>
  <c r="E29" i="18"/>
  <c r="E29" i="37"/>
  <c r="Q29" i="36"/>
  <c r="R29" i="36" s="1"/>
  <c r="Q29" i="35"/>
  <c r="R29" i="35" s="1"/>
  <c r="S29" i="35" s="1"/>
  <c r="Q29" i="34"/>
  <c r="R29" i="34" s="1"/>
  <c r="Q29" i="33"/>
  <c r="R29" i="33" s="1"/>
  <c r="Q29" i="32"/>
  <c r="E29" i="31"/>
  <c r="F28" i="39" s="1"/>
  <c r="Q29" i="37"/>
  <c r="R29" i="37" s="1"/>
  <c r="T29" i="37" s="1"/>
  <c r="E29" i="36"/>
  <c r="J28" i="39" s="1"/>
  <c r="E29" i="34"/>
  <c r="E29" i="32"/>
  <c r="F29" i="32" s="1"/>
  <c r="Q29" i="18"/>
  <c r="R29" i="18" s="1"/>
  <c r="E29" i="35"/>
  <c r="E29" i="33"/>
  <c r="Q29" i="31"/>
  <c r="R29" i="31" s="1"/>
  <c r="Q29" i="40"/>
  <c r="R29" i="40" s="1"/>
  <c r="E29" i="40"/>
  <c r="Q21" i="35"/>
  <c r="R21" i="35" s="1"/>
  <c r="T21" i="35" s="1"/>
  <c r="Q21" i="34"/>
  <c r="R21" i="34" s="1"/>
  <c r="Q21" i="33"/>
  <c r="Q21" i="32"/>
  <c r="Q21" i="31"/>
  <c r="R21" i="31" s="1"/>
  <c r="Q21" i="18"/>
  <c r="E21" i="37"/>
  <c r="E21" i="36"/>
  <c r="J20" i="39" s="1"/>
  <c r="E21" i="34"/>
  <c r="E21" i="32"/>
  <c r="F21" i="32" s="1"/>
  <c r="E21" i="18"/>
  <c r="Q21" i="37"/>
  <c r="E21" i="35"/>
  <c r="F21" i="35" s="1"/>
  <c r="G21" i="35" s="1"/>
  <c r="E21" i="33"/>
  <c r="E21" i="31"/>
  <c r="F20" i="39" s="1"/>
  <c r="Q21" i="36"/>
  <c r="R21" i="36" s="1"/>
  <c r="E21" i="40"/>
  <c r="M20" i="39" s="1"/>
  <c r="Q21" i="40"/>
  <c r="R21" i="40" s="1"/>
  <c r="E97" i="37"/>
  <c r="C96" i="39" s="1"/>
  <c r="E97" i="36"/>
  <c r="Q97" i="35"/>
  <c r="R97" i="35" s="1"/>
  <c r="Q97" i="34"/>
  <c r="R97" i="34" s="1"/>
  <c r="Q97" i="33"/>
  <c r="Q97" i="32"/>
  <c r="Q97" i="31"/>
  <c r="R97" i="31" s="1"/>
  <c r="Q97" i="18"/>
  <c r="R97" i="18" s="1"/>
  <c r="Q97" i="37"/>
  <c r="R97" i="37" s="1"/>
  <c r="S97" i="37" s="1"/>
  <c r="E97" i="34"/>
  <c r="G96" i="39" s="1"/>
  <c r="E97" i="32"/>
  <c r="E97" i="18"/>
  <c r="D96" i="39" s="1"/>
  <c r="Q97" i="36"/>
  <c r="R97" i="36" s="1"/>
  <c r="E97" i="35"/>
  <c r="E97" i="33"/>
  <c r="H96" i="39" s="1"/>
  <c r="E97" i="31"/>
  <c r="F96" i="39" s="1"/>
  <c r="Q97" i="40"/>
  <c r="R97" i="40" s="1"/>
  <c r="E97" i="40"/>
  <c r="M96" i="39" s="1"/>
  <c r="AD30" i="5"/>
  <c r="C40" i="31"/>
  <c r="C40" i="35"/>
  <c r="P40" i="31"/>
  <c r="C35" i="37"/>
  <c r="F35" i="37" s="1"/>
  <c r="H35" i="37" s="1"/>
  <c r="P35" i="37"/>
  <c r="R35" i="37" s="1"/>
  <c r="T35" i="37" s="1"/>
  <c r="C90" i="35"/>
  <c r="P90" i="31"/>
  <c r="C90" i="31"/>
  <c r="C65" i="18"/>
  <c r="P65" i="18"/>
  <c r="P65" i="32"/>
  <c r="C65" i="34"/>
  <c r="C65" i="32"/>
  <c r="P50" i="18"/>
  <c r="P38" i="37"/>
  <c r="C38" i="37"/>
  <c r="P74" i="37"/>
  <c r="C74" i="37"/>
  <c r="P32" i="18"/>
  <c r="C32" i="18"/>
  <c r="P95" i="18"/>
  <c r="C95" i="18"/>
  <c r="C46" i="33"/>
  <c r="P46" i="33"/>
  <c r="E23" i="37"/>
  <c r="C22" i="39" s="1"/>
  <c r="Q23" i="36"/>
  <c r="R23" i="36" s="1"/>
  <c r="Q23" i="35"/>
  <c r="R23" i="35" s="1"/>
  <c r="Q23" i="34"/>
  <c r="R23" i="34" s="1"/>
  <c r="Q23" i="33"/>
  <c r="Q23" i="32"/>
  <c r="E23" i="31"/>
  <c r="F23" i="31" s="1"/>
  <c r="G23" i="31" s="1"/>
  <c r="E23" i="18"/>
  <c r="E23" i="36"/>
  <c r="J22" i="39" s="1"/>
  <c r="E23" i="34"/>
  <c r="G22" i="39" s="1"/>
  <c r="E23" i="32"/>
  <c r="Q23" i="37"/>
  <c r="E23" i="35"/>
  <c r="I22" i="39" s="1"/>
  <c r="E23" i="33"/>
  <c r="Q23" i="18"/>
  <c r="Q23" i="31"/>
  <c r="E23" i="40"/>
  <c r="Q23" i="40"/>
  <c r="R23" i="40" s="1"/>
  <c r="E39" i="18"/>
  <c r="D38" i="39" s="1"/>
  <c r="E39" i="37"/>
  <c r="Q39" i="36"/>
  <c r="R39" i="36" s="1"/>
  <c r="Q39" i="35"/>
  <c r="R39" i="35" s="1"/>
  <c r="Q39" i="34"/>
  <c r="R39" i="34" s="1"/>
  <c r="Q39" i="33"/>
  <c r="Q39" i="32"/>
  <c r="Q39" i="18"/>
  <c r="E39" i="31"/>
  <c r="F38" i="39" s="1"/>
  <c r="E39" i="34"/>
  <c r="F39" i="34" s="1"/>
  <c r="E39" i="32"/>
  <c r="Q39" i="31"/>
  <c r="R39" i="31" s="1"/>
  <c r="Q39" i="37"/>
  <c r="R39" i="37" s="1"/>
  <c r="S39" i="37" s="1"/>
  <c r="E39" i="36"/>
  <c r="E39" i="35"/>
  <c r="E39" i="33"/>
  <c r="H38" i="39" s="1"/>
  <c r="Q39" i="40"/>
  <c r="R39" i="40" s="1"/>
  <c r="E39" i="40"/>
  <c r="E42" i="18"/>
  <c r="Q42" i="37"/>
  <c r="Q42" i="36"/>
  <c r="R42" i="36" s="1"/>
  <c r="Q42" i="35"/>
  <c r="R42" i="35" s="1"/>
  <c r="Q42" i="34"/>
  <c r="R42" i="34" s="1"/>
  <c r="Q42" i="33"/>
  <c r="Q42" i="32"/>
  <c r="Q42" i="31"/>
  <c r="Q42" i="18"/>
  <c r="E42" i="35"/>
  <c r="F42" i="35" s="1"/>
  <c r="E42" i="33"/>
  <c r="E42" i="31"/>
  <c r="E42" i="37"/>
  <c r="E42" i="36"/>
  <c r="E42" i="34"/>
  <c r="F42" i="34" s="1"/>
  <c r="E42" i="32"/>
  <c r="F42" i="32" s="1"/>
  <c r="Q42" i="40"/>
  <c r="R42" i="40" s="1"/>
  <c r="E42" i="40"/>
  <c r="M41" i="39" s="1"/>
  <c r="Q44" i="37"/>
  <c r="E44" i="18"/>
  <c r="E44" i="37"/>
  <c r="C43" i="39" s="1"/>
  <c r="Q44" i="36"/>
  <c r="R44" i="36" s="1"/>
  <c r="Q44" i="35"/>
  <c r="R44" i="35" s="1"/>
  <c r="T44" i="35" s="1"/>
  <c r="Q44" i="34"/>
  <c r="R44" i="34" s="1"/>
  <c r="Q44" i="33"/>
  <c r="R44" i="33" s="1"/>
  <c r="Q44" i="32"/>
  <c r="Q44" i="31"/>
  <c r="E44" i="36"/>
  <c r="E44" i="34"/>
  <c r="E44" i="32"/>
  <c r="E44" i="35"/>
  <c r="E44" i="33"/>
  <c r="E44" i="31"/>
  <c r="F44" i="31" s="1"/>
  <c r="H44" i="31" s="1"/>
  <c r="Q44" i="18"/>
  <c r="R44" i="18" s="1"/>
  <c r="Q44" i="40"/>
  <c r="R44" i="40" s="1"/>
  <c r="E44" i="40"/>
  <c r="E46" i="37"/>
  <c r="C45" i="39" s="1"/>
  <c r="E46" i="35"/>
  <c r="I45" i="39" s="1"/>
  <c r="E46" i="34"/>
  <c r="G45" i="39" s="1"/>
  <c r="E46" i="33"/>
  <c r="H45" i="39" s="1"/>
  <c r="E46" i="32"/>
  <c r="E46" i="31"/>
  <c r="F45" i="39" s="1"/>
  <c r="E46" i="18"/>
  <c r="D45" i="39" s="1"/>
  <c r="Q46" i="36"/>
  <c r="R46" i="36" s="1"/>
  <c r="Q46" i="35"/>
  <c r="R46" i="35" s="1"/>
  <c r="T46" i="35" s="1"/>
  <c r="Q46" i="33"/>
  <c r="Q46" i="31"/>
  <c r="Q46" i="37"/>
  <c r="Q46" i="40"/>
  <c r="R46" i="40" s="1"/>
  <c r="Q46" i="34"/>
  <c r="R46" i="34" s="1"/>
  <c r="Q46" i="32"/>
  <c r="Q46" i="18"/>
  <c r="E46" i="36"/>
  <c r="J45" i="39" s="1"/>
  <c r="E46" i="40"/>
  <c r="M45" i="39" s="1"/>
  <c r="Q48" i="35"/>
  <c r="R48" i="35" s="1"/>
  <c r="S48" i="35" s="1"/>
  <c r="Q48" i="34"/>
  <c r="R48" i="34" s="1"/>
  <c r="Q48" i="33"/>
  <c r="R48" i="33" s="1"/>
  <c r="Q48" i="32"/>
  <c r="Q48" i="31"/>
  <c r="R48" i="31" s="1"/>
  <c r="Q48" i="18"/>
  <c r="Q48" i="37"/>
  <c r="R48" i="37" s="1"/>
  <c r="Q48" i="36"/>
  <c r="R48" i="36" s="1"/>
  <c r="E48" i="34"/>
  <c r="E48" i="32"/>
  <c r="E48" i="18"/>
  <c r="E48" i="36"/>
  <c r="J47" i="39" s="1"/>
  <c r="E48" i="35"/>
  <c r="E48" i="33"/>
  <c r="E48" i="31"/>
  <c r="E48" i="37"/>
  <c r="Q48" i="40"/>
  <c r="R48" i="40" s="1"/>
  <c r="E48" i="40"/>
  <c r="L47" i="39" s="1"/>
  <c r="Q57" i="37"/>
  <c r="R57" i="37" s="1"/>
  <c r="E57" i="37"/>
  <c r="E57" i="36"/>
  <c r="Q57" i="35"/>
  <c r="R57" i="35" s="1"/>
  <c r="Q57" i="34"/>
  <c r="R57" i="34" s="1"/>
  <c r="Q57" i="33"/>
  <c r="Q57" i="32"/>
  <c r="Q57" i="31"/>
  <c r="E57" i="35"/>
  <c r="E57" i="33"/>
  <c r="E57" i="31"/>
  <c r="F56" i="39" s="1"/>
  <c r="E57" i="18"/>
  <c r="D56" i="39" s="1"/>
  <c r="Q57" i="36"/>
  <c r="R57" i="36" s="1"/>
  <c r="E57" i="34"/>
  <c r="F57" i="34" s="1"/>
  <c r="E57" i="32"/>
  <c r="Q57" i="18"/>
  <c r="Q57" i="40"/>
  <c r="R57" i="40" s="1"/>
  <c r="E57" i="40"/>
  <c r="Q75" i="35"/>
  <c r="R75" i="35" s="1"/>
  <c r="S75" i="35" s="1"/>
  <c r="Q75" i="34"/>
  <c r="R75" i="34" s="1"/>
  <c r="Q75" i="33"/>
  <c r="Q75" i="32"/>
  <c r="Q75" i="31"/>
  <c r="Q75" i="18"/>
  <c r="Q75" i="37"/>
  <c r="Q75" i="36"/>
  <c r="R75" i="36" s="1"/>
  <c r="E75" i="34"/>
  <c r="G74" i="39" s="1"/>
  <c r="E75" i="32"/>
  <c r="E75" i="18"/>
  <c r="E75" i="36"/>
  <c r="E75" i="35"/>
  <c r="I74" i="39" s="1"/>
  <c r="E75" i="33"/>
  <c r="H74" i="39" s="1"/>
  <c r="E75" i="31"/>
  <c r="E75" i="37"/>
  <c r="C74" i="39" s="1"/>
  <c r="E75" i="40"/>
  <c r="M74" i="39" s="1"/>
  <c r="Q75" i="40"/>
  <c r="R75" i="40" s="1"/>
  <c r="E79" i="35"/>
  <c r="I78" i="39" s="1"/>
  <c r="E79" i="34"/>
  <c r="F79" i="34" s="1"/>
  <c r="E79" i="33"/>
  <c r="E79" i="32"/>
  <c r="F79" i="32" s="1"/>
  <c r="E79" i="31"/>
  <c r="F78" i="39" s="1"/>
  <c r="E79" i="18"/>
  <c r="E79" i="37"/>
  <c r="E79" i="36"/>
  <c r="J78" i="39" s="1"/>
  <c r="Q79" i="35"/>
  <c r="R79" i="35" s="1"/>
  <c r="Q79" i="33"/>
  <c r="R79" i="33" s="1"/>
  <c r="Q79" i="31"/>
  <c r="Q79" i="37"/>
  <c r="R79" i="37" s="1"/>
  <c r="E79" i="40"/>
  <c r="Q79" i="34"/>
  <c r="R79" i="34" s="1"/>
  <c r="Q79" i="32"/>
  <c r="Q79" i="18"/>
  <c r="R79" i="18" s="1"/>
  <c r="Q79" i="36"/>
  <c r="R79" i="36" s="1"/>
  <c r="Q79" i="40"/>
  <c r="R79" i="40" s="1"/>
  <c r="AH32" i="5"/>
  <c r="C20" i="32"/>
  <c r="C20" i="34"/>
  <c r="P20" i="32"/>
  <c r="C20" i="18"/>
  <c r="P20" i="18"/>
  <c r="C37" i="37"/>
  <c r="P37" i="37"/>
  <c r="P63" i="37"/>
  <c r="C63" i="18"/>
  <c r="P63" i="18"/>
  <c r="P85" i="18"/>
  <c r="C85" i="18"/>
  <c r="C85" i="35"/>
  <c r="P85" i="31"/>
  <c r="C87" i="33"/>
  <c r="P87" i="33"/>
  <c r="C87" i="37"/>
  <c r="P87" i="37"/>
  <c r="P99" i="18"/>
  <c r="C99" i="18"/>
  <c r="F99" i="18" s="1"/>
  <c r="E67" i="37"/>
  <c r="C66" i="39" s="1"/>
  <c r="E67" i="36"/>
  <c r="Q67" i="35"/>
  <c r="R67" i="35" s="1"/>
  <c r="S67" i="35" s="1"/>
  <c r="Q67" i="34"/>
  <c r="R67" i="34" s="1"/>
  <c r="Q67" i="33"/>
  <c r="Q67" i="32"/>
  <c r="Q67" i="31"/>
  <c r="E67" i="18"/>
  <c r="D66" i="39" s="1"/>
  <c r="Q67" i="37"/>
  <c r="R67" i="37" s="1"/>
  <c r="S67" i="37" s="1"/>
  <c r="E67" i="35"/>
  <c r="I66" i="39" s="1"/>
  <c r="E67" i="33"/>
  <c r="H66" i="39" s="1"/>
  <c r="E67" i="31"/>
  <c r="F66" i="39" s="1"/>
  <c r="Q67" i="18"/>
  <c r="R67" i="18" s="1"/>
  <c r="Q67" i="36"/>
  <c r="R67" i="36" s="1"/>
  <c r="E67" i="34"/>
  <c r="F67" i="34" s="1"/>
  <c r="E67" i="32"/>
  <c r="F67" i="32" s="1"/>
  <c r="Q67" i="40"/>
  <c r="R67" i="40" s="1"/>
  <c r="E67" i="40"/>
  <c r="C94" i="18"/>
  <c r="P94" i="18"/>
  <c r="P33" i="18"/>
  <c r="C33" i="18"/>
  <c r="C67" i="35"/>
  <c r="P67" i="31"/>
  <c r="C67" i="31"/>
  <c r="C73" i="31"/>
  <c r="C73" i="35"/>
  <c r="P73" i="31"/>
  <c r="P83" i="33"/>
  <c r="R83" i="33" s="1"/>
  <c r="T83" i="33" s="1"/>
  <c r="C83" i="33"/>
  <c r="H82" i="39"/>
  <c r="Q81" i="35"/>
  <c r="R81" i="35" s="1"/>
  <c r="Q81" i="34"/>
  <c r="R81" i="34" s="1"/>
  <c r="Q81" i="33"/>
  <c r="R81" i="33" s="1"/>
  <c r="S81" i="33" s="1"/>
  <c r="Q81" i="32"/>
  <c r="Q81" i="31"/>
  <c r="Q81" i="18"/>
  <c r="R81" i="18" s="1"/>
  <c r="Q81" i="37"/>
  <c r="R81" i="37" s="1"/>
  <c r="T81" i="37" s="1"/>
  <c r="Q81" i="36"/>
  <c r="R81" i="36" s="1"/>
  <c r="E81" i="34"/>
  <c r="E81" i="32"/>
  <c r="E81" i="18"/>
  <c r="D80" i="39" s="1"/>
  <c r="E81" i="36"/>
  <c r="E81" i="35"/>
  <c r="I80" i="39" s="1"/>
  <c r="E81" i="33"/>
  <c r="E81" i="31"/>
  <c r="E81" i="37"/>
  <c r="E81" i="40"/>
  <c r="F81" i="40" s="1"/>
  <c r="Q81" i="40"/>
  <c r="R81" i="40" s="1"/>
  <c r="Q59" i="37"/>
  <c r="R59" i="37" s="1"/>
  <c r="Q59" i="36"/>
  <c r="R59" i="36" s="1"/>
  <c r="E59" i="35"/>
  <c r="E59" i="34"/>
  <c r="G58" i="39" s="1"/>
  <c r="E59" i="33"/>
  <c r="E59" i="32"/>
  <c r="E59" i="31"/>
  <c r="E59" i="18"/>
  <c r="E59" i="36"/>
  <c r="E59" i="37"/>
  <c r="Q59" i="35"/>
  <c r="R59" i="35" s="1"/>
  <c r="T59" i="35" s="1"/>
  <c r="Q59" i="33"/>
  <c r="R59" i="33" s="1"/>
  <c r="S59" i="33" s="1"/>
  <c r="Q59" i="31"/>
  <c r="R59" i="31" s="1"/>
  <c r="Q59" i="40"/>
  <c r="R59" i="40" s="1"/>
  <c r="Q59" i="34"/>
  <c r="R59" i="34" s="1"/>
  <c r="Q59" i="32"/>
  <c r="Q59" i="18"/>
  <c r="R59" i="18" s="1"/>
  <c r="E59" i="40"/>
  <c r="M58" i="39" s="1"/>
  <c r="E25" i="37"/>
  <c r="C24" i="39" s="1"/>
  <c r="Q25" i="36"/>
  <c r="R25" i="36" s="1"/>
  <c r="Q25" i="35"/>
  <c r="R25" i="35" s="1"/>
  <c r="S25" i="35" s="1"/>
  <c r="Q25" i="34"/>
  <c r="R25" i="34" s="1"/>
  <c r="Q25" i="33"/>
  <c r="Q25" i="32"/>
  <c r="Q25" i="18"/>
  <c r="E25" i="31"/>
  <c r="F24" i="39" s="1"/>
  <c r="E25" i="18"/>
  <c r="D24" i="39" s="1"/>
  <c r="E25" i="34"/>
  <c r="E25" i="32"/>
  <c r="F25" i="32" s="1"/>
  <c r="Q25" i="31"/>
  <c r="Q25" i="37"/>
  <c r="E25" i="36"/>
  <c r="J24" i="39" s="1"/>
  <c r="E25" i="35"/>
  <c r="E25" i="33"/>
  <c r="Q25" i="40"/>
  <c r="R25" i="40" s="1"/>
  <c r="E25" i="40"/>
  <c r="F25" i="40" s="1"/>
  <c r="C96" i="18"/>
  <c r="F96" i="18" s="1"/>
  <c r="D95" i="39"/>
  <c r="C30" i="18"/>
  <c r="P30" i="18"/>
  <c r="P30" i="37"/>
  <c r="C30" i="37"/>
  <c r="C75" i="34"/>
  <c r="C75" i="32"/>
  <c r="P75" i="32"/>
  <c r="C75" i="37"/>
  <c r="P75" i="37"/>
  <c r="P58" i="18"/>
  <c r="C58" i="18"/>
  <c r="C70" i="18"/>
  <c r="P70" i="18"/>
  <c r="C84" i="32"/>
  <c r="P84" i="32"/>
  <c r="C84" i="34"/>
  <c r="F84" i="34" s="1"/>
  <c r="C68" i="33"/>
  <c r="P68" i="33"/>
  <c r="K9" i="36"/>
  <c r="K12" i="36"/>
  <c r="K10" i="36"/>
  <c r="K8" i="40"/>
  <c r="W8" i="40"/>
  <c r="I34" i="39"/>
  <c r="I60" i="39"/>
  <c r="I36" i="39"/>
  <c r="I19" i="39"/>
  <c r="I95" i="39"/>
  <c r="I31" i="39"/>
  <c r="I81" i="39"/>
  <c r="I21" i="39"/>
  <c r="I18" i="39"/>
  <c r="I55" i="39"/>
  <c r="F24" i="18"/>
  <c r="F82" i="18"/>
  <c r="W8" i="32"/>
  <c r="K8" i="32"/>
  <c r="K10" i="18"/>
  <c r="K12" i="18"/>
  <c r="R40" i="40"/>
  <c r="R60" i="40"/>
  <c r="R84" i="40"/>
  <c r="R34" i="40"/>
  <c r="R38" i="40"/>
  <c r="R92" i="40"/>
  <c r="R61" i="40"/>
  <c r="R96" i="40"/>
  <c r="R82" i="40"/>
  <c r="R20" i="40"/>
  <c r="R56" i="40"/>
  <c r="L60" i="39"/>
  <c r="L35" i="39"/>
  <c r="L31" i="39"/>
  <c r="L95" i="39"/>
  <c r="L81" i="39"/>
  <c r="L19" i="39"/>
  <c r="F93" i="39"/>
  <c r="F83" i="39"/>
  <c r="F75" i="39"/>
  <c r="F61" i="39"/>
  <c r="F19" i="39"/>
  <c r="L82" i="39"/>
  <c r="L33" i="39"/>
  <c r="F67" i="39"/>
  <c r="L34" i="39"/>
  <c r="L26" i="39"/>
  <c r="F82" i="39"/>
  <c r="F34" i="39"/>
  <c r="F87" i="39"/>
  <c r="F43" i="39"/>
  <c r="F71" i="39"/>
  <c r="L57" i="39"/>
  <c r="F81" i="39"/>
  <c r="F41" i="39"/>
  <c r="F95" i="39"/>
  <c r="F76" i="37"/>
  <c r="H76" i="37" s="1"/>
  <c r="R61" i="35"/>
  <c r="T61" i="35" s="1"/>
  <c r="F36" i="36"/>
  <c r="H36" i="36" s="1"/>
  <c r="R96" i="35"/>
  <c r="R94" i="35"/>
  <c r="R82" i="35"/>
  <c r="F61" i="36"/>
  <c r="F58" i="36"/>
  <c r="F69" i="36"/>
  <c r="F90" i="36"/>
  <c r="F35" i="36"/>
  <c r="F99" i="36"/>
  <c r="F64" i="36"/>
  <c r="F86" i="36"/>
  <c r="F96" i="36"/>
  <c r="F30" i="36"/>
  <c r="F32" i="36"/>
  <c r="F82" i="36"/>
  <c r="W10" i="18"/>
  <c r="W9" i="18"/>
  <c r="W12" i="18"/>
  <c r="F76" i="31"/>
  <c r="H76" i="31" s="1"/>
  <c r="F11" i="39"/>
  <c r="W6" i="32"/>
  <c r="W12" i="36"/>
  <c r="W9" i="36"/>
  <c r="W10" i="36"/>
  <c r="K96" i="39"/>
  <c r="K86" i="39"/>
  <c r="K76" i="39"/>
  <c r="K64" i="39"/>
  <c r="K54" i="39"/>
  <c r="K44" i="39"/>
  <c r="K32" i="39"/>
  <c r="K22" i="39"/>
  <c r="K93" i="39"/>
  <c r="K81" i="39"/>
  <c r="K71" i="39"/>
  <c r="K61" i="39"/>
  <c r="K49" i="39"/>
  <c r="K39" i="39"/>
  <c r="K29" i="39"/>
  <c r="K88" i="39"/>
  <c r="K78" i="39"/>
  <c r="K68" i="39"/>
  <c r="K56" i="39"/>
  <c r="K46" i="39"/>
  <c r="K36" i="39"/>
  <c r="K24" i="39"/>
  <c r="K95" i="39"/>
  <c r="K85" i="39"/>
  <c r="K73" i="39"/>
  <c r="K63" i="39"/>
  <c r="K53" i="39"/>
  <c r="K41" i="39"/>
  <c r="K31" i="39"/>
  <c r="K21" i="39"/>
  <c r="K94" i="39"/>
  <c r="K72" i="39"/>
  <c r="K52" i="39"/>
  <c r="K30" i="39"/>
  <c r="K89" i="39"/>
  <c r="K69" i="39"/>
  <c r="K47" i="39"/>
  <c r="K25" i="39"/>
  <c r="K80" i="39"/>
  <c r="K60" i="39"/>
  <c r="K38" i="39"/>
  <c r="K97" i="39"/>
  <c r="K77" i="39"/>
  <c r="K55" i="39"/>
  <c r="K33" i="39"/>
  <c r="K92" i="39"/>
  <c r="K48" i="39"/>
  <c r="K87" i="39"/>
  <c r="K45" i="39"/>
  <c r="K62" i="39"/>
  <c r="K20" i="39"/>
  <c r="K57" i="39"/>
  <c r="K70" i="39"/>
  <c r="K65" i="39"/>
  <c r="K28" i="39"/>
  <c r="K23" i="39"/>
  <c r="K79" i="39"/>
  <c r="K37" i="39"/>
  <c r="K40" i="39"/>
  <c r="K84" i="39"/>
  <c r="W12" i="31"/>
  <c r="W9" i="31"/>
  <c r="W10" i="31"/>
  <c r="R32" i="31"/>
  <c r="R70" i="31"/>
  <c r="F96" i="37"/>
  <c r="H96" i="37" s="1"/>
  <c r="R78" i="35"/>
  <c r="S78" i="35" s="1"/>
  <c r="R80" i="35"/>
  <c r="S80" i="35" s="1"/>
  <c r="R58" i="35"/>
  <c r="S58" i="35" s="1"/>
  <c r="F82" i="37"/>
  <c r="G82" i="37" s="1"/>
  <c r="F99" i="37"/>
  <c r="H99" i="37" s="1"/>
  <c r="F68" i="37"/>
  <c r="F84" i="31"/>
  <c r="G84" i="31" s="1"/>
  <c r="T69" i="36"/>
  <c r="S69" i="36"/>
  <c r="H82" i="33"/>
  <c r="G82" i="33"/>
  <c r="M81" i="39"/>
  <c r="M53" i="39"/>
  <c r="M37" i="39"/>
  <c r="M33" i="39"/>
  <c r="G98" i="39"/>
  <c r="G84" i="39"/>
  <c r="G51" i="39"/>
  <c r="G30" i="39"/>
  <c r="G89" i="39"/>
  <c r="M75" i="39"/>
  <c r="M59" i="39"/>
  <c r="M27" i="39"/>
  <c r="G63" i="39"/>
  <c r="G57" i="39"/>
  <c r="G49" i="39"/>
  <c r="M34" i="39"/>
  <c r="M19" i="39"/>
  <c r="G67" i="39"/>
  <c r="M71" i="39"/>
  <c r="M35" i="39"/>
  <c r="G33" i="39"/>
  <c r="G26" i="39"/>
  <c r="M94" i="39"/>
  <c r="G35" i="39"/>
  <c r="G44" i="39"/>
  <c r="G95" i="39"/>
  <c r="M82" i="39"/>
  <c r="G34" i="39"/>
  <c r="M60" i="39"/>
  <c r="M31" i="39"/>
  <c r="M95" i="39"/>
  <c r="M67" i="39"/>
  <c r="M39" i="39"/>
  <c r="G81" i="39"/>
  <c r="T99" i="35"/>
  <c r="R76" i="34"/>
  <c r="R58" i="34"/>
  <c r="R98" i="34"/>
  <c r="R32" i="34"/>
  <c r="R52" i="34"/>
  <c r="R38" i="34"/>
  <c r="R36" i="34"/>
  <c r="R26" i="34"/>
  <c r="R96" i="34"/>
  <c r="R82" i="34"/>
  <c r="R35" i="34"/>
  <c r="R34" i="34"/>
  <c r="R61" i="34"/>
  <c r="R83" i="34"/>
  <c r="R92" i="34"/>
  <c r="S41" i="36"/>
  <c r="R21" i="37" l="1"/>
  <c r="S21" i="37" s="1"/>
  <c r="R88" i="18"/>
  <c r="R77" i="33"/>
  <c r="S77" i="33" s="1"/>
  <c r="R77" i="18"/>
  <c r="R94" i="33"/>
  <c r="S94" i="33" s="1"/>
  <c r="R42" i="31"/>
  <c r="S42" i="31" s="1"/>
  <c r="R38" i="31"/>
  <c r="T38" i="31" s="1"/>
  <c r="H88" i="31"/>
  <c r="F92" i="34"/>
  <c r="G92" i="34" s="1"/>
  <c r="G82" i="34"/>
  <c r="F85" i="32"/>
  <c r="F98" i="34"/>
  <c r="G98" i="34" s="1"/>
  <c r="R93" i="33"/>
  <c r="R80" i="18"/>
  <c r="T80" i="18" s="1"/>
  <c r="R91" i="18"/>
  <c r="T91" i="18" s="1"/>
  <c r="T64" i="35"/>
  <c r="F57" i="35"/>
  <c r="G57" i="35" s="1"/>
  <c r="R57" i="31"/>
  <c r="F97" i="32"/>
  <c r="F75" i="31"/>
  <c r="G75" i="31" s="1"/>
  <c r="R51" i="33"/>
  <c r="S51" i="33" s="1"/>
  <c r="R65" i="33"/>
  <c r="S65" i="33" s="1"/>
  <c r="R42" i="18"/>
  <c r="S42" i="18" s="1"/>
  <c r="F42" i="31"/>
  <c r="H42" i="31" s="1"/>
  <c r="R48" i="18"/>
  <c r="T48" i="18" s="1"/>
  <c r="F39" i="32"/>
  <c r="F43" i="32"/>
  <c r="R22" i="37"/>
  <c r="S22" i="37" s="1"/>
  <c r="F48" i="35"/>
  <c r="G48" i="35" s="1"/>
  <c r="F41" i="32"/>
  <c r="R28" i="18"/>
  <c r="S28" i="18" s="1"/>
  <c r="R47" i="33"/>
  <c r="S47" i="33" s="1"/>
  <c r="R44" i="31"/>
  <c r="S44" i="31" s="1"/>
  <c r="R44" i="37"/>
  <c r="S44" i="37" s="1"/>
  <c r="F45" i="34"/>
  <c r="H45" i="34" s="1"/>
  <c r="R26" i="18"/>
  <c r="T26" i="18" s="1"/>
  <c r="F31" i="34"/>
  <c r="H31" i="34" s="1"/>
  <c r="R34" i="18"/>
  <c r="S34" i="18" s="1"/>
  <c r="F34" i="32"/>
  <c r="F21" i="34"/>
  <c r="G21" i="34" s="1"/>
  <c r="R22" i="31"/>
  <c r="T22" i="31" s="1"/>
  <c r="F25" i="34"/>
  <c r="H25" i="34" s="1"/>
  <c r="R21" i="18"/>
  <c r="T21" i="18" s="1"/>
  <c r="F19" i="32"/>
  <c r="S68" i="37"/>
  <c r="F73" i="34"/>
  <c r="G73" i="34" s="1"/>
  <c r="S35" i="33"/>
  <c r="R33" i="33"/>
  <c r="S33" i="33" s="1"/>
  <c r="R45" i="18"/>
  <c r="S45" i="18" s="1"/>
  <c r="T61" i="37"/>
  <c r="R57" i="33"/>
  <c r="T57" i="33" s="1"/>
  <c r="R49" i="33"/>
  <c r="S49" i="33" s="1"/>
  <c r="F50" i="32"/>
  <c r="S64" i="33"/>
  <c r="F48" i="32"/>
  <c r="R51" i="18"/>
  <c r="S51" i="18" s="1"/>
  <c r="R41" i="33"/>
  <c r="S41" i="33" s="1"/>
  <c r="R47" i="37"/>
  <c r="S47" i="37" s="1"/>
  <c r="G52" i="34"/>
  <c r="F50" i="34"/>
  <c r="H50" i="34" s="1"/>
  <c r="R55" i="18"/>
  <c r="S55" i="18" s="1"/>
  <c r="R54" i="18"/>
  <c r="T54" i="18" s="1"/>
  <c r="R32" i="37"/>
  <c r="T32" i="37" s="1"/>
  <c r="R63" i="31"/>
  <c r="S63" i="31" s="1"/>
  <c r="R62" i="33"/>
  <c r="T62" i="33" s="1"/>
  <c r="R85" i="37"/>
  <c r="S85" i="37" s="1"/>
  <c r="F28" i="32"/>
  <c r="F48" i="34"/>
  <c r="G48" i="34" s="1"/>
  <c r="F44" i="35"/>
  <c r="H44" i="35" s="1"/>
  <c r="R42" i="33"/>
  <c r="T42" i="33" s="1"/>
  <c r="R45" i="31"/>
  <c r="T45" i="31" s="1"/>
  <c r="F38" i="32"/>
  <c r="F38" i="35"/>
  <c r="G38" i="35" s="1"/>
  <c r="F32" i="35"/>
  <c r="H32" i="35" s="1"/>
  <c r="F44" i="32"/>
  <c r="R34" i="31"/>
  <c r="S34" i="31" s="1"/>
  <c r="F30" i="32"/>
  <c r="R34" i="33"/>
  <c r="S34" i="33" s="1"/>
  <c r="S36" i="35"/>
  <c r="R40" i="37"/>
  <c r="T40" i="37" s="1"/>
  <c r="S82" i="37"/>
  <c r="H51" i="39"/>
  <c r="F96" i="33"/>
  <c r="H96" i="33" s="1"/>
  <c r="F53" i="31"/>
  <c r="H53" i="31" s="1"/>
  <c r="F87" i="36"/>
  <c r="G87" i="36" s="1"/>
  <c r="F80" i="31"/>
  <c r="H80" i="31" s="1"/>
  <c r="R69" i="31"/>
  <c r="S69" i="31" s="1"/>
  <c r="H35" i="34"/>
  <c r="G35" i="34"/>
  <c r="G68" i="34"/>
  <c r="H68" i="34"/>
  <c r="T77" i="18"/>
  <c r="H76" i="18"/>
  <c r="T86" i="31"/>
  <c r="R90" i="31"/>
  <c r="S90" i="31" s="1"/>
  <c r="T94" i="36"/>
  <c r="S88" i="18"/>
  <c r="T38" i="18"/>
  <c r="S69" i="18"/>
  <c r="T40" i="18"/>
  <c r="S83" i="18"/>
  <c r="S44" i="18"/>
  <c r="T97" i="36"/>
  <c r="T29" i="18"/>
  <c r="S31" i="18"/>
  <c r="G76" i="36"/>
  <c r="T54" i="31"/>
  <c r="T74" i="31"/>
  <c r="S78" i="31"/>
  <c r="S88" i="31"/>
  <c r="S62" i="18"/>
  <c r="T96" i="31"/>
  <c r="S39" i="36"/>
  <c r="T97" i="18"/>
  <c r="T85" i="36"/>
  <c r="S20" i="31"/>
  <c r="T45" i="36"/>
  <c r="T41" i="36"/>
  <c r="H36" i="18"/>
  <c r="T64" i="31"/>
  <c r="T90" i="18"/>
  <c r="T94" i="31"/>
  <c r="T82" i="18"/>
  <c r="T80" i="31"/>
  <c r="S22" i="18"/>
  <c r="H68" i="36"/>
  <c r="R76" i="32"/>
  <c r="S52" i="31"/>
  <c r="S68" i="18"/>
  <c r="S81" i="18"/>
  <c r="S46" i="36"/>
  <c r="S97" i="31"/>
  <c r="S87" i="36"/>
  <c r="H68" i="18"/>
  <c r="S54" i="36"/>
  <c r="S78" i="18"/>
  <c r="S84" i="36"/>
  <c r="T84" i="18"/>
  <c r="S80" i="36"/>
  <c r="T53" i="18"/>
  <c r="R20" i="33"/>
  <c r="S20" i="33" s="1"/>
  <c r="B21" i="40"/>
  <c r="B17" i="7"/>
  <c r="B21" i="34"/>
  <c r="O21" i="31"/>
  <c r="O21" i="34"/>
  <c r="O21" i="33"/>
  <c r="O21" i="37"/>
  <c r="O21" i="35"/>
  <c r="B21" i="36"/>
  <c r="B21" i="32"/>
  <c r="B21" i="31"/>
  <c r="O21" i="18"/>
  <c r="O21" i="32"/>
  <c r="B21" i="33"/>
  <c r="B21" i="35"/>
  <c r="O21" i="36"/>
  <c r="B21" i="18"/>
  <c r="B21" i="37"/>
  <c r="O21" i="40"/>
  <c r="T52" i="37"/>
  <c r="S52" i="37"/>
  <c r="F49" i="34"/>
  <c r="H49" i="34" s="1"/>
  <c r="S76" i="33"/>
  <c r="F48" i="31"/>
  <c r="H48" i="31" s="1"/>
  <c r="R23" i="33"/>
  <c r="S23" i="33" s="1"/>
  <c r="F73" i="32"/>
  <c r="R91" i="37"/>
  <c r="S91" i="37" s="1"/>
  <c r="F71" i="32"/>
  <c r="F27" i="37"/>
  <c r="G27" i="37" s="1"/>
  <c r="R83" i="37"/>
  <c r="R68" i="31"/>
  <c r="T68" i="31" s="1"/>
  <c r="R61" i="18"/>
  <c r="T61" i="18" s="1"/>
  <c r="T22" i="18"/>
  <c r="R81" i="31"/>
  <c r="S81" i="31" s="1"/>
  <c r="R79" i="31"/>
  <c r="S79" i="31" s="1"/>
  <c r="F57" i="32"/>
  <c r="R46" i="31"/>
  <c r="T46" i="31" s="1"/>
  <c r="R65" i="37"/>
  <c r="T65" i="37" s="1"/>
  <c r="F58" i="18"/>
  <c r="H58" i="18" s="1"/>
  <c r="R81" i="32"/>
  <c r="R55" i="37"/>
  <c r="T55" i="37" s="1"/>
  <c r="F56" i="32"/>
  <c r="R27" i="31"/>
  <c r="S27" i="31" s="1"/>
  <c r="G83" i="37"/>
  <c r="F22" i="36"/>
  <c r="H22" i="36" s="1"/>
  <c r="I87" i="39"/>
  <c r="T76" i="37"/>
  <c r="F20" i="34"/>
  <c r="H20" i="34" s="1"/>
  <c r="R36" i="33"/>
  <c r="S36" i="33" s="1"/>
  <c r="F69" i="34"/>
  <c r="H69" i="34" s="1"/>
  <c r="S22" i="33"/>
  <c r="G68" i="18"/>
  <c r="F69" i="18"/>
  <c r="G69" i="18" s="1"/>
  <c r="L52" i="39"/>
  <c r="F34" i="18"/>
  <c r="H34" i="18" s="1"/>
  <c r="R32" i="18"/>
  <c r="T32" i="18" s="1"/>
  <c r="F36" i="31"/>
  <c r="G36" i="31" s="1"/>
  <c r="F66" i="35"/>
  <c r="H66" i="35" s="1"/>
  <c r="F64" i="35"/>
  <c r="H64" i="35" s="1"/>
  <c r="T88" i="33"/>
  <c r="M52" i="39"/>
  <c r="L39" i="39"/>
  <c r="D33" i="38" s="1"/>
  <c r="L71" i="39"/>
  <c r="G34" i="34"/>
  <c r="F61" i="18"/>
  <c r="H61" i="18" s="1"/>
  <c r="H36" i="33"/>
  <c r="G36" i="33"/>
  <c r="T84" i="33"/>
  <c r="S84" i="33"/>
  <c r="T40" i="33"/>
  <c r="L93" i="39"/>
  <c r="F32" i="18"/>
  <c r="G32" i="18" s="1"/>
  <c r="F20" i="35"/>
  <c r="G20" i="35" s="1"/>
  <c r="I20" i="35" s="1"/>
  <c r="F26" i="32"/>
  <c r="F92" i="32"/>
  <c r="C26" i="39"/>
  <c r="R27" i="18"/>
  <c r="S27" i="18" s="1"/>
  <c r="F83" i="34"/>
  <c r="G83" i="34" s="1"/>
  <c r="F19" i="34"/>
  <c r="H19" i="34" s="1"/>
  <c r="J19" i="34" s="1"/>
  <c r="K19" i="34" s="1"/>
  <c r="G17" i="17" s="1"/>
  <c r="S80" i="31"/>
  <c r="G76" i="37"/>
  <c r="M68" i="39"/>
  <c r="E62" i="38" s="1"/>
  <c r="M69" i="39"/>
  <c r="F34" i="31"/>
  <c r="H34" i="31" s="1"/>
  <c r="F43" i="34"/>
  <c r="H43" i="34" s="1"/>
  <c r="R99" i="18"/>
  <c r="S99" i="18" s="1"/>
  <c r="T54" i="36"/>
  <c r="G52" i="39"/>
  <c r="F22" i="31"/>
  <c r="G22" i="31" s="1"/>
  <c r="F24" i="36"/>
  <c r="G24" i="36" s="1"/>
  <c r="F67" i="31"/>
  <c r="G67" i="31" s="1"/>
  <c r="L69" i="39"/>
  <c r="D69" i="38"/>
  <c r="R58" i="18"/>
  <c r="T58" i="18" s="1"/>
  <c r="F32" i="32"/>
  <c r="F50" i="31"/>
  <c r="G50" i="31" s="1"/>
  <c r="F94" i="32"/>
  <c r="F58" i="37"/>
  <c r="H58" i="37" s="1"/>
  <c r="F22" i="35"/>
  <c r="H22" i="35" s="1"/>
  <c r="T77" i="33"/>
  <c r="R33" i="18"/>
  <c r="T33" i="18" s="1"/>
  <c r="F38" i="18"/>
  <c r="H38" i="18" s="1"/>
  <c r="T53" i="33"/>
  <c r="G60" i="39"/>
  <c r="E54" i="38" s="1"/>
  <c r="M93" i="39"/>
  <c r="E87" i="38" s="1"/>
  <c r="T78" i="37"/>
  <c r="F61" i="31"/>
  <c r="G61" i="31" s="1"/>
  <c r="F78" i="36"/>
  <c r="H78" i="36" s="1"/>
  <c r="F72" i="36"/>
  <c r="G72" i="36" s="1"/>
  <c r="L59" i="39"/>
  <c r="I33" i="39"/>
  <c r="F41" i="35"/>
  <c r="H41" i="35" s="1"/>
  <c r="F74" i="33"/>
  <c r="H74" i="33" s="1"/>
  <c r="F56" i="35"/>
  <c r="H56" i="35" s="1"/>
  <c r="L67" i="39"/>
  <c r="D61" i="38" s="1"/>
  <c r="F68" i="40"/>
  <c r="C60" i="39"/>
  <c r="F61" i="37"/>
  <c r="T84" i="36"/>
  <c r="T20" i="31"/>
  <c r="G68" i="36"/>
  <c r="M51" i="39"/>
  <c r="G29" i="39"/>
  <c r="G41" i="39"/>
  <c r="E35" i="38" s="1"/>
  <c r="M57" i="39"/>
  <c r="E51" i="38" s="1"/>
  <c r="S88" i="35"/>
  <c r="F32" i="31"/>
  <c r="G32" i="31" s="1"/>
  <c r="F88" i="36"/>
  <c r="G88" i="36" s="1"/>
  <c r="F20" i="36"/>
  <c r="G20" i="36" s="1"/>
  <c r="L51" i="39"/>
  <c r="F53" i="18"/>
  <c r="H53" i="18" s="1"/>
  <c r="F22" i="37"/>
  <c r="G22" i="37" s="1"/>
  <c r="R20" i="18"/>
  <c r="S20" i="18" s="1"/>
  <c r="F20" i="32"/>
  <c r="R74" i="37"/>
  <c r="T74" i="37" s="1"/>
  <c r="F80" i="35"/>
  <c r="G80" i="35" s="1"/>
  <c r="F32" i="34"/>
  <c r="H32" i="34" s="1"/>
  <c r="F98" i="18"/>
  <c r="G98" i="18" s="1"/>
  <c r="R60" i="33"/>
  <c r="T60" i="33" s="1"/>
  <c r="F74" i="34"/>
  <c r="F80" i="34"/>
  <c r="H80" i="34" s="1"/>
  <c r="F32" i="37"/>
  <c r="S28" i="33"/>
  <c r="T28" i="33"/>
  <c r="T84" i="37"/>
  <c r="S84" i="37"/>
  <c r="F92" i="40"/>
  <c r="L91" i="39"/>
  <c r="D85" i="38" s="1"/>
  <c r="M91" i="39"/>
  <c r="F83" i="35"/>
  <c r="I82" i="39"/>
  <c r="S96" i="31"/>
  <c r="M98" i="39"/>
  <c r="E92" i="38" s="1"/>
  <c r="M32" i="39"/>
  <c r="T95" i="35"/>
  <c r="S53" i="31"/>
  <c r="H68" i="35"/>
  <c r="L98" i="39"/>
  <c r="J58" i="39"/>
  <c r="F59" i="36"/>
  <c r="H59" i="36" s="1"/>
  <c r="F83" i="33"/>
  <c r="G83" i="33" s="1"/>
  <c r="F87" i="33"/>
  <c r="G87" i="33" s="1"/>
  <c r="F58" i="32"/>
  <c r="S58" i="37"/>
  <c r="T58" i="37"/>
  <c r="C77" i="39"/>
  <c r="F78" i="37"/>
  <c r="G78" i="37" s="1"/>
  <c r="C55" i="39"/>
  <c r="F56" i="37"/>
  <c r="H56" i="37" s="1"/>
  <c r="F62" i="37"/>
  <c r="G62" i="37" s="1"/>
  <c r="C61" i="39"/>
  <c r="D79" i="39"/>
  <c r="F80" i="18"/>
  <c r="G80" i="18" s="1"/>
  <c r="H75" i="39"/>
  <c r="F76" i="33"/>
  <c r="J51" i="39"/>
  <c r="F52" i="36"/>
  <c r="G52" i="36" s="1"/>
  <c r="C52" i="39"/>
  <c r="F53" i="37"/>
  <c r="G53" i="37" s="1"/>
  <c r="F22" i="40"/>
  <c r="L21" i="39"/>
  <c r="D15" i="38" s="1"/>
  <c r="S82" i="33"/>
  <c r="G47" i="39"/>
  <c r="G48" i="39"/>
  <c r="G87" i="39"/>
  <c r="F28" i="18"/>
  <c r="H28" i="18" s="1"/>
  <c r="I67" i="39"/>
  <c r="F40" i="33"/>
  <c r="H40" i="33" s="1"/>
  <c r="S92" i="33"/>
  <c r="T92" i="33"/>
  <c r="F52" i="35"/>
  <c r="H52" i="35" s="1"/>
  <c r="I51" i="39"/>
  <c r="F65" i="39"/>
  <c r="F66" i="31"/>
  <c r="G66" i="31" s="1"/>
  <c r="S26" i="37"/>
  <c r="T26" i="37"/>
  <c r="S52" i="33"/>
  <c r="S74" i="31"/>
  <c r="G69" i="39"/>
  <c r="T72" i="33"/>
  <c r="F97" i="31"/>
  <c r="H97" i="31" s="1"/>
  <c r="F19" i="36"/>
  <c r="G19" i="36" s="1"/>
  <c r="I19" i="36" s="1"/>
  <c r="F84" i="18"/>
  <c r="G84" i="18" s="1"/>
  <c r="F74" i="36"/>
  <c r="H74" i="36" s="1"/>
  <c r="S54" i="37"/>
  <c r="L32" i="39"/>
  <c r="D26" i="38" s="1"/>
  <c r="T93" i="33"/>
  <c r="S93" i="33"/>
  <c r="T27" i="35"/>
  <c r="S27" i="35"/>
  <c r="D18" i="39"/>
  <c r="F19" i="18"/>
  <c r="G19" i="18" s="1"/>
  <c r="I19" i="18" s="1"/>
  <c r="F64" i="40"/>
  <c r="L63" i="39"/>
  <c r="D57" i="38" s="1"/>
  <c r="R68" i="33"/>
  <c r="S68" i="33" s="1"/>
  <c r="R38" i="37"/>
  <c r="T38" i="37" s="1"/>
  <c r="F19" i="31"/>
  <c r="G19" i="31" s="1"/>
  <c r="I19" i="31" s="1"/>
  <c r="I20" i="31" s="1"/>
  <c r="F76" i="34"/>
  <c r="H76" i="34" s="1"/>
  <c r="F24" i="34"/>
  <c r="H24" i="34" s="1"/>
  <c r="R66" i="33"/>
  <c r="F99" i="34"/>
  <c r="G99" i="34" s="1"/>
  <c r="R98" i="37"/>
  <c r="T98" i="37" s="1"/>
  <c r="T94" i="33"/>
  <c r="H91" i="31"/>
  <c r="M54" i="39"/>
  <c r="M29" i="39"/>
  <c r="R70" i="18"/>
  <c r="T70" i="18" s="1"/>
  <c r="R50" i="18"/>
  <c r="T50" i="18" s="1"/>
  <c r="R60" i="18"/>
  <c r="S60" i="18" s="1"/>
  <c r="F76" i="32"/>
  <c r="T50" i="33"/>
  <c r="F60" i="36"/>
  <c r="G60" i="36" s="1"/>
  <c r="F64" i="18"/>
  <c r="H64" i="18" s="1"/>
  <c r="F69" i="31"/>
  <c r="G69" i="31" s="1"/>
  <c r="R66" i="18"/>
  <c r="T66" i="18" s="1"/>
  <c r="R72" i="37"/>
  <c r="T72" i="37" s="1"/>
  <c r="F64" i="31"/>
  <c r="G53" i="34"/>
  <c r="J43" i="39"/>
  <c r="F44" i="36"/>
  <c r="G44" i="36" s="1"/>
  <c r="D43" i="39"/>
  <c r="F44" i="18"/>
  <c r="H44" i="18" s="1"/>
  <c r="F39" i="40"/>
  <c r="M38" i="39"/>
  <c r="L38" i="39"/>
  <c r="D32" i="38" s="1"/>
  <c r="J38" i="39"/>
  <c r="F39" i="36"/>
  <c r="H39" i="36" s="1"/>
  <c r="C38" i="39"/>
  <c r="F39" i="37"/>
  <c r="H39" i="37" s="1"/>
  <c r="D22" i="39"/>
  <c r="F23" i="18"/>
  <c r="H23" i="18" s="1"/>
  <c r="F90" i="40"/>
  <c r="L89" i="39"/>
  <c r="D83" i="38" s="1"/>
  <c r="F97" i="39"/>
  <c r="F98" i="31"/>
  <c r="H98" i="31" s="1"/>
  <c r="D21" i="39"/>
  <c r="F22" i="18"/>
  <c r="G22" i="18" s="1"/>
  <c r="F98" i="40"/>
  <c r="L97" i="39"/>
  <c r="M97" i="39"/>
  <c r="H79" i="39"/>
  <c r="F80" i="33"/>
  <c r="H80" i="33" s="1"/>
  <c r="G39" i="39"/>
  <c r="E33" i="38" s="1"/>
  <c r="F40" i="34"/>
  <c r="G40" i="34" s="1"/>
  <c r="F62" i="40"/>
  <c r="L61" i="39"/>
  <c r="D55" i="38" s="1"/>
  <c r="C49" i="39"/>
  <c r="F50" i="37"/>
  <c r="H50" i="37" s="1"/>
  <c r="H61" i="35"/>
  <c r="G61" i="35"/>
  <c r="H53" i="35"/>
  <c r="G53" i="35"/>
  <c r="S90" i="33"/>
  <c r="M63" i="39"/>
  <c r="E57" i="38" s="1"/>
  <c r="M61" i="39"/>
  <c r="R66" i="31"/>
  <c r="T66" i="31" s="1"/>
  <c r="F26" i="18"/>
  <c r="G26" i="18" s="1"/>
  <c r="G37" i="39"/>
  <c r="E31" i="38" s="1"/>
  <c r="G61" i="33"/>
  <c r="F94" i="36"/>
  <c r="G94" i="36" s="1"/>
  <c r="F79" i="36"/>
  <c r="H79" i="36" s="1"/>
  <c r="F26" i="31"/>
  <c r="H26" i="31" s="1"/>
  <c r="F92" i="39"/>
  <c r="F93" i="31"/>
  <c r="G93" i="31" s="1"/>
  <c r="F48" i="40"/>
  <c r="M47" i="39"/>
  <c r="F44" i="40"/>
  <c r="L43" i="39"/>
  <c r="D37" i="38" s="1"/>
  <c r="C25" i="39"/>
  <c r="F26" i="37"/>
  <c r="G26" i="37" s="1"/>
  <c r="F26" i="36"/>
  <c r="G26" i="36" s="1"/>
  <c r="H36" i="34"/>
  <c r="T62" i="31"/>
  <c r="S62" i="31"/>
  <c r="T83" i="18"/>
  <c r="S58" i="33"/>
  <c r="M43" i="39"/>
  <c r="G38" i="39"/>
  <c r="S90" i="18"/>
  <c r="F50" i="36"/>
  <c r="H50" i="36" s="1"/>
  <c r="F80" i="36"/>
  <c r="G80" i="36" s="1"/>
  <c r="F70" i="37"/>
  <c r="G70" i="37" s="1"/>
  <c r="F78" i="31"/>
  <c r="H78" i="31" s="1"/>
  <c r="F77" i="39"/>
  <c r="T30" i="35"/>
  <c r="S30" i="35"/>
  <c r="H88" i="35"/>
  <c r="G88" i="35"/>
  <c r="R19" i="37"/>
  <c r="T19" i="37" s="1"/>
  <c r="V19" i="37" s="1"/>
  <c r="W19" i="37" s="1"/>
  <c r="AA17" i="17" s="1"/>
  <c r="R64" i="37"/>
  <c r="S64" i="37" s="1"/>
  <c r="R72" i="31"/>
  <c r="T72" i="31" s="1"/>
  <c r="F72" i="37"/>
  <c r="H72" i="37" s="1"/>
  <c r="R56" i="37"/>
  <c r="R72" i="32"/>
  <c r="F76" i="35"/>
  <c r="G76" i="35" s="1"/>
  <c r="F74" i="39"/>
  <c r="F84" i="32"/>
  <c r="F75" i="32"/>
  <c r="F20" i="18"/>
  <c r="H20" i="18" s="1"/>
  <c r="R98" i="33"/>
  <c r="F89" i="37"/>
  <c r="G89" i="37" s="1"/>
  <c r="S96" i="33"/>
  <c r="M24" i="39"/>
  <c r="L68" i="39"/>
  <c r="D62" i="38" s="1"/>
  <c r="T39" i="37"/>
  <c r="F68" i="33"/>
  <c r="G68" i="33" s="1"/>
  <c r="R75" i="37"/>
  <c r="T75" i="37" s="1"/>
  <c r="R73" i="31"/>
  <c r="T73" i="31" s="1"/>
  <c r="F38" i="37"/>
  <c r="G38" i="37" s="1"/>
  <c r="F99" i="35"/>
  <c r="G99" i="35" s="1"/>
  <c r="R56" i="18"/>
  <c r="T56" i="18" s="1"/>
  <c r="F24" i="35"/>
  <c r="H24" i="35" s="1"/>
  <c r="F99" i="33"/>
  <c r="F22" i="34"/>
  <c r="G22" i="34" s="1"/>
  <c r="F93" i="37"/>
  <c r="H93" i="37" s="1"/>
  <c r="G72" i="33"/>
  <c r="H72" i="33"/>
  <c r="F40" i="18"/>
  <c r="H40" i="18" s="1"/>
  <c r="T78" i="18"/>
  <c r="S85" i="36"/>
  <c r="G32" i="39"/>
  <c r="E26" i="38" s="1"/>
  <c r="G62" i="39"/>
  <c r="G61" i="39"/>
  <c r="F45" i="37"/>
  <c r="G45" i="37" s="1"/>
  <c r="F53" i="36"/>
  <c r="H53" i="36" s="1"/>
  <c r="L48" i="39"/>
  <c r="D42" i="38" s="1"/>
  <c r="I52" i="39"/>
  <c r="T53" i="37"/>
  <c r="F90" i="31"/>
  <c r="H90" i="31" s="1"/>
  <c r="R99" i="37"/>
  <c r="T99" i="37" s="1"/>
  <c r="F26" i="35"/>
  <c r="H26" i="35" s="1"/>
  <c r="F92" i="37"/>
  <c r="G92" i="37" s="1"/>
  <c r="F64" i="32"/>
  <c r="R69" i="33"/>
  <c r="H71" i="39"/>
  <c r="R24" i="37"/>
  <c r="S24" i="37" s="1"/>
  <c r="F69" i="32"/>
  <c r="F58" i="35"/>
  <c r="G58" i="35" s="1"/>
  <c r="T80" i="35"/>
  <c r="S61" i="33"/>
  <c r="H76" i="36"/>
  <c r="T48" i="35"/>
  <c r="M26" i="39"/>
  <c r="E20" i="38" s="1"/>
  <c r="M25" i="39"/>
  <c r="E19" i="38" s="1"/>
  <c r="M65" i="39"/>
  <c r="M85" i="39"/>
  <c r="F94" i="37"/>
  <c r="G94" i="37" s="1"/>
  <c r="F77" i="31"/>
  <c r="H77" i="31" s="1"/>
  <c r="F31" i="36"/>
  <c r="H31" i="36" s="1"/>
  <c r="F51" i="36"/>
  <c r="G51" i="36" s="1"/>
  <c r="F62" i="18"/>
  <c r="H62" i="18" s="1"/>
  <c r="L29" i="39"/>
  <c r="D23" i="38" s="1"/>
  <c r="L54" i="39"/>
  <c r="F47" i="39"/>
  <c r="D41" i="38" s="1"/>
  <c r="L25" i="39"/>
  <c r="D19" i="38" s="1"/>
  <c r="F22" i="39"/>
  <c r="F83" i="18"/>
  <c r="H83" i="18" s="1"/>
  <c r="F60" i="18"/>
  <c r="H60" i="18" s="1"/>
  <c r="D57" i="39"/>
  <c r="R40" i="31"/>
  <c r="T40" i="31" s="1"/>
  <c r="F80" i="37"/>
  <c r="H80" i="37" s="1"/>
  <c r="R72" i="18"/>
  <c r="T72" i="18" s="1"/>
  <c r="F90" i="18"/>
  <c r="H90" i="18" s="1"/>
  <c r="R92" i="37"/>
  <c r="S92" i="37" s="1"/>
  <c r="R69" i="37"/>
  <c r="S69" i="37" s="1"/>
  <c r="F92" i="31"/>
  <c r="H92" i="31" s="1"/>
  <c r="F47" i="37"/>
  <c r="G47" i="37" s="1"/>
  <c r="F38" i="33"/>
  <c r="H38" i="33" s="1"/>
  <c r="F24" i="31"/>
  <c r="G24" i="31" s="1"/>
  <c r="R99" i="33"/>
  <c r="S99" i="33" s="1"/>
  <c r="F27" i="18"/>
  <c r="G27" i="18" s="1"/>
  <c r="F22" i="33"/>
  <c r="H22" i="33" s="1"/>
  <c r="R19" i="18"/>
  <c r="T19" i="18" s="1"/>
  <c r="V19" i="18" s="1"/>
  <c r="W19" i="18" s="1"/>
  <c r="T17" i="17" s="1"/>
  <c r="T63" i="33"/>
  <c r="F29" i="31"/>
  <c r="H29" i="31" s="1"/>
  <c r="F83" i="36"/>
  <c r="H83" i="36" s="1"/>
  <c r="F34" i="36"/>
  <c r="H34" i="36" s="1"/>
  <c r="F27" i="36"/>
  <c r="G27" i="36" s="1"/>
  <c r="F62" i="36"/>
  <c r="H62" i="36" s="1"/>
  <c r="F63" i="18"/>
  <c r="H63" i="18" s="1"/>
  <c r="L65" i="39"/>
  <c r="D59" i="38" s="1"/>
  <c r="F86" i="18"/>
  <c r="H86" i="18" s="1"/>
  <c r="I37" i="39"/>
  <c r="R37" i="18"/>
  <c r="T37" i="18" s="1"/>
  <c r="R50" i="31"/>
  <c r="S50" i="31" s="1"/>
  <c r="F78" i="18"/>
  <c r="H78" i="18" s="1"/>
  <c r="G62" i="34"/>
  <c r="R64" i="18"/>
  <c r="S64" i="18" s="1"/>
  <c r="F69" i="35"/>
  <c r="H69" i="35" s="1"/>
  <c r="F69" i="37"/>
  <c r="H69" i="37" s="1"/>
  <c r="F27" i="31"/>
  <c r="G27" i="31" s="1"/>
  <c r="F98" i="33"/>
  <c r="G98" i="33" s="1"/>
  <c r="R66" i="37"/>
  <c r="T66" i="37" s="1"/>
  <c r="F98" i="37"/>
  <c r="H98" i="37" s="1"/>
  <c r="F66" i="32"/>
  <c r="R98" i="18"/>
  <c r="T98" i="18" s="1"/>
  <c r="R24" i="18"/>
  <c r="S24" i="18" s="1"/>
  <c r="F72" i="32"/>
  <c r="F92" i="36"/>
  <c r="F53" i="33"/>
  <c r="H50" i="33"/>
  <c r="R46" i="37"/>
  <c r="S46" i="37" s="1"/>
  <c r="R39" i="33"/>
  <c r="T39" i="33" s="1"/>
  <c r="R23" i="31"/>
  <c r="T23" i="31" s="1"/>
  <c r="R23" i="37"/>
  <c r="S23" i="37" s="1"/>
  <c r="F85" i="18"/>
  <c r="H85" i="18" s="1"/>
  <c r="F87" i="32"/>
  <c r="R43" i="37"/>
  <c r="R43" i="31"/>
  <c r="T43" i="31" s="1"/>
  <c r="H61" i="34"/>
  <c r="R89" i="31"/>
  <c r="S89" i="31" s="1"/>
  <c r="R93" i="18"/>
  <c r="S93" i="18" s="1"/>
  <c r="F20" i="37"/>
  <c r="H20" i="37" s="1"/>
  <c r="R34" i="37"/>
  <c r="T80" i="33"/>
  <c r="H69" i="18"/>
  <c r="T96" i="37"/>
  <c r="G35" i="33"/>
  <c r="R67" i="31"/>
  <c r="T67" i="31" s="1"/>
  <c r="F91" i="35"/>
  <c r="H91" i="35" s="1"/>
  <c r="F65" i="31"/>
  <c r="G65" i="31" s="1"/>
  <c r="S40" i="18"/>
  <c r="S26" i="33"/>
  <c r="T89" i="33"/>
  <c r="G82" i="35"/>
  <c r="G34" i="35"/>
  <c r="T19" i="35"/>
  <c r="V19" i="35" s="1"/>
  <c r="W19" i="35" s="1"/>
  <c r="V17" i="17" s="1"/>
  <c r="T97" i="31"/>
  <c r="S94" i="31"/>
  <c r="S45" i="37"/>
  <c r="S51" i="37"/>
  <c r="R25" i="32"/>
  <c r="F81" i="32"/>
  <c r="R21" i="33"/>
  <c r="S21" i="33" s="1"/>
  <c r="F37" i="32"/>
  <c r="F71" i="34"/>
  <c r="H71" i="34" s="1"/>
  <c r="G22" i="36"/>
  <c r="H26" i="33"/>
  <c r="H38" i="34"/>
  <c r="H82" i="31"/>
  <c r="G52" i="37"/>
  <c r="H98" i="34"/>
  <c r="H50" i="18"/>
  <c r="G50" i="18"/>
  <c r="T88" i="31"/>
  <c r="T51" i="33"/>
  <c r="S86" i="33"/>
  <c r="T37" i="35"/>
  <c r="T69" i="18"/>
  <c r="S54" i="31"/>
  <c r="G97" i="39"/>
  <c r="M80" i="39"/>
  <c r="M89" i="39"/>
  <c r="E83" i="38" s="1"/>
  <c r="S53" i="35"/>
  <c r="H51" i="31"/>
  <c r="F45" i="18"/>
  <c r="G45" i="18" s="1"/>
  <c r="S55" i="37"/>
  <c r="F98" i="36"/>
  <c r="H98" i="36" s="1"/>
  <c r="F84" i="36"/>
  <c r="H84" i="36" s="1"/>
  <c r="L88" i="39"/>
  <c r="D82" i="38" s="1"/>
  <c r="F50" i="39"/>
  <c r="L23" i="39"/>
  <c r="D17" i="38" s="1"/>
  <c r="F65" i="18"/>
  <c r="G65" i="18" s="1"/>
  <c r="F97" i="37"/>
  <c r="G97" i="37" s="1"/>
  <c r="D49" i="39"/>
  <c r="R26" i="31"/>
  <c r="T26" i="31" s="1"/>
  <c r="F60" i="37"/>
  <c r="H60" i="37" s="1"/>
  <c r="F54" i="33"/>
  <c r="H54" i="33" s="1"/>
  <c r="F50" i="40"/>
  <c r="L49" i="39"/>
  <c r="D43" i="38" s="1"/>
  <c r="F80" i="40"/>
  <c r="L79" i="39"/>
  <c r="D73" i="38" s="1"/>
  <c r="F64" i="33"/>
  <c r="S78" i="33"/>
  <c r="M79" i="39"/>
  <c r="E73" i="38" s="1"/>
  <c r="H62" i="35"/>
  <c r="T93" i="37"/>
  <c r="F48" i="36"/>
  <c r="H48" i="36" s="1"/>
  <c r="F45" i="36"/>
  <c r="G45" i="36" s="1"/>
  <c r="F33" i="31"/>
  <c r="G33" i="31" s="1"/>
  <c r="F30" i="39"/>
  <c r="F94" i="18"/>
  <c r="G94" i="18" s="1"/>
  <c r="I32" i="39"/>
  <c r="F37" i="31"/>
  <c r="G37" i="31" s="1"/>
  <c r="F50" i="35"/>
  <c r="G50" i="35" s="1"/>
  <c r="F26" i="34"/>
  <c r="G26" i="34" s="1"/>
  <c r="F92" i="18"/>
  <c r="H92" i="18" s="1"/>
  <c r="R98" i="31"/>
  <c r="T98" i="31" s="1"/>
  <c r="R27" i="33"/>
  <c r="S27" i="33" s="1"/>
  <c r="F72" i="35"/>
  <c r="H72" i="35" s="1"/>
  <c r="F62" i="33"/>
  <c r="H61" i="39"/>
  <c r="F34" i="33"/>
  <c r="H33" i="39"/>
  <c r="G55" i="39"/>
  <c r="E49" i="38" s="1"/>
  <c r="M88" i="39"/>
  <c r="T30" i="33"/>
  <c r="T71" i="35"/>
  <c r="M23" i="39"/>
  <c r="E17" i="38" s="1"/>
  <c r="M50" i="39"/>
  <c r="E44" i="38" s="1"/>
  <c r="G85" i="39"/>
  <c r="S97" i="36"/>
  <c r="F21" i="31"/>
  <c r="G21" i="31" s="1"/>
  <c r="F56" i="36"/>
  <c r="H56" i="36" s="1"/>
  <c r="F84" i="37"/>
  <c r="H84" i="37" s="1"/>
  <c r="F51" i="37"/>
  <c r="H51" i="37" s="1"/>
  <c r="F63" i="37"/>
  <c r="G63" i="37" s="1"/>
  <c r="L50" i="39"/>
  <c r="L24" i="39"/>
  <c r="D18" i="38" s="1"/>
  <c r="F67" i="18"/>
  <c r="G67" i="18" s="1"/>
  <c r="I61" i="39"/>
  <c r="F84" i="33"/>
  <c r="G84" i="33" s="1"/>
  <c r="R80" i="37"/>
  <c r="T80" i="37" s="1"/>
  <c r="R99" i="31"/>
  <c r="T99" i="31" s="1"/>
  <c r="F40" i="37"/>
  <c r="H40" i="37" s="1"/>
  <c r="G56" i="34"/>
  <c r="R27" i="37"/>
  <c r="S27" i="37" s="1"/>
  <c r="F98" i="35"/>
  <c r="H98" i="35" s="1"/>
  <c r="F90" i="33"/>
  <c r="F58" i="33"/>
  <c r="S28" i="37"/>
  <c r="T28" i="37"/>
  <c r="S70" i="37"/>
  <c r="T70" i="37"/>
  <c r="F98" i="39"/>
  <c r="F99" i="31"/>
  <c r="H99" i="31" s="1"/>
  <c r="S20" i="37"/>
  <c r="F58" i="39"/>
  <c r="F59" i="31"/>
  <c r="F81" i="34"/>
  <c r="G81" i="34" s="1"/>
  <c r="G80" i="39"/>
  <c r="D20" i="39"/>
  <c r="F21" i="18"/>
  <c r="H21" i="18" s="1"/>
  <c r="C20" i="39"/>
  <c r="F21" i="37"/>
  <c r="G21" i="37" s="1"/>
  <c r="D28" i="39"/>
  <c r="F29" i="18"/>
  <c r="G29" i="18" s="1"/>
  <c r="H62" i="39"/>
  <c r="F63" i="33"/>
  <c r="G63" i="33" s="1"/>
  <c r="F73" i="40"/>
  <c r="M72" i="39"/>
  <c r="F85" i="31"/>
  <c r="G85" i="31" s="1"/>
  <c r="F84" i="39"/>
  <c r="D78" i="38" s="1"/>
  <c r="F94" i="35"/>
  <c r="I93" i="39"/>
  <c r="H30" i="35"/>
  <c r="G30" i="35"/>
  <c r="F51" i="39"/>
  <c r="F52" i="31"/>
  <c r="G52" i="31" s="1"/>
  <c r="F84" i="35"/>
  <c r="I83" i="39"/>
  <c r="J65" i="39"/>
  <c r="F66" i="36"/>
  <c r="J39" i="39"/>
  <c r="F40" i="36"/>
  <c r="H40" i="36" s="1"/>
  <c r="S83" i="33"/>
  <c r="G78" i="39"/>
  <c r="F90" i="39"/>
  <c r="L80" i="39"/>
  <c r="T50" i="37"/>
  <c r="S36" i="31"/>
  <c r="T36" i="31"/>
  <c r="D54" i="39"/>
  <c r="F55" i="18"/>
  <c r="H55" i="18" s="1"/>
  <c r="D76" i="39"/>
  <c r="F77" i="18"/>
  <c r="G77" i="18" s="1"/>
  <c r="D92" i="39"/>
  <c r="F93" i="18"/>
  <c r="G93" i="18" s="1"/>
  <c r="T69" i="37"/>
  <c r="F37" i="39"/>
  <c r="D31" i="38" s="1"/>
  <c r="F38" i="31"/>
  <c r="H38" i="31" s="1"/>
  <c r="G87" i="35"/>
  <c r="H87" i="35"/>
  <c r="F87" i="34"/>
  <c r="G87" i="34" s="1"/>
  <c r="G86" i="39"/>
  <c r="E80" i="38" s="1"/>
  <c r="F47" i="40"/>
  <c r="M46" i="39"/>
  <c r="F47" i="34"/>
  <c r="G47" i="34" s="1"/>
  <c r="G46" i="39"/>
  <c r="F41" i="34"/>
  <c r="G41" i="34" s="1"/>
  <c r="G40" i="39"/>
  <c r="F95" i="34"/>
  <c r="G95" i="34" s="1"/>
  <c r="G94" i="39"/>
  <c r="E88" i="38" s="1"/>
  <c r="J94" i="39"/>
  <c r="F95" i="36"/>
  <c r="G95" i="36" s="1"/>
  <c r="F69" i="39"/>
  <c r="F70" i="31"/>
  <c r="G70" i="31" s="1"/>
  <c r="S92" i="35"/>
  <c r="T92" i="35"/>
  <c r="F66" i="33"/>
  <c r="G96" i="34"/>
  <c r="H96" i="34"/>
  <c r="F66" i="37"/>
  <c r="H66" i="37" s="1"/>
  <c r="C65" i="39"/>
  <c r="T69" i="35"/>
  <c r="F40" i="31"/>
  <c r="H40" i="31" s="1"/>
  <c r="F74" i="18"/>
  <c r="G74" i="18" s="1"/>
  <c r="F24" i="32"/>
  <c r="F60" i="32"/>
  <c r="R24" i="33"/>
  <c r="F19" i="40"/>
  <c r="K18" i="39"/>
  <c r="F20" i="33"/>
  <c r="H19" i="39"/>
  <c r="H62" i="37"/>
  <c r="T29" i="35"/>
  <c r="H83" i="31"/>
  <c r="M18" i="39"/>
  <c r="E12" i="38" s="1"/>
  <c r="H12" i="38" s="1"/>
  <c r="G91" i="39"/>
  <c r="G24" i="39"/>
  <c r="M62" i="39"/>
  <c r="M48" i="39"/>
  <c r="F44" i="37"/>
  <c r="H44" i="37" s="1"/>
  <c r="S35" i="37"/>
  <c r="F39" i="31"/>
  <c r="H39" i="31" s="1"/>
  <c r="F25" i="36"/>
  <c r="G25" i="36" s="1"/>
  <c r="F46" i="36"/>
  <c r="H46" i="36" s="1"/>
  <c r="F38" i="36"/>
  <c r="H38" i="36" s="1"/>
  <c r="F54" i="36"/>
  <c r="F67" i="37"/>
  <c r="F45" i="31"/>
  <c r="G45" i="31" s="1"/>
  <c r="F55" i="39"/>
  <c r="R30" i="37"/>
  <c r="T30" i="37" s="1"/>
  <c r="F74" i="37"/>
  <c r="G74" i="37" s="1"/>
  <c r="F65" i="34"/>
  <c r="H65" i="34" s="1"/>
  <c r="R70" i="33"/>
  <c r="S70" i="33" s="1"/>
  <c r="R19" i="31"/>
  <c r="T19" i="31" s="1"/>
  <c r="V19" i="31" s="1"/>
  <c r="W19" i="31" s="1"/>
  <c r="U17" i="17" s="1"/>
  <c r="R62" i="37"/>
  <c r="T62" i="37" s="1"/>
  <c r="R74" i="18"/>
  <c r="T74" i="18" s="1"/>
  <c r="H70" i="34"/>
  <c r="R19" i="33"/>
  <c r="F27" i="35"/>
  <c r="G27" i="35" s="1"/>
  <c r="F27" i="33"/>
  <c r="F60" i="35"/>
  <c r="H60" i="35" s="1"/>
  <c r="F99" i="32"/>
  <c r="F27" i="32"/>
  <c r="F78" i="32"/>
  <c r="R38" i="33"/>
  <c r="R24" i="31"/>
  <c r="F84" i="40"/>
  <c r="L83" i="39"/>
  <c r="D77" i="38" s="1"/>
  <c r="D76" i="38"/>
  <c r="L62" i="39"/>
  <c r="D56" i="38" s="1"/>
  <c r="T31" i="37"/>
  <c r="I56" i="39"/>
  <c r="F24" i="37"/>
  <c r="H24" i="37" s="1"/>
  <c r="F73" i="31"/>
  <c r="H73" i="31" s="1"/>
  <c r="F33" i="18"/>
  <c r="G33" i="18" s="1"/>
  <c r="R87" i="33"/>
  <c r="R37" i="37"/>
  <c r="T37" i="37" s="1"/>
  <c r="F41" i="37"/>
  <c r="H41" i="37" s="1"/>
  <c r="H30" i="34"/>
  <c r="R92" i="18"/>
  <c r="T92" i="18" s="1"/>
  <c r="F56" i="33"/>
  <c r="F19" i="33"/>
  <c r="H19" i="33" s="1"/>
  <c r="J19" i="33" s="1"/>
  <c r="K19" i="33" s="1"/>
  <c r="H17" i="17" s="1"/>
  <c r="R30" i="31"/>
  <c r="F74" i="35"/>
  <c r="R56" i="31"/>
  <c r="F69" i="33"/>
  <c r="R60" i="31"/>
  <c r="S60" i="31" s="1"/>
  <c r="F78" i="34"/>
  <c r="G78" i="34" s="1"/>
  <c r="R60" i="37"/>
  <c r="F66" i="34"/>
  <c r="G66" i="34" s="1"/>
  <c r="T68" i="35"/>
  <c r="S68" i="35"/>
  <c r="S90" i="37"/>
  <c r="T90" i="37"/>
  <c r="H94" i="31"/>
  <c r="J84" i="39"/>
  <c r="F85" i="36"/>
  <c r="H85" i="36" s="1"/>
  <c r="T86" i="37"/>
  <c r="S86" i="37"/>
  <c r="C85" i="39"/>
  <c r="F86" i="37"/>
  <c r="G86" i="37" s="1"/>
  <c r="S94" i="37"/>
  <c r="T94" i="37"/>
  <c r="L87" i="39"/>
  <c r="D81" i="38" s="1"/>
  <c r="F88" i="40"/>
  <c r="G88" i="34"/>
  <c r="H88" i="34"/>
  <c r="G99" i="37"/>
  <c r="S63" i="35"/>
  <c r="M87" i="39"/>
  <c r="C78" i="39"/>
  <c r="F79" i="37"/>
  <c r="H79" i="37" s="1"/>
  <c r="F75" i="40"/>
  <c r="L74" i="39"/>
  <c r="J56" i="39"/>
  <c r="F57" i="36"/>
  <c r="H57" i="36" s="1"/>
  <c r="D72" i="39"/>
  <c r="F73" i="18"/>
  <c r="H73" i="18" s="1"/>
  <c r="F27" i="39"/>
  <c r="F28" i="31"/>
  <c r="H28" i="31" s="1"/>
  <c r="G28" i="34"/>
  <c r="H28" i="34"/>
  <c r="C27" i="39"/>
  <c r="F28" i="37"/>
  <c r="G28" i="37" s="1"/>
  <c r="D53" i="39"/>
  <c r="F54" i="18"/>
  <c r="G54" i="18" s="1"/>
  <c r="F86" i="35"/>
  <c r="I85" i="39"/>
  <c r="S88" i="37"/>
  <c r="T88" i="37"/>
  <c r="G27" i="39"/>
  <c r="E21" i="38" s="1"/>
  <c r="G66" i="39"/>
  <c r="G72" i="39"/>
  <c r="F57" i="31"/>
  <c r="F90" i="37"/>
  <c r="L85" i="39"/>
  <c r="F39" i="18"/>
  <c r="G39" i="18" s="1"/>
  <c r="I43" i="39"/>
  <c r="I29" i="39"/>
  <c r="I47" i="39"/>
  <c r="F30" i="18"/>
  <c r="G30" i="18" s="1"/>
  <c r="F59" i="35"/>
  <c r="G59" i="35" s="1"/>
  <c r="I58" i="39"/>
  <c r="D78" i="39"/>
  <c r="F79" i="18"/>
  <c r="G79" i="18" s="1"/>
  <c r="C32" i="39"/>
  <c r="F33" i="37"/>
  <c r="G33" i="37" s="1"/>
  <c r="F87" i="40"/>
  <c r="L86" i="39"/>
  <c r="D80" i="38" s="1"/>
  <c r="D90" i="39"/>
  <c r="F91" i="18"/>
  <c r="G91" i="18" s="1"/>
  <c r="J42" i="39"/>
  <c r="F43" i="36"/>
  <c r="H43" i="36" s="1"/>
  <c r="F31" i="35"/>
  <c r="G31" i="35" s="1"/>
  <c r="I30" i="39"/>
  <c r="J70" i="39"/>
  <c r="F71" i="36"/>
  <c r="G71" i="36" s="1"/>
  <c r="F28" i="40"/>
  <c r="L27" i="39"/>
  <c r="F54" i="40"/>
  <c r="L53" i="39"/>
  <c r="D47" i="38" s="1"/>
  <c r="H59" i="39"/>
  <c r="F60" i="33"/>
  <c r="F78" i="40"/>
  <c r="L77" i="39"/>
  <c r="H52" i="33"/>
  <c r="G52" i="33"/>
  <c r="C87" i="39"/>
  <c r="F88" i="37"/>
  <c r="H88" i="37" s="1"/>
  <c r="T85" i="37"/>
  <c r="R75" i="31"/>
  <c r="T75" i="31" s="1"/>
  <c r="F91" i="40"/>
  <c r="L90" i="39"/>
  <c r="J64" i="39"/>
  <c r="F65" i="36"/>
  <c r="G65" i="36" s="1"/>
  <c r="J46" i="39"/>
  <c r="F47" i="36"/>
  <c r="G47" i="36" s="1"/>
  <c r="F45" i="35"/>
  <c r="H45" i="35" s="1"/>
  <c r="I44" i="39"/>
  <c r="H42" i="39"/>
  <c r="F43" i="33"/>
  <c r="F95" i="40"/>
  <c r="L94" i="39"/>
  <c r="D88" i="38" s="1"/>
  <c r="F37" i="40"/>
  <c r="L36" i="39"/>
  <c r="F55" i="31"/>
  <c r="G55" i="31" s="1"/>
  <c r="F54" i="39"/>
  <c r="D48" i="38" s="1"/>
  <c r="F71" i="40"/>
  <c r="L70" i="39"/>
  <c r="D64" i="38" s="1"/>
  <c r="F77" i="35"/>
  <c r="G77" i="35" s="1"/>
  <c r="I76" i="39"/>
  <c r="J76" i="39"/>
  <c r="F77" i="36"/>
  <c r="G77" i="36" s="1"/>
  <c r="F88" i="18"/>
  <c r="F94" i="34"/>
  <c r="F30" i="33"/>
  <c r="J69" i="39"/>
  <c r="F70" i="36"/>
  <c r="H70" i="36" s="1"/>
  <c r="F74" i="40"/>
  <c r="L73" i="39"/>
  <c r="D67" i="38" s="1"/>
  <c r="F60" i="31"/>
  <c r="H60" i="31" s="1"/>
  <c r="F59" i="39"/>
  <c r="D53" i="38" s="1"/>
  <c r="F78" i="35"/>
  <c r="I77" i="39"/>
  <c r="F56" i="40"/>
  <c r="L55" i="39"/>
  <c r="D27" i="38"/>
  <c r="F70" i="18"/>
  <c r="H70" i="18" s="1"/>
  <c r="F75" i="34"/>
  <c r="H75" i="34" s="1"/>
  <c r="R87" i="37"/>
  <c r="T87" i="37" s="1"/>
  <c r="R85" i="31"/>
  <c r="S85" i="31" s="1"/>
  <c r="R85" i="18"/>
  <c r="T85" i="18" s="1"/>
  <c r="F40" i="35"/>
  <c r="H40" i="35" s="1"/>
  <c r="F37" i="35"/>
  <c r="G37" i="35" s="1"/>
  <c r="F92" i="35"/>
  <c r="G92" i="35" s="1"/>
  <c r="R74" i="33"/>
  <c r="T74" i="33" s="1"/>
  <c r="F60" i="34"/>
  <c r="G60" i="34" s="1"/>
  <c r="F43" i="37"/>
  <c r="G43" i="37" s="1"/>
  <c r="F24" i="33"/>
  <c r="G24" i="33" s="1"/>
  <c r="F89" i="18"/>
  <c r="H89" i="18" s="1"/>
  <c r="F70" i="35"/>
  <c r="F74" i="31"/>
  <c r="H87" i="39"/>
  <c r="F88" i="33"/>
  <c r="D75" i="38"/>
  <c r="F30" i="37"/>
  <c r="H30" i="37" s="1"/>
  <c r="R30" i="18"/>
  <c r="T30" i="18" s="1"/>
  <c r="R94" i="18"/>
  <c r="S94" i="18" s="1"/>
  <c r="F87" i="37"/>
  <c r="G87" i="37" s="1"/>
  <c r="F77" i="34"/>
  <c r="G77" i="34" s="1"/>
  <c r="R56" i="33"/>
  <c r="R93" i="31"/>
  <c r="S93" i="31" s="1"/>
  <c r="R92" i="31"/>
  <c r="T92" i="31" s="1"/>
  <c r="F49" i="37"/>
  <c r="H49" i="37" s="1"/>
  <c r="F56" i="18"/>
  <c r="G56" i="18" s="1"/>
  <c r="R47" i="32"/>
  <c r="F46" i="18"/>
  <c r="G46" i="18" s="1"/>
  <c r="F30" i="31"/>
  <c r="H30" i="31" s="1"/>
  <c r="H77" i="39"/>
  <c r="F78" i="33"/>
  <c r="F92" i="33"/>
  <c r="F94" i="33"/>
  <c r="H93" i="39"/>
  <c r="T90" i="34"/>
  <c r="S90" i="34"/>
  <c r="T28" i="31"/>
  <c r="S28" i="31"/>
  <c r="S54" i="33"/>
  <c r="T54" i="33"/>
  <c r="C58" i="39"/>
  <c r="F59" i="37"/>
  <c r="F67" i="40"/>
  <c r="L66" i="39"/>
  <c r="D60" i="38" s="1"/>
  <c r="T79" i="33"/>
  <c r="S79" i="33"/>
  <c r="J74" i="39"/>
  <c r="F75" i="36"/>
  <c r="G75" i="36" s="1"/>
  <c r="F57" i="40"/>
  <c r="M56" i="39"/>
  <c r="J41" i="39"/>
  <c r="F42" i="36"/>
  <c r="G42" i="36" s="1"/>
  <c r="H42" i="35"/>
  <c r="G42" i="35"/>
  <c r="F21" i="40"/>
  <c r="L20" i="39"/>
  <c r="D14" i="38" s="1"/>
  <c r="F29" i="34"/>
  <c r="G29" i="34" s="1"/>
  <c r="G28" i="39"/>
  <c r="F87" i="18"/>
  <c r="G87" i="18" s="1"/>
  <c r="D86" i="39"/>
  <c r="D46" i="39"/>
  <c r="F47" i="18"/>
  <c r="H47" i="18" s="1"/>
  <c r="F45" i="40"/>
  <c r="M44" i="39"/>
  <c r="E38" i="38" s="1"/>
  <c r="F43" i="35"/>
  <c r="I42" i="39"/>
  <c r="F41" i="40"/>
  <c r="L40" i="39"/>
  <c r="M40" i="39"/>
  <c r="J40" i="39"/>
  <c r="F41" i="36"/>
  <c r="H41" i="36" s="1"/>
  <c r="H54" i="39"/>
  <c r="F55" i="33"/>
  <c r="F55" i="34"/>
  <c r="H55" i="34" s="1"/>
  <c r="G54" i="39"/>
  <c r="J54" i="39"/>
  <c r="F55" i="36"/>
  <c r="G55" i="36" s="1"/>
  <c r="F71" i="35"/>
  <c r="H71" i="35" s="1"/>
  <c r="I70" i="39"/>
  <c r="F77" i="40"/>
  <c r="M76" i="39"/>
  <c r="E70" i="38" s="1"/>
  <c r="T44" i="18"/>
  <c r="S57" i="33"/>
  <c r="T65" i="33"/>
  <c r="T75" i="35"/>
  <c r="G56" i="39"/>
  <c r="E39" i="38"/>
  <c r="S70" i="35"/>
  <c r="T77" i="37"/>
  <c r="S29" i="36"/>
  <c r="F37" i="36"/>
  <c r="G37" i="36" s="1"/>
  <c r="F49" i="36"/>
  <c r="H49" i="36" s="1"/>
  <c r="F25" i="35"/>
  <c r="H25" i="35" s="1"/>
  <c r="I24" i="39"/>
  <c r="S59" i="37"/>
  <c r="T59" i="37"/>
  <c r="F80" i="39"/>
  <c r="F81" i="31"/>
  <c r="F73" i="35"/>
  <c r="F67" i="35"/>
  <c r="G67" i="35" s="1"/>
  <c r="F79" i="40"/>
  <c r="L78" i="39"/>
  <c r="D72" i="38" s="1"/>
  <c r="T57" i="37"/>
  <c r="S57" i="37"/>
  <c r="D47" i="39"/>
  <c r="F48" i="18"/>
  <c r="G48" i="18" s="1"/>
  <c r="F44" i="34"/>
  <c r="H44" i="34" s="1"/>
  <c r="G43" i="39"/>
  <c r="D41" i="39"/>
  <c r="F42" i="18"/>
  <c r="H42" i="18" s="1"/>
  <c r="F39" i="35"/>
  <c r="H39" i="35" s="1"/>
  <c r="I38" i="39"/>
  <c r="F23" i="40"/>
  <c r="M22" i="39"/>
  <c r="E16" i="38" s="1"/>
  <c r="F95" i="18"/>
  <c r="H95" i="18" s="1"/>
  <c r="F97" i="40"/>
  <c r="L96" i="39"/>
  <c r="D90" i="38" s="1"/>
  <c r="F97" i="35"/>
  <c r="G97" i="35" s="1"/>
  <c r="I96" i="39"/>
  <c r="J96" i="39"/>
  <c r="F97" i="36"/>
  <c r="G97" i="36" s="1"/>
  <c r="F29" i="40"/>
  <c r="L28" i="39"/>
  <c r="D22" i="38" s="1"/>
  <c r="M28" i="39"/>
  <c r="F29" i="35"/>
  <c r="G29" i="35" s="1"/>
  <c r="I28" i="39"/>
  <c r="J62" i="39"/>
  <c r="F63" i="36"/>
  <c r="G63" i="36" s="1"/>
  <c r="J72" i="39"/>
  <c r="F73" i="36"/>
  <c r="H73" i="36" s="1"/>
  <c r="J32" i="39"/>
  <c r="F33" i="36"/>
  <c r="H33" i="36" s="1"/>
  <c r="R87" i="31"/>
  <c r="S87" i="31" s="1"/>
  <c r="F63" i="31"/>
  <c r="H63" i="31" s="1"/>
  <c r="F37" i="18"/>
  <c r="H37" i="18" s="1"/>
  <c r="C90" i="39"/>
  <c r="F91" i="37"/>
  <c r="H91" i="37" s="1"/>
  <c r="J90" i="39"/>
  <c r="F91" i="36"/>
  <c r="G91" i="36" s="1"/>
  <c r="F65" i="40"/>
  <c r="L64" i="39"/>
  <c r="D58" i="38" s="1"/>
  <c r="M64" i="39"/>
  <c r="E58" i="38" s="1"/>
  <c r="F43" i="40"/>
  <c r="L42" i="39"/>
  <c r="D36" i="38" s="1"/>
  <c r="F79" i="31"/>
  <c r="H79" i="31" s="1"/>
  <c r="C36" i="39"/>
  <c r="F37" i="37"/>
  <c r="H37" i="37" s="1"/>
  <c r="C54" i="39"/>
  <c r="F55" i="37"/>
  <c r="H55" i="37" s="1"/>
  <c r="J88" i="39"/>
  <c r="F89" i="36"/>
  <c r="G89" i="36" s="1"/>
  <c r="C76" i="39"/>
  <c r="F77" i="37"/>
  <c r="F93" i="40"/>
  <c r="M92" i="39"/>
  <c r="L92" i="39"/>
  <c r="F93" i="35"/>
  <c r="H93" i="35" s="1"/>
  <c r="I92" i="39"/>
  <c r="J92" i="39"/>
  <c r="F93" i="36"/>
  <c r="H93" i="36" s="1"/>
  <c r="R91" i="31"/>
  <c r="T91" i="31" s="1"/>
  <c r="R49" i="31"/>
  <c r="S49" i="31" s="1"/>
  <c r="R95" i="31"/>
  <c r="T95" i="31" s="1"/>
  <c r="F28" i="35"/>
  <c r="I27" i="39"/>
  <c r="C53" i="39"/>
  <c r="F54" i="37"/>
  <c r="H86" i="34"/>
  <c r="G86" i="34"/>
  <c r="F86" i="33"/>
  <c r="H85" i="39"/>
  <c r="T55" i="33"/>
  <c r="T45" i="35"/>
  <c r="H53" i="37"/>
  <c r="G90" i="34"/>
  <c r="T39" i="36"/>
  <c r="S46" i="35"/>
  <c r="M30" i="39"/>
  <c r="E24" i="38" s="1"/>
  <c r="M66" i="39"/>
  <c r="M42" i="39"/>
  <c r="E36" i="38" s="1"/>
  <c r="M78" i="39"/>
  <c r="G88" i="39"/>
  <c r="F23" i="37"/>
  <c r="H23" i="37" s="1"/>
  <c r="F23" i="36"/>
  <c r="G23" i="36" s="1"/>
  <c r="F29" i="36"/>
  <c r="G29" i="36" s="1"/>
  <c r="L30" i="39"/>
  <c r="D29" i="38"/>
  <c r="I54" i="39"/>
  <c r="I20" i="39"/>
  <c r="F91" i="34"/>
  <c r="G91" i="34" s="1"/>
  <c r="F54" i="32"/>
  <c r="R51" i="31"/>
  <c r="T51" i="31" s="1"/>
  <c r="T36" i="37"/>
  <c r="S36" i="37"/>
  <c r="F47" i="31"/>
  <c r="F25" i="31"/>
  <c r="H25" i="31" s="1"/>
  <c r="F71" i="18"/>
  <c r="G71" i="18" s="1"/>
  <c r="F46" i="31"/>
  <c r="G46" i="31" s="1"/>
  <c r="F54" i="35"/>
  <c r="S66" i="35"/>
  <c r="T66" i="35"/>
  <c r="J27" i="39"/>
  <c r="F28" i="36"/>
  <c r="H27" i="39"/>
  <c r="F28" i="33"/>
  <c r="F85" i="39"/>
  <c r="D79" i="38" s="1"/>
  <c r="F86" i="31"/>
  <c r="G35" i="35"/>
  <c r="H35" i="35"/>
  <c r="C80" i="39"/>
  <c r="F81" i="37"/>
  <c r="G81" i="37" s="1"/>
  <c r="J80" i="39"/>
  <c r="F81" i="36"/>
  <c r="G81" i="36" s="1"/>
  <c r="J66" i="39"/>
  <c r="F67" i="36"/>
  <c r="G67" i="36" s="1"/>
  <c r="C56" i="39"/>
  <c r="F57" i="37"/>
  <c r="F73" i="37"/>
  <c r="D89" i="38"/>
  <c r="L44" i="39"/>
  <c r="D38" i="38" s="1"/>
  <c r="L56" i="39"/>
  <c r="D50" i="38" s="1"/>
  <c r="I41" i="39"/>
  <c r="I90" i="39"/>
  <c r="S31" i="33"/>
  <c r="G20" i="39"/>
  <c r="E14" i="38" s="1"/>
  <c r="G92" i="39"/>
  <c r="S71" i="37"/>
  <c r="F21" i="36"/>
  <c r="G21" i="36" s="1"/>
  <c r="F85" i="37"/>
  <c r="T81" i="35"/>
  <c r="S81" i="35"/>
  <c r="F46" i="37"/>
  <c r="H46" i="37" s="1"/>
  <c r="L22" i="39"/>
  <c r="F40" i="39"/>
  <c r="F31" i="18"/>
  <c r="G31" i="18" s="1"/>
  <c r="H72" i="34"/>
  <c r="F85" i="40"/>
  <c r="M84" i="39"/>
  <c r="E78" i="38" s="1"/>
  <c r="F75" i="37"/>
  <c r="G75" i="37" s="1"/>
  <c r="F85" i="35"/>
  <c r="G85" i="35" s="1"/>
  <c r="R63" i="37"/>
  <c r="T63" i="37" s="1"/>
  <c r="R95" i="18"/>
  <c r="S95" i="18" s="1"/>
  <c r="F65" i="32"/>
  <c r="R65" i="18"/>
  <c r="S65" i="18" s="1"/>
  <c r="F90" i="35"/>
  <c r="G90" i="35" s="1"/>
  <c r="F54" i="34"/>
  <c r="G54" i="34" s="1"/>
  <c r="R49" i="18"/>
  <c r="T49" i="18" s="1"/>
  <c r="R47" i="31"/>
  <c r="T47" i="31" s="1"/>
  <c r="F25" i="18"/>
  <c r="H25" i="18" s="1"/>
  <c r="R41" i="18"/>
  <c r="S41" i="18" s="1"/>
  <c r="D65" i="38"/>
  <c r="R63" i="18"/>
  <c r="T63" i="18" s="1"/>
  <c r="F57" i="18"/>
  <c r="H57" i="18" s="1"/>
  <c r="R37" i="31"/>
  <c r="T37" i="31" s="1"/>
  <c r="R65" i="31"/>
  <c r="S65" i="31" s="1"/>
  <c r="F77" i="32"/>
  <c r="F37" i="34"/>
  <c r="H37" i="34" s="1"/>
  <c r="F95" i="37"/>
  <c r="F95" i="31"/>
  <c r="H95" i="31" s="1"/>
  <c r="F25" i="37"/>
  <c r="H25" i="37" s="1"/>
  <c r="D51" i="38"/>
  <c r="F43" i="31"/>
  <c r="G43" i="31" s="1"/>
  <c r="R30" i="32"/>
  <c r="F51" i="32"/>
  <c r="F46" i="32"/>
  <c r="F97" i="34"/>
  <c r="G97" i="34" s="1"/>
  <c r="F51" i="34"/>
  <c r="H51" i="34" s="1"/>
  <c r="T54" i="35"/>
  <c r="S93" i="35"/>
  <c r="S83" i="35"/>
  <c r="T58" i="35"/>
  <c r="S87" i="35"/>
  <c r="T33" i="35"/>
  <c r="S44" i="35"/>
  <c r="S21" i="35"/>
  <c r="S47" i="35"/>
  <c r="T62" i="35"/>
  <c r="T59" i="33"/>
  <c r="G96" i="33"/>
  <c r="G70" i="33"/>
  <c r="R95" i="33"/>
  <c r="S95" i="33" s="1"/>
  <c r="R71" i="33"/>
  <c r="H23" i="31"/>
  <c r="H68" i="31"/>
  <c r="G44" i="31"/>
  <c r="G41" i="31"/>
  <c r="F49" i="35"/>
  <c r="F47" i="35"/>
  <c r="G47" i="35" s="1"/>
  <c r="R23" i="18"/>
  <c r="T23" i="18" s="1"/>
  <c r="S64" i="31"/>
  <c r="G62" i="31"/>
  <c r="H84" i="31"/>
  <c r="F49" i="31"/>
  <c r="F89" i="31"/>
  <c r="F23" i="35"/>
  <c r="H23" i="35" s="1"/>
  <c r="F95" i="35"/>
  <c r="G95" i="35" s="1"/>
  <c r="G76" i="18"/>
  <c r="R25" i="18"/>
  <c r="S25" i="18" s="1"/>
  <c r="T28" i="35"/>
  <c r="T24" i="35"/>
  <c r="H21" i="35"/>
  <c r="T48" i="33"/>
  <c r="S48" i="33"/>
  <c r="S29" i="33"/>
  <c r="T29" i="33"/>
  <c r="T45" i="33"/>
  <c r="T73" i="33"/>
  <c r="G33" i="35"/>
  <c r="T79" i="37"/>
  <c r="S79" i="37"/>
  <c r="R46" i="18"/>
  <c r="T46" i="18" s="1"/>
  <c r="T81" i="33"/>
  <c r="S70" i="34"/>
  <c r="T67" i="35"/>
  <c r="H68" i="37"/>
  <c r="G68" i="37"/>
  <c r="T97" i="37"/>
  <c r="S41" i="37"/>
  <c r="G56" i="31"/>
  <c r="H56" i="31"/>
  <c r="T21" i="37"/>
  <c r="G27" i="34"/>
  <c r="H27" i="34"/>
  <c r="T43" i="33"/>
  <c r="T67" i="37"/>
  <c r="R75" i="18"/>
  <c r="S75" i="18" s="1"/>
  <c r="S41" i="35"/>
  <c r="T78" i="35"/>
  <c r="G96" i="31"/>
  <c r="T37" i="33"/>
  <c r="S81" i="37"/>
  <c r="G31" i="31"/>
  <c r="H31" i="31"/>
  <c r="H32" i="33"/>
  <c r="S73" i="37"/>
  <c r="G72" i="18"/>
  <c r="H72" i="18"/>
  <c r="R91" i="33"/>
  <c r="F71" i="31"/>
  <c r="G96" i="35"/>
  <c r="H96" i="35"/>
  <c r="R25" i="37"/>
  <c r="R25" i="33"/>
  <c r="F81" i="35"/>
  <c r="H81" i="35" s="1"/>
  <c r="F46" i="34"/>
  <c r="H46" i="34" s="1"/>
  <c r="F23" i="32"/>
  <c r="R49" i="37"/>
  <c r="R43" i="18"/>
  <c r="S43" i="18" s="1"/>
  <c r="R95" i="37"/>
  <c r="F89" i="35"/>
  <c r="G64" i="34"/>
  <c r="H64" i="34"/>
  <c r="H87" i="31"/>
  <c r="S61" i="35"/>
  <c r="S77" i="35"/>
  <c r="R25" i="31"/>
  <c r="S25" i="31" s="1"/>
  <c r="F46" i="35"/>
  <c r="R42" i="37"/>
  <c r="R39" i="18"/>
  <c r="F23" i="34"/>
  <c r="H23" i="34" s="1"/>
  <c r="F51" i="35"/>
  <c r="H51" i="35" s="1"/>
  <c r="R47" i="18"/>
  <c r="R71" i="18"/>
  <c r="S71" i="18" s="1"/>
  <c r="R71" i="31"/>
  <c r="R89" i="37"/>
  <c r="S72" i="37"/>
  <c r="S32" i="33"/>
  <c r="S33" i="37"/>
  <c r="S29" i="37"/>
  <c r="H35" i="31"/>
  <c r="G36" i="35"/>
  <c r="H19" i="35"/>
  <c r="J19" i="35" s="1"/>
  <c r="K19" i="35" s="1"/>
  <c r="E17" i="17" s="1"/>
  <c r="H20" i="31"/>
  <c r="G58" i="31"/>
  <c r="G36" i="36"/>
  <c r="G19" i="37"/>
  <c r="I19" i="37" s="1"/>
  <c r="G96" i="37"/>
  <c r="H36" i="37"/>
  <c r="G35" i="37"/>
  <c r="T57" i="31"/>
  <c r="S57" i="31"/>
  <c r="S33" i="31"/>
  <c r="T33" i="31"/>
  <c r="S31" i="31"/>
  <c r="T31" i="31"/>
  <c r="G93" i="34"/>
  <c r="H93" i="34"/>
  <c r="T59" i="31"/>
  <c r="S59" i="31"/>
  <c r="T44" i="33"/>
  <c r="S44" i="33"/>
  <c r="H85" i="34"/>
  <c r="G85" i="34"/>
  <c r="S41" i="31"/>
  <c r="T41" i="31"/>
  <c r="S86" i="31"/>
  <c r="T78" i="31"/>
  <c r="R63" i="32"/>
  <c r="R93" i="32"/>
  <c r="R74" i="32"/>
  <c r="T56" i="36"/>
  <c r="S78" i="36"/>
  <c r="S64" i="36"/>
  <c r="S34" i="36"/>
  <c r="T46" i="36"/>
  <c r="R96" i="32"/>
  <c r="R90" i="32"/>
  <c r="R68" i="32"/>
  <c r="R85" i="32"/>
  <c r="R49" i="32"/>
  <c r="T32" i="36"/>
  <c r="T50" i="36"/>
  <c r="S89" i="36"/>
  <c r="H84" i="34"/>
  <c r="G84" i="34"/>
  <c r="F25" i="33"/>
  <c r="H24" i="39"/>
  <c r="L58" i="39"/>
  <c r="F59" i="40"/>
  <c r="D58" i="39"/>
  <c r="F59" i="18"/>
  <c r="F81" i="33"/>
  <c r="H80" i="39"/>
  <c r="H67" i="34"/>
  <c r="G67" i="34"/>
  <c r="F79" i="33"/>
  <c r="H78" i="39"/>
  <c r="D74" i="39"/>
  <c r="F75" i="18"/>
  <c r="S48" i="37"/>
  <c r="T48" i="37"/>
  <c r="H42" i="34"/>
  <c r="G42" i="34"/>
  <c r="F42" i="37"/>
  <c r="C41" i="39"/>
  <c r="F42" i="33"/>
  <c r="H41" i="39"/>
  <c r="R46" i="33"/>
  <c r="H28" i="39"/>
  <c r="F29" i="33"/>
  <c r="F97" i="18"/>
  <c r="R97" i="33"/>
  <c r="G58" i="34"/>
  <c r="H58" i="34"/>
  <c r="F75" i="35"/>
  <c r="R75" i="33"/>
  <c r="R67" i="33"/>
  <c r="R57" i="18"/>
  <c r="G33" i="34"/>
  <c r="H33" i="34"/>
  <c r="H50" i="39"/>
  <c r="F51" i="33"/>
  <c r="D50" i="39"/>
  <c r="F51" i="18"/>
  <c r="H51" i="18" s="1"/>
  <c r="R85" i="33"/>
  <c r="F49" i="33"/>
  <c r="H48" i="39"/>
  <c r="F45" i="33"/>
  <c r="H44" i="39"/>
  <c r="D42" i="39"/>
  <c r="F43" i="18"/>
  <c r="G43" i="18" s="1"/>
  <c r="F41" i="33"/>
  <c r="H40" i="39"/>
  <c r="D40" i="39"/>
  <c r="F41" i="18"/>
  <c r="G41" i="18" s="1"/>
  <c r="C30" i="39"/>
  <c r="F31" i="37"/>
  <c r="H94" i="39"/>
  <c r="F95" i="33"/>
  <c r="F37" i="33"/>
  <c r="H36" i="39"/>
  <c r="G89" i="34"/>
  <c r="H89" i="34"/>
  <c r="F77" i="33"/>
  <c r="H76" i="39"/>
  <c r="H92" i="39"/>
  <c r="F93" i="33"/>
  <c r="D66" i="38"/>
  <c r="D54" i="38"/>
  <c r="T38" i="36"/>
  <c r="S82" i="36"/>
  <c r="T29" i="36"/>
  <c r="H58" i="39"/>
  <c r="F59" i="33"/>
  <c r="H79" i="34"/>
  <c r="G79" i="34"/>
  <c r="G57" i="34"/>
  <c r="H57" i="34"/>
  <c r="F57" i="33"/>
  <c r="H56" i="39"/>
  <c r="F48" i="37"/>
  <c r="C47" i="39"/>
  <c r="F48" i="33"/>
  <c r="H47" i="39"/>
  <c r="L45" i="39"/>
  <c r="D39" i="38" s="1"/>
  <c r="F46" i="40"/>
  <c r="H43" i="39"/>
  <c r="F44" i="33"/>
  <c r="F42" i="40"/>
  <c r="L41" i="39"/>
  <c r="D35" i="38" s="1"/>
  <c r="H39" i="34"/>
  <c r="G39" i="34"/>
  <c r="H22" i="39"/>
  <c r="F23" i="33"/>
  <c r="F39" i="33"/>
  <c r="F46" i="33"/>
  <c r="H20" i="39"/>
  <c r="F21" i="33"/>
  <c r="C28" i="39"/>
  <c r="F29" i="37"/>
  <c r="G63" i="34"/>
  <c r="H63" i="34"/>
  <c r="H72" i="39"/>
  <c r="F73" i="33"/>
  <c r="F97" i="33"/>
  <c r="F75" i="33"/>
  <c r="F59" i="32"/>
  <c r="F59" i="34"/>
  <c r="F67" i="33"/>
  <c r="F81" i="18"/>
  <c r="F33" i="33"/>
  <c r="H32" i="39"/>
  <c r="F85" i="33"/>
  <c r="F63" i="35"/>
  <c r="H90" i="39"/>
  <c r="F91" i="33"/>
  <c r="C64" i="39"/>
  <c r="F65" i="37"/>
  <c r="F65" i="33"/>
  <c r="H64" i="39"/>
  <c r="D48" i="39"/>
  <c r="F49" i="18"/>
  <c r="F47" i="33"/>
  <c r="H46" i="39"/>
  <c r="F31" i="33"/>
  <c r="H30" i="39"/>
  <c r="F79" i="35"/>
  <c r="F65" i="35"/>
  <c r="H55" i="35"/>
  <c r="G55" i="35"/>
  <c r="H70" i="39"/>
  <c r="F71" i="33"/>
  <c r="C70" i="39"/>
  <c r="F71" i="37"/>
  <c r="H88" i="39"/>
  <c r="F89" i="33"/>
  <c r="S98" i="35"/>
  <c r="T98" i="35"/>
  <c r="T83" i="31"/>
  <c r="S83" i="31"/>
  <c r="S61" i="31"/>
  <c r="T61" i="31"/>
  <c r="H37" i="36"/>
  <c r="H51" i="36"/>
  <c r="G35" i="36"/>
  <c r="H35" i="36"/>
  <c r="G58" i="36"/>
  <c r="H58" i="36"/>
  <c r="G61" i="36"/>
  <c r="H61" i="36"/>
  <c r="S23" i="35"/>
  <c r="T23" i="35"/>
  <c r="T96" i="35"/>
  <c r="S96" i="35"/>
  <c r="T42" i="35"/>
  <c r="S42" i="35"/>
  <c r="S90" i="35"/>
  <c r="T90" i="35"/>
  <c r="K10" i="32"/>
  <c r="K9" i="32"/>
  <c r="K12" i="32"/>
  <c r="H35" i="18"/>
  <c r="G35" i="18"/>
  <c r="S55" i="31"/>
  <c r="T55" i="31"/>
  <c r="S29" i="31"/>
  <c r="T29" i="31"/>
  <c r="T76" i="31"/>
  <c r="S76" i="31"/>
  <c r="S59" i="18"/>
  <c r="T89" i="18"/>
  <c r="T59" i="18"/>
  <c r="S86" i="18"/>
  <c r="T86" i="18"/>
  <c r="S97" i="18"/>
  <c r="G48" i="36"/>
  <c r="G86" i="36"/>
  <c r="H86" i="36"/>
  <c r="H19" i="36"/>
  <c r="J19" i="36" s="1"/>
  <c r="K19" i="36" s="1"/>
  <c r="I17" i="17" s="1"/>
  <c r="S43" i="35"/>
  <c r="T43" i="35"/>
  <c r="T97" i="35"/>
  <c r="S97" i="35"/>
  <c r="T40" i="35"/>
  <c r="S40" i="35"/>
  <c r="G52" i="18"/>
  <c r="H52" i="18"/>
  <c r="G66" i="18"/>
  <c r="H66" i="18"/>
  <c r="S77" i="31"/>
  <c r="T77" i="31"/>
  <c r="S84" i="31"/>
  <c r="T82" i="31"/>
  <c r="S82" i="31"/>
  <c r="R65" i="32"/>
  <c r="R27" i="32"/>
  <c r="R34" i="32"/>
  <c r="R42" i="32"/>
  <c r="R37" i="32"/>
  <c r="R66" i="32"/>
  <c r="R48" i="32"/>
  <c r="R69" i="32"/>
  <c r="R73" i="32"/>
  <c r="R67" i="32"/>
  <c r="R84" i="32"/>
  <c r="R95" i="32"/>
  <c r="R21" i="32"/>
  <c r="R59" i="32"/>
  <c r="R89" i="32"/>
  <c r="R20" i="32"/>
  <c r="R77" i="32"/>
  <c r="R36" i="32"/>
  <c r="R99" i="32"/>
  <c r="R39" i="32"/>
  <c r="R32" i="32"/>
  <c r="R31" i="32"/>
  <c r="R60" i="32"/>
  <c r="R45" i="32"/>
  <c r="R40" i="32"/>
  <c r="R41" i="32"/>
  <c r="R79" i="32"/>
  <c r="R54" i="32"/>
  <c r="R19" i="32"/>
  <c r="R87" i="32"/>
  <c r="R94" i="32"/>
  <c r="R38" i="32"/>
  <c r="R22" i="32"/>
  <c r="R56" i="32"/>
  <c r="R46" i="32"/>
  <c r="R86" i="32"/>
  <c r="R28" i="32"/>
  <c r="R53" i="32"/>
  <c r="R83" i="32"/>
  <c r="R29" i="32"/>
  <c r="R51" i="32"/>
  <c r="R64" i="32"/>
  <c r="R61" i="32"/>
  <c r="R23" i="32"/>
  <c r="R24" i="32"/>
  <c r="R55" i="32"/>
  <c r="R58" i="32"/>
  <c r="R75" i="32"/>
  <c r="R33" i="32"/>
  <c r="R98" i="32"/>
  <c r="R82" i="32"/>
  <c r="R80" i="32"/>
  <c r="R43" i="32"/>
  <c r="R88" i="32"/>
  <c r="R71" i="32"/>
  <c r="R35" i="32"/>
  <c r="R97" i="32"/>
  <c r="R70" i="32"/>
  <c r="R92" i="32"/>
  <c r="R50" i="32"/>
  <c r="R44" i="32"/>
  <c r="R62" i="32"/>
  <c r="R57" i="32"/>
  <c r="R91" i="32"/>
  <c r="R52" i="32"/>
  <c r="R78" i="32"/>
  <c r="R26" i="32"/>
  <c r="G78" i="36"/>
  <c r="H24" i="36"/>
  <c r="G83" i="36"/>
  <c r="H69" i="36"/>
  <c r="G69" i="36"/>
  <c r="T84" i="35"/>
  <c r="S84" i="35"/>
  <c r="T72" i="35"/>
  <c r="S72" i="35"/>
  <c r="T35" i="35"/>
  <c r="S35" i="35"/>
  <c r="S57" i="35"/>
  <c r="T57" i="35"/>
  <c r="T20" i="35"/>
  <c r="V20" i="35" s="1"/>
  <c r="W20" i="35" s="1"/>
  <c r="V18" i="17" s="1"/>
  <c r="S20" i="35"/>
  <c r="U20" i="35" s="1"/>
  <c r="V21" i="35" s="1"/>
  <c r="W21" i="35" s="1"/>
  <c r="V19" i="17" s="1"/>
  <c r="S32" i="35"/>
  <c r="T32" i="35"/>
  <c r="T85" i="35"/>
  <c r="S85" i="35"/>
  <c r="G82" i="18"/>
  <c r="H82" i="18"/>
  <c r="G34" i="37"/>
  <c r="H34" i="37"/>
  <c r="S91" i="35"/>
  <c r="S76" i="35"/>
  <c r="T73" i="35"/>
  <c r="S59" i="35"/>
  <c r="D40" i="38"/>
  <c r="H82" i="37"/>
  <c r="S79" i="18"/>
  <c r="T67" i="18"/>
  <c r="T73" i="18"/>
  <c r="T87" i="18"/>
  <c r="S76" i="18"/>
  <c r="T25" i="35"/>
  <c r="T96" i="18"/>
  <c r="T81" i="18"/>
  <c r="S82" i="18"/>
  <c r="G64" i="37"/>
  <c r="T52" i="18"/>
  <c r="S35" i="18"/>
  <c r="T56" i="35"/>
  <c r="T88" i="18"/>
  <c r="G36" i="18"/>
  <c r="S84" i="18"/>
  <c r="S29" i="18"/>
  <c r="T68" i="18"/>
  <c r="G54" i="31"/>
  <c r="G76" i="31"/>
  <c r="E90" i="38"/>
  <c r="E45" i="38"/>
  <c r="T49" i="35"/>
  <c r="S50" i="35"/>
  <c r="S36" i="18"/>
  <c r="S56" i="36"/>
  <c r="T78" i="36"/>
  <c r="T64" i="36"/>
  <c r="T34" i="36"/>
  <c r="T74" i="36"/>
  <c r="T33" i="36"/>
  <c r="D20" i="38"/>
  <c r="D25" i="38"/>
  <c r="D28" i="38"/>
  <c r="D13" i="38"/>
  <c r="D30" i="38"/>
  <c r="D70" i="38"/>
  <c r="S38" i="36"/>
  <c r="S50" i="36"/>
  <c r="T89" i="36"/>
  <c r="T74" i="35"/>
  <c r="S74" i="35"/>
  <c r="T35" i="31"/>
  <c r="S35" i="31"/>
  <c r="T21" i="31"/>
  <c r="S21" i="31"/>
  <c r="G96" i="36"/>
  <c r="H96" i="36"/>
  <c r="G99" i="36"/>
  <c r="H99" i="36"/>
  <c r="T82" i="35"/>
  <c r="S82" i="35"/>
  <c r="S65" i="35"/>
  <c r="T65" i="35"/>
  <c r="S38" i="35"/>
  <c r="T38" i="35"/>
  <c r="T39" i="35"/>
  <c r="S39" i="35"/>
  <c r="G84" i="37"/>
  <c r="W10" i="40"/>
  <c r="W12" i="40"/>
  <c r="T24" i="40" s="1"/>
  <c r="W9" i="40"/>
  <c r="T58" i="31"/>
  <c r="S58" i="31"/>
  <c r="E90" i="39"/>
  <c r="C84" i="38" s="1"/>
  <c r="E78" i="39"/>
  <c r="C72" i="38" s="1"/>
  <c r="E68" i="39"/>
  <c r="C62" i="38" s="1"/>
  <c r="E58" i="39"/>
  <c r="C52" i="38" s="1"/>
  <c r="E46" i="39"/>
  <c r="C40" i="38" s="1"/>
  <c r="E36" i="39"/>
  <c r="C30" i="38" s="1"/>
  <c r="E26" i="39"/>
  <c r="C20" i="38" s="1"/>
  <c r="E43" i="39"/>
  <c r="C37" i="38" s="1"/>
  <c r="E21" i="39"/>
  <c r="C15" i="38" s="1"/>
  <c r="E92" i="39"/>
  <c r="C86" i="38" s="1"/>
  <c r="E82" i="39"/>
  <c r="C76" i="38" s="1"/>
  <c r="E70" i="39"/>
  <c r="C64" i="38" s="1"/>
  <c r="E60" i="39"/>
  <c r="C54" i="38" s="1"/>
  <c r="E50" i="39"/>
  <c r="C44" i="38" s="1"/>
  <c r="E38" i="39"/>
  <c r="C32" i="38" s="1"/>
  <c r="E28" i="39"/>
  <c r="C22" i="38" s="1"/>
  <c r="E47" i="39"/>
  <c r="C41" i="38" s="1"/>
  <c r="E57" i="39"/>
  <c r="C51" i="38" s="1"/>
  <c r="E75" i="39"/>
  <c r="C69" i="38" s="1"/>
  <c r="E37" i="39"/>
  <c r="C31" i="38" s="1"/>
  <c r="E86" i="39"/>
  <c r="C80" i="38" s="1"/>
  <c r="E66" i="39"/>
  <c r="C60" i="38" s="1"/>
  <c r="E44" i="39"/>
  <c r="C38" i="38" s="1"/>
  <c r="E22" i="39"/>
  <c r="C16" i="38" s="1"/>
  <c r="E23" i="39"/>
  <c r="C17" i="38" s="1"/>
  <c r="E49" i="39"/>
  <c r="C43" i="38" s="1"/>
  <c r="E69" i="39"/>
  <c r="C63" i="38" s="1"/>
  <c r="E93" i="39"/>
  <c r="C87" i="38" s="1"/>
  <c r="E35" i="39"/>
  <c r="E71" i="39"/>
  <c r="C65" i="38" s="1"/>
  <c r="E91" i="39"/>
  <c r="C85" i="38" s="1"/>
  <c r="E94" i="39"/>
  <c r="C88" i="38" s="1"/>
  <c r="E74" i="39"/>
  <c r="C68" i="38" s="1"/>
  <c r="E52" i="39"/>
  <c r="C46" i="38" s="1"/>
  <c r="E30" i="39"/>
  <c r="C24" i="38" s="1"/>
  <c r="E95" i="39"/>
  <c r="C89" i="38" s="1"/>
  <c r="E29" i="39"/>
  <c r="C23" i="38" s="1"/>
  <c r="E33" i="39"/>
  <c r="C27" i="38" s="1"/>
  <c r="E65" i="39"/>
  <c r="C59" i="38" s="1"/>
  <c r="E89" i="39"/>
  <c r="C83" i="38" s="1"/>
  <c r="E31" i="39"/>
  <c r="C25" i="38" s="1"/>
  <c r="E67" i="39"/>
  <c r="C61" i="38" s="1"/>
  <c r="E62" i="39"/>
  <c r="C56" i="38" s="1"/>
  <c r="E20" i="39"/>
  <c r="C14" i="38" s="1"/>
  <c r="E79" i="39"/>
  <c r="C73" i="38" s="1"/>
  <c r="E97" i="39"/>
  <c r="C91" i="38" s="1"/>
  <c r="E59" i="39"/>
  <c r="C53" i="38" s="1"/>
  <c r="E76" i="39"/>
  <c r="C70" i="38" s="1"/>
  <c r="E34" i="39"/>
  <c r="C28" i="38" s="1"/>
  <c r="E25" i="39"/>
  <c r="E85" i="39"/>
  <c r="C79" i="38" s="1"/>
  <c r="E55" i="39"/>
  <c r="C49" i="38" s="1"/>
  <c r="E42" i="39"/>
  <c r="C36" i="38" s="1"/>
  <c r="E87" i="39"/>
  <c r="C81" i="38" s="1"/>
  <c r="E84" i="39"/>
  <c r="C78" i="38" s="1"/>
  <c r="E53" i="39"/>
  <c r="C47" i="38" s="1"/>
  <c r="E27" i="39"/>
  <c r="C21" i="38" s="1"/>
  <c r="E54" i="39"/>
  <c r="C48" i="38" s="1"/>
  <c r="E98" i="39"/>
  <c r="C92" i="38" s="1"/>
  <c r="E83" i="39"/>
  <c r="C77" i="38" s="1"/>
  <c r="E41" i="39"/>
  <c r="C35" i="38" s="1"/>
  <c r="E73" i="39"/>
  <c r="C67" i="38" s="1"/>
  <c r="E63" i="39"/>
  <c r="E88" i="39"/>
  <c r="E56" i="39"/>
  <c r="E24" i="39"/>
  <c r="E40" i="39"/>
  <c r="C34" i="38" s="1"/>
  <c r="E77" i="39"/>
  <c r="E48" i="39"/>
  <c r="E81" i="39"/>
  <c r="C75" i="38" s="1"/>
  <c r="E51" i="39"/>
  <c r="E96" i="39"/>
  <c r="C90" i="38" s="1"/>
  <c r="E64" i="39"/>
  <c r="E32" i="39"/>
  <c r="C26" i="38" s="1"/>
  <c r="E61" i="39"/>
  <c r="E39" i="39"/>
  <c r="C33" i="38" s="1"/>
  <c r="E72" i="39"/>
  <c r="C66" i="38" s="1"/>
  <c r="E18" i="39"/>
  <c r="C12" i="38" s="1"/>
  <c r="F12" i="38" s="1"/>
  <c r="E19" i="39"/>
  <c r="C13" i="38" s="1"/>
  <c r="E80" i="39"/>
  <c r="E45" i="39"/>
  <c r="G30" i="36"/>
  <c r="H30" i="36"/>
  <c r="G34" i="36"/>
  <c r="T31" i="35"/>
  <c r="S31" i="35"/>
  <c r="S26" i="35"/>
  <c r="T26" i="35"/>
  <c r="S55" i="35"/>
  <c r="T55" i="35"/>
  <c r="S98" i="40"/>
  <c r="S93" i="40"/>
  <c r="T95" i="40"/>
  <c r="T99" i="40"/>
  <c r="T86" i="35"/>
  <c r="S86" i="35"/>
  <c r="S34" i="35"/>
  <c r="T34" i="35"/>
  <c r="S70" i="31"/>
  <c r="T70" i="31"/>
  <c r="S48" i="31"/>
  <c r="T48" i="31"/>
  <c r="T39" i="31"/>
  <c r="S39" i="31"/>
  <c r="T32" i="31"/>
  <c r="S32" i="31"/>
  <c r="S37" i="36"/>
  <c r="S79" i="36"/>
  <c r="T67" i="36"/>
  <c r="S77" i="36"/>
  <c r="T42" i="36"/>
  <c r="S31" i="36"/>
  <c r="S40" i="36"/>
  <c r="T52" i="36"/>
  <c r="S55" i="36"/>
  <c r="T51" i="36"/>
  <c r="S67" i="36"/>
  <c r="T77" i="36"/>
  <c r="T40" i="36"/>
  <c r="T55" i="36"/>
  <c r="S24" i="36"/>
  <c r="S65" i="36"/>
  <c r="S28" i="36"/>
  <c r="S21" i="36"/>
  <c r="T73" i="36"/>
  <c r="T98" i="36"/>
  <c r="T60" i="36"/>
  <c r="T59" i="36"/>
  <c r="S51" i="36"/>
  <c r="S25" i="36"/>
  <c r="T68" i="36"/>
  <c r="T24" i="36"/>
  <c r="T65" i="36"/>
  <c r="T28" i="36"/>
  <c r="S72" i="36"/>
  <c r="S60" i="36"/>
  <c r="S59" i="36"/>
  <c r="T48" i="36"/>
  <c r="S88" i="36"/>
  <c r="T31" i="36"/>
  <c r="T22" i="36"/>
  <c r="S73" i="36"/>
  <c r="S86" i="36"/>
  <c r="T37" i="36"/>
  <c r="S95" i="36"/>
  <c r="S52" i="36"/>
  <c r="S62" i="36"/>
  <c r="S49" i="36"/>
  <c r="T21" i="36"/>
  <c r="S98" i="36"/>
  <c r="S42" i="36"/>
  <c r="T27" i="36"/>
  <c r="T62" i="36"/>
  <c r="S76" i="36"/>
  <c r="T66" i="36"/>
  <c r="T79" i="36"/>
  <c r="S22" i="36"/>
  <c r="T86" i="36"/>
  <c r="T88" i="36"/>
  <c r="T72" i="36"/>
  <c r="T25" i="36"/>
  <c r="T95" i="36"/>
  <c r="T49" i="36"/>
  <c r="T43" i="36"/>
  <c r="S48" i="36"/>
  <c r="T70" i="36"/>
  <c r="T47" i="36"/>
  <c r="T57" i="36"/>
  <c r="T30" i="36"/>
  <c r="S96" i="36"/>
  <c r="T35" i="36"/>
  <c r="T53" i="36"/>
  <c r="T90" i="36"/>
  <c r="T44" i="36"/>
  <c r="T71" i="36"/>
  <c r="S27" i="36"/>
  <c r="S99" i="36"/>
  <c r="T61" i="36"/>
  <c r="S75" i="36"/>
  <c r="T63" i="36"/>
  <c r="S33" i="36"/>
  <c r="S58" i="36"/>
  <c r="T91" i="36"/>
  <c r="T23" i="36"/>
  <c r="S81" i="36"/>
  <c r="T93" i="36"/>
  <c r="T99" i="36"/>
  <c r="S68" i="36"/>
  <c r="S30" i="36"/>
  <c r="T96" i="36"/>
  <c r="S35" i="36"/>
  <c r="S53" i="36"/>
  <c r="S90" i="36"/>
  <c r="S44" i="36"/>
  <c r="S19" i="36"/>
  <c r="U19" i="36" s="1"/>
  <c r="S26" i="36"/>
  <c r="S43" i="36"/>
  <c r="S70" i="36"/>
  <c r="S91" i="36"/>
  <c r="T75" i="36"/>
  <c r="S83" i="36"/>
  <c r="T19" i="36"/>
  <c r="V19" i="36" s="1"/>
  <c r="W19" i="36" s="1"/>
  <c r="Z17" i="17" s="1"/>
  <c r="S20" i="36"/>
  <c r="T36" i="36"/>
  <c r="T81" i="36"/>
  <c r="S93" i="36"/>
  <c r="S92" i="36"/>
  <c r="S47" i="36"/>
  <c r="T26" i="36"/>
  <c r="S57" i="36"/>
  <c r="S66" i="36"/>
  <c r="T83" i="36"/>
  <c r="T20" i="36"/>
  <c r="S36" i="36"/>
  <c r="T92" i="36"/>
  <c r="S71" i="36"/>
  <c r="T76" i="36"/>
  <c r="T58" i="36"/>
  <c r="S61" i="36"/>
  <c r="S23" i="36"/>
  <c r="S63" i="36"/>
  <c r="H82" i="36"/>
  <c r="G82" i="36"/>
  <c r="G32" i="36"/>
  <c r="H32" i="36"/>
  <c r="G64" i="36"/>
  <c r="H64" i="36"/>
  <c r="G90" i="36"/>
  <c r="H90" i="36"/>
  <c r="S22" i="35"/>
  <c r="T22" i="35"/>
  <c r="T51" i="35"/>
  <c r="S51" i="35"/>
  <c r="S94" i="35"/>
  <c r="T94" i="35"/>
  <c r="T52" i="35"/>
  <c r="S52" i="35"/>
  <c r="S60" i="35"/>
  <c r="T60" i="35"/>
  <c r="T89" i="35"/>
  <c r="S89" i="35"/>
  <c r="S79" i="35"/>
  <c r="T79" i="35"/>
  <c r="S82" i="40"/>
  <c r="S76" i="40"/>
  <c r="S37" i="40"/>
  <c r="T51" i="40"/>
  <c r="T38" i="40"/>
  <c r="S60" i="40"/>
  <c r="T42" i="40"/>
  <c r="T66" i="40"/>
  <c r="W12" i="32"/>
  <c r="W9" i="32"/>
  <c r="W10" i="32"/>
  <c r="H96" i="18"/>
  <c r="G96" i="18"/>
  <c r="H24" i="18"/>
  <c r="G24" i="18"/>
  <c r="H99" i="18"/>
  <c r="G99" i="18"/>
  <c r="K9" i="40"/>
  <c r="K12" i="40"/>
  <c r="K10" i="40"/>
  <c r="G72" i="31"/>
  <c r="D87" i="38"/>
  <c r="S89" i="18"/>
  <c r="T79" i="18"/>
  <c r="S67" i="18"/>
  <c r="S73" i="18"/>
  <c r="S87" i="18"/>
  <c r="T76" i="18"/>
  <c r="S53" i="18"/>
  <c r="S52" i="18"/>
  <c r="T35" i="18"/>
  <c r="S77" i="18"/>
  <c r="T31" i="18"/>
  <c r="E71" i="38"/>
  <c r="T36" i="18"/>
  <c r="T80" i="36"/>
  <c r="T87" i="36"/>
  <c r="S94" i="36"/>
  <c r="S45" i="36"/>
  <c r="S74" i="36"/>
  <c r="T53" i="31"/>
  <c r="D12" i="38"/>
  <c r="G12" i="38" s="1"/>
  <c r="D46" i="38"/>
  <c r="S32" i="36"/>
  <c r="T82" i="36"/>
  <c r="T84" i="31"/>
  <c r="S25" i="34"/>
  <c r="T25" i="34"/>
  <c r="T50" i="34"/>
  <c r="S50" i="34"/>
  <c r="S24" i="34"/>
  <c r="T24" i="34"/>
  <c r="S56" i="34"/>
  <c r="T56" i="34"/>
  <c r="S58" i="34"/>
  <c r="T58" i="34"/>
  <c r="T81" i="34"/>
  <c r="S81" i="34"/>
  <c r="T91" i="34"/>
  <c r="S91" i="34"/>
  <c r="S67" i="34"/>
  <c r="T67" i="34"/>
  <c r="T57" i="34"/>
  <c r="S57" i="34"/>
  <c r="T46" i="34"/>
  <c r="S46" i="34"/>
  <c r="S19" i="34"/>
  <c r="U19" i="34" s="1"/>
  <c r="T19" i="34"/>
  <c r="V19" i="34" s="1"/>
  <c r="W19" i="34" s="1"/>
  <c r="X17" i="17" s="1"/>
  <c r="S51" i="34"/>
  <c r="T51" i="34"/>
  <c r="S43" i="34"/>
  <c r="T43" i="34"/>
  <c r="S62" i="34"/>
  <c r="T62" i="34"/>
  <c r="S39" i="34"/>
  <c r="T39" i="34"/>
  <c r="T44" i="34"/>
  <c r="S44" i="34"/>
  <c r="T42" i="34"/>
  <c r="S42" i="34"/>
  <c r="S80" i="34"/>
  <c r="T80" i="34"/>
  <c r="T96" i="34"/>
  <c r="S96" i="34"/>
  <c r="S71" i="34"/>
  <c r="T71" i="34"/>
  <c r="T87" i="34"/>
  <c r="S87" i="34"/>
  <c r="S94" i="34"/>
  <c r="T94" i="34"/>
  <c r="S98" i="34"/>
  <c r="T98" i="34"/>
  <c r="T54" i="34"/>
  <c r="S54" i="34"/>
  <c r="E89" i="38"/>
  <c r="E47" i="38"/>
  <c r="E15" i="38"/>
  <c r="E67" i="38"/>
  <c r="E61" i="38"/>
  <c r="E52" i="38"/>
  <c r="E65" i="38"/>
  <c r="T65" i="34"/>
  <c r="S65" i="34"/>
  <c r="S61" i="34"/>
  <c r="T61" i="34"/>
  <c r="T86" i="34"/>
  <c r="S86" i="34"/>
  <c r="T79" i="34"/>
  <c r="S79" i="34"/>
  <c r="S52" i="34"/>
  <c r="T52" i="34"/>
  <c r="E75" i="38"/>
  <c r="S30" i="34"/>
  <c r="T30" i="34"/>
  <c r="S95" i="34"/>
  <c r="T95" i="34"/>
  <c r="T48" i="34"/>
  <c r="S48" i="34"/>
  <c r="T99" i="34"/>
  <c r="S99" i="34"/>
  <c r="T69" i="34"/>
  <c r="S69" i="34"/>
  <c r="S85" i="34"/>
  <c r="T85" i="34"/>
  <c r="S83" i="34"/>
  <c r="T83" i="34"/>
  <c r="T73" i="34"/>
  <c r="S73" i="34"/>
  <c r="T34" i="34"/>
  <c r="S34" i="34"/>
  <c r="T41" i="34"/>
  <c r="S41" i="34"/>
  <c r="S55" i="34"/>
  <c r="T55" i="34"/>
  <c r="T93" i="34"/>
  <c r="S93" i="34"/>
  <c r="S66" i="34"/>
  <c r="T66" i="34"/>
  <c r="T53" i="34"/>
  <c r="S53" i="34"/>
  <c r="S27" i="34"/>
  <c r="T27" i="34"/>
  <c r="T84" i="34"/>
  <c r="S84" i="34"/>
  <c r="S26" i="34"/>
  <c r="T26" i="34"/>
  <c r="S29" i="34"/>
  <c r="T29" i="34"/>
  <c r="S38" i="34"/>
  <c r="T38" i="34"/>
  <c r="S32" i="34"/>
  <c r="T32" i="34"/>
  <c r="S76" i="34"/>
  <c r="T76" i="34"/>
  <c r="S21" i="34"/>
  <c r="T21" i="34"/>
  <c r="E28" i="38"/>
  <c r="E76" i="38"/>
  <c r="E30" i="38"/>
  <c r="E53" i="38"/>
  <c r="E77" i="38"/>
  <c r="E43" i="38"/>
  <c r="E25" i="38"/>
  <c r="E59" i="38"/>
  <c r="S72" i="34"/>
  <c r="T72" i="34"/>
  <c r="S31" i="34"/>
  <c r="T31" i="34"/>
  <c r="S77" i="34"/>
  <c r="T77" i="34"/>
  <c r="S49" i="34"/>
  <c r="T49" i="34"/>
  <c r="S75" i="34"/>
  <c r="T75" i="34"/>
  <c r="T97" i="34"/>
  <c r="S97" i="34"/>
  <c r="T89" i="34"/>
  <c r="S89" i="34"/>
  <c r="T88" i="34"/>
  <c r="S88" i="34"/>
  <c r="T36" i="34"/>
  <c r="S36" i="34"/>
  <c r="E68" i="38"/>
  <c r="E27" i="38"/>
  <c r="S22" i="34"/>
  <c r="T22" i="34"/>
  <c r="T47" i="34"/>
  <c r="S47" i="34"/>
  <c r="S40" i="34"/>
  <c r="T40" i="34"/>
  <c r="T92" i="34"/>
  <c r="S92" i="34"/>
  <c r="T28" i="34"/>
  <c r="S28" i="34"/>
  <c r="S63" i="34"/>
  <c r="T63" i="34"/>
  <c r="S33" i="34"/>
  <c r="T33" i="34"/>
  <c r="S59" i="34"/>
  <c r="T59" i="34"/>
  <c r="T37" i="34"/>
  <c r="S37" i="34"/>
  <c r="T74" i="34"/>
  <c r="S74" i="34"/>
  <c r="T60" i="34"/>
  <c r="S60" i="34"/>
  <c r="S35" i="34"/>
  <c r="T35" i="34"/>
  <c r="S23" i="34"/>
  <c r="T23" i="34"/>
  <c r="S82" i="34"/>
  <c r="T82" i="34"/>
  <c r="T78" i="34"/>
  <c r="S78" i="34"/>
  <c r="T45" i="34"/>
  <c r="S45" i="34"/>
  <c r="T68" i="34"/>
  <c r="S68" i="34"/>
  <c r="S64" i="34"/>
  <c r="T64" i="34"/>
  <c r="T20" i="34"/>
  <c r="S20" i="34"/>
  <c r="E64" i="38"/>
  <c r="E69" i="38"/>
  <c r="E13" i="38"/>
  <c r="E84" i="38"/>
  <c r="E29" i="38"/>
  <c r="H92" i="34" l="1"/>
  <c r="G45" i="34"/>
  <c r="G66" i="35"/>
  <c r="H44" i="36"/>
  <c r="G59" i="36"/>
  <c r="H94" i="36"/>
  <c r="H87" i="36"/>
  <c r="H81" i="36"/>
  <c r="G84" i="36"/>
  <c r="G53" i="36"/>
  <c r="H92" i="37"/>
  <c r="G60" i="37"/>
  <c r="H94" i="37"/>
  <c r="T42" i="31"/>
  <c r="S80" i="18"/>
  <c r="H57" i="35"/>
  <c r="S38" i="31"/>
  <c r="S62" i="33"/>
  <c r="G55" i="18"/>
  <c r="T81" i="31"/>
  <c r="H98" i="18"/>
  <c r="S91" i="18"/>
  <c r="H83" i="34"/>
  <c r="T51" i="18"/>
  <c r="G70" i="18"/>
  <c r="G63" i="18"/>
  <c r="G61" i="18"/>
  <c r="S61" i="18"/>
  <c r="H81" i="34"/>
  <c r="G50" i="34"/>
  <c r="S72" i="18"/>
  <c r="H99" i="34"/>
  <c r="S48" i="18"/>
  <c r="H52" i="31"/>
  <c r="G80" i="31"/>
  <c r="H75" i="31"/>
  <c r="T90" i="31"/>
  <c r="T63" i="31"/>
  <c r="T69" i="31"/>
  <c r="S54" i="18"/>
  <c r="T55" i="18"/>
  <c r="H65" i="18"/>
  <c r="G86" i="18"/>
  <c r="G60" i="18"/>
  <c r="T60" i="18"/>
  <c r="G58" i="18"/>
  <c r="G83" i="18"/>
  <c r="S98" i="18"/>
  <c r="H73" i="34"/>
  <c r="H67" i="31"/>
  <c r="T79" i="31"/>
  <c r="G64" i="35"/>
  <c r="S68" i="31"/>
  <c r="E41" i="38"/>
  <c r="G42" i="31"/>
  <c r="T42" i="18"/>
  <c r="S26" i="18"/>
  <c r="T49" i="33"/>
  <c r="T22" i="37"/>
  <c r="T28" i="18"/>
  <c r="T34" i="31"/>
  <c r="G43" i="34"/>
  <c r="H48" i="35"/>
  <c r="H21" i="34"/>
  <c r="G48" i="31"/>
  <c r="T44" i="31"/>
  <c r="T33" i="33"/>
  <c r="T44" i="37"/>
  <c r="S46" i="31"/>
  <c r="S40" i="37"/>
  <c r="T45" i="18"/>
  <c r="G31" i="34"/>
  <c r="T47" i="33"/>
  <c r="T41" i="33"/>
  <c r="T47" i="37"/>
  <c r="T34" i="18"/>
  <c r="S42" i="33"/>
  <c r="G44" i="35"/>
  <c r="J20" i="31"/>
  <c r="K20" i="31" s="1"/>
  <c r="D18" i="17" s="1"/>
  <c r="G32" i="35"/>
  <c r="G34" i="18"/>
  <c r="H38" i="37"/>
  <c r="S32" i="18"/>
  <c r="G20" i="34"/>
  <c r="H22" i="34"/>
  <c r="S21" i="18"/>
  <c r="H38" i="35"/>
  <c r="G25" i="34"/>
  <c r="T24" i="37"/>
  <c r="S22" i="31"/>
  <c r="T27" i="31"/>
  <c r="T23" i="33"/>
  <c r="H20" i="35"/>
  <c r="J20" i="35" s="1"/>
  <c r="K20" i="35" s="1"/>
  <c r="E18" i="17" s="1"/>
  <c r="T20" i="33"/>
  <c r="G24" i="35"/>
  <c r="H22" i="31"/>
  <c r="H22" i="37"/>
  <c r="T20" i="18"/>
  <c r="S19" i="18"/>
  <c r="U19" i="18" s="1"/>
  <c r="U20" i="18" s="1"/>
  <c r="V21" i="18" s="1"/>
  <c r="W21" i="18" s="1"/>
  <c r="T19" i="17" s="1"/>
  <c r="H40" i="34"/>
  <c r="H48" i="34"/>
  <c r="H66" i="31"/>
  <c r="G58" i="37"/>
  <c r="S32" i="37"/>
  <c r="G69" i="34"/>
  <c r="S45" i="31"/>
  <c r="H69" i="31"/>
  <c r="G53" i="31"/>
  <c r="T36" i="33"/>
  <c r="T34" i="33"/>
  <c r="G40" i="18"/>
  <c r="G45" i="35"/>
  <c r="H27" i="37"/>
  <c r="H26" i="37"/>
  <c r="G30" i="37"/>
  <c r="G28" i="18"/>
  <c r="H36" i="31"/>
  <c r="T27" i="18"/>
  <c r="G19" i="34"/>
  <c r="I19" i="34" s="1"/>
  <c r="L12" i="38"/>
  <c r="D16" i="38"/>
  <c r="E63" i="38"/>
  <c r="T85" i="32"/>
  <c r="B22" i="34"/>
  <c r="B22" i="32"/>
  <c r="B22" i="33"/>
  <c r="O22" i="18"/>
  <c r="B22" i="40"/>
  <c r="O22" i="34"/>
  <c r="B22" i="31"/>
  <c r="B22" i="36"/>
  <c r="B22" i="35"/>
  <c r="B18" i="7"/>
  <c r="O22" i="40"/>
  <c r="B22" i="18"/>
  <c r="O22" i="35"/>
  <c r="O22" i="36"/>
  <c r="O22" i="32"/>
  <c r="O22" i="33"/>
  <c r="B22" i="37"/>
  <c r="O22" i="31"/>
  <c r="O22" i="37"/>
  <c r="T74" i="32"/>
  <c r="E46" i="38"/>
  <c r="T49" i="32"/>
  <c r="T96" i="32"/>
  <c r="S83" i="37"/>
  <c r="T83" i="37"/>
  <c r="S23" i="31"/>
  <c r="H32" i="31"/>
  <c r="H98" i="33"/>
  <c r="S65" i="37"/>
  <c r="T91" i="37"/>
  <c r="H61" i="31"/>
  <c r="T92" i="37"/>
  <c r="G22" i="35"/>
  <c r="T99" i="18"/>
  <c r="T93" i="31"/>
  <c r="G23" i="18"/>
  <c r="S37" i="18"/>
  <c r="T93" i="18"/>
  <c r="G20" i="18"/>
  <c r="I20" i="18" s="1"/>
  <c r="J21" i="18" s="1"/>
  <c r="K21" i="18" s="1"/>
  <c r="C19" i="17" s="1"/>
  <c r="G49" i="34"/>
  <c r="S92" i="18"/>
  <c r="T72" i="32"/>
  <c r="H80" i="36"/>
  <c r="H19" i="31"/>
  <c r="J19" i="31" s="1"/>
  <c r="K12" i="38" s="1"/>
  <c r="H24" i="31"/>
  <c r="G64" i="18"/>
  <c r="G53" i="18"/>
  <c r="G32" i="34"/>
  <c r="H60" i="34"/>
  <c r="H50" i="31"/>
  <c r="G74" i="33"/>
  <c r="G97" i="31"/>
  <c r="S60" i="33"/>
  <c r="H20" i="36"/>
  <c r="J20" i="36" s="1"/>
  <c r="K20" i="36" s="1"/>
  <c r="I18" i="17" s="1"/>
  <c r="D92" i="38"/>
  <c r="E18" i="38"/>
  <c r="E91" i="38"/>
  <c r="G31" i="36"/>
  <c r="G57" i="18"/>
  <c r="S58" i="18"/>
  <c r="H54" i="18"/>
  <c r="S92" i="31"/>
  <c r="G39" i="36"/>
  <c r="H32" i="18"/>
  <c r="G34" i="31"/>
  <c r="H78" i="34"/>
  <c r="T50" i="31"/>
  <c r="E48" i="38"/>
  <c r="I20" i="36"/>
  <c r="I21" i="36" s="1"/>
  <c r="I22" i="36" s="1"/>
  <c r="T85" i="31"/>
  <c r="H93" i="18"/>
  <c r="H94" i="18"/>
  <c r="H26" i="34"/>
  <c r="T27" i="33"/>
  <c r="H60" i="36"/>
  <c r="G80" i="34"/>
  <c r="H76" i="35"/>
  <c r="E32" i="38"/>
  <c r="H39" i="18"/>
  <c r="G50" i="36"/>
  <c r="G76" i="34"/>
  <c r="G50" i="37"/>
  <c r="G56" i="37"/>
  <c r="G38" i="18"/>
  <c r="G69" i="35"/>
  <c r="H93" i="31"/>
  <c r="S50" i="18"/>
  <c r="D34" i="38"/>
  <c r="E86" i="38"/>
  <c r="T70" i="33"/>
  <c r="D63" i="38"/>
  <c r="E74" i="38"/>
  <c r="H83" i="33"/>
  <c r="D21" i="38"/>
  <c r="H47" i="36"/>
  <c r="H77" i="36"/>
  <c r="H19" i="18"/>
  <c r="J19" i="18" s="1"/>
  <c r="K19" i="18" s="1"/>
  <c r="C17" i="17" s="1"/>
  <c r="H85" i="31"/>
  <c r="S66" i="31"/>
  <c r="S75" i="37"/>
  <c r="E81" i="38"/>
  <c r="G78" i="31"/>
  <c r="G80" i="37"/>
  <c r="T24" i="18"/>
  <c r="H72" i="36"/>
  <c r="G90" i="31"/>
  <c r="E23" i="38"/>
  <c r="S30" i="37"/>
  <c r="G22" i="33"/>
  <c r="D91" i="38"/>
  <c r="H84" i="18"/>
  <c r="H42" i="36"/>
  <c r="H63" i="36"/>
  <c r="H65" i="36"/>
  <c r="G56" i="36"/>
  <c r="H88" i="36"/>
  <c r="H80" i="35"/>
  <c r="S40" i="31"/>
  <c r="H67" i="35"/>
  <c r="G38" i="33"/>
  <c r="G44" i="37"/>
  <c r="T64" i="37"/>
  <c r="H78" i="37"/>
  <c r="S74" i="37"/>
  <c r="S98" i="37"/>
  <c r="E56" i="38"/>
  <c r="G41" i="35"/>
  <c r="G52" i="35"/>
  <c r="G80" i="33"/>
  <c r="G32" i="37"/>
  <c r="H32" i="37"/>
  <c r="H61" i="37"/>
  <c r="G61" i="37"/>
  <c r="S33" i="18"/>
  <c r="G85" i="18"/>
  <c r="H23" i="36"/>
  <c r="G73" i="18"/>
  <c r="G44" i="18"/>
  <c r="S75" i="31"/>
  <c r="H45" i="36"/>
  <c r="G98" i="31"/>
  <c r="H87" i="33"/>
  <c r="G56" i="35"/>
  <c r="H26" i="18"/>
  <c r="G60" i="31"/>
  <c r="T68" i="33"/>
  <c r="E22" i="38"/>
  <c r="D71" i="38"/>
  <c r="D45" i="38"/>
  <c r="E66" i="38"/>
  <c r="D86" i="38"/>
  <c r="E55" i="38"/>
  <c r="E42" i="38"/>
  <c r="H74" i="34"/>
  <c r="G74" i="34"/>
  <c r="S66" i="33"/>
  <c r="T66" i="33"/>
  <c r="H29" i="18"/>
  <c r="H70" i="37"/>
  <c r="G74" i="36"/>
  <c r="G21" i="18"/>
  <c r="H84" i="33"/>
  <c r="S38" i="37"/>
  <c r="H89" i="37"/>
  <c r="E82" i="38"/>
  <c r="N75" i="39"/>
  <c r="S73" i="31"/>
  <c r="H27" i="36"/>
  <c r="S56" i="18"/>
  <c r="H52" i="36"/>
  <c r="S26" i="31"/>
  <c r="G20" i="37"/>
  <c r="I20" i="37" s="1"/>
  <c r="H80" i="18"/>
  <c r="G24" i="34"/>
  <c r="G72" i="37"/>
  <c r="G26" i="31"/>
  <c r="S70" i="18"/>
  <c r="G63" i="31"/>
  <c r="S19" i="37"/>
  <c r="U19" i="37" s="1"/>
  <c r="V20" i="37" s="1"/>
  <c r="W20" i="37" s="1"/>
  <c r="AA18" i="17" s="1"/>
  <c r="E85" i="38"/>
  <c r="H26" i="36"/>
  <c r="H77" i="18"/>
  <c r="G46" i="36"/>
  <c r="G85" i="36"/>
  <c r="H46" i="18"/>
  <c r="G41" i="36"/>
  <c r="S66" i="18"/>
  <c r="G40" i="37"/>
  <c r="H50" i="35"/>
  <c r="T99" i="33"/>
  <c r="G91" i="35"/>
  <c r="E37" i="38"/>
  <c r="G40" i="33"/>
  <c r="D68" i="38"/>
  <c r="G93" i="37"/>
  <c r="H58" i="35"/>
  <c r="E79" i="38"/>
  <c r="G83" i="35"/>
  <c r="H83" i="35"/>
  <c r="G64" i="31"/>
  <c r="H64" i="31"/>
  <c r="G76" i="33"/>
  <c r="H76" i="33"/>
  <c r="S74" i="18"/>
  <c r="G39" i="37"/>
  <c r="S67" i="31"/>
  <c r="G71" i="34"/>
  <c r="G77" i="31"/>
  <c r="H45" i="18"/>
  <c r="H33" i="37"/>
  <c r="G71" i="35"/>
  <c r="H22" i="18"/>
  <c r="S72" i="31"/>
  <c r="D44" i="38"/>
  <c r="S66" i="37"/>
  <c r="H68" i="33"/>
  <c r="T98" i="33"/>
  <c r="S98" i="33"/>
  <c r="T60" i="31"/>
  <c r="G62" i="18"/>
  <c r="G79" i="36"/>
  <c r="H97" i="37"/>
  <c r="G47" i="18"/>
  <c r="G62" i="36"/>
  <c r="H29" i="35"/>
  <c r="G44" i="34"/>
  <c r="G90" i="18"/>
  <c r="H99" i="35"/>
  <c r="D84" i="38"/>
  <c r="H99" i="33"/>
  <c r="G99" i="33"/>
  <c r="T56" i="37"/>
  <c r="S56" i="37"/>
  <c r="G25" i="31"/>
  <c r="G95" i="18"/>
  <c r="H47" i="37"/>
  <c r="H27" i="35"/>
  <c r="S99" i="37"/>
  <c r="H65" i="31"/>
  <c r="G78" i="18"/>
  <c r="H27" i="31"/>
  <c r="D24" i="38"/>
  <c r="H45" i="37"/>
  <c r="H53" i="33"/>
  <c r="G53" i="33"/>
  <c r="H92" i="36"/>
  <c r="G92" i="36"/>
  <c r="H74" i="37"/>
  <c r="H27" i="18"/>
  <c r="H89" i="36"/>
  <c r="H91" i="36"/>
  <c r="G26" i="35"/>
  <c r="H70" i="31"/>
  <c r="T21" i="33"/>
  <c r="T69" i="33"/>
  <c r="S69" i="33"/>
  <c r="N66" i="39"/>
  <c r="H91" i="18"/>
  <c r="G23" i="37"/>
  <c r="G38" i="36"/>
  <c r="S43" i="31"/>
  <c r="S99" i="31"/>
  <c r="H71" i="18"/>
  <c r="T65" i="18"/>
  <c r="T94" i="18"/>
  <c r="H41" i="34"/>
  <c r="D52" i="38"/>
  <c r="G92" i="31"/>
  <c r="G29" i="31"/>
  <c r="G98" i="37"/>
  <c r="G89" i="18"/>
  <c r="G73" i="31"/>
  <c r="D74" i="38"/>
  <c r="T64" i="18"/>
  <c r="T27" i="37"/>
  <c r="E34" i="38"/>
  <c r="E40" i="38"/>
  <c r="S98" i="31"/>
  <c r="G69" i="37"/>
  <c r="H74" i="18"/>
  <c r="H77" i="34"/>
  <c r="H95" i="34"/>
  <c r="H87" i="34"/>
  <c r="H29" i="34"/>
  <c r="H59" i="35"/>
  <c r="G49" i="37"/>
  <c r="G28" i="31"/>
  <c r="G51" i="37"/>
  <c r="S80" i="37"/>
  <c r="S37" i="37"/>
  <c r="T34" i="37"/>
  <c r="S34" i="37"/>
  <c r="S49" i="18"/>
  <c r="T49" i="31"/>
  <c r="H43" i="37"/>
  <c r="H28" i="37"/>
  <c r="G30" i="31"/>
  <c r="G24" i="37"/>
  <c r="G79" i="37"/>
  <c r="S95" i="31"/>
  <c r="G79" i="31"/>
  <c r="G37" i="37"/>
  <c r="T65" i="31"/>
  <c r="H30" i="18"/>
  <c r="G75" i="34"/>
  <c r="T89" i="31"/>
  <c r="G38" i="31"/>
  <c r="H47" i="34"/>
  <c r="H77" i="35"/>
  <c r="S39" i="33"/>
  <c r="G72" i="35"/>
  <c r="T23" i="37"/>
  <c r="S62" i="37"/>
  <c r="T46" i="37"/>
  <c r="H46" i="31"/>
  <c r="G60" i="35"/>
  <c r="S43" i="37"/>
  <c r="T43" i="37"/>
  <c r="H67" i="36"/>
  <c r="G25" i="37"/>
  <c r="G40" i="36"/>
  <c r="H67" i="18"/>
  <c r="G93" i="36"/>
  <c r="H75" i="36"/>
  <c r="G70" i="36"/>
  <c r="H79" i="18"/>
  <c r="G37" i="18"/>
  <c r="H85" i="35"/>
  <c r="G40" i="35"/>
  <c r="H45" i="31"/>
  <c r="H97" i="36"/>
  <c r="G55" i="34"/>
  <c r="H31" i="35"/>
  <c r="H55" i="31"/>
  <c r="G25" i="35"/>
  <c r="G54" i="33"/>
  <c r="H64" i="33"/>
  <c r="G64" i="33"/>
  <c r="H56" i="18"/>
  <c r="H21" i="36"/>
  <c r="G98" i="36"/>
  <c r="G40" i="31"/>
  <c r="H37" i="31"/>
  <c r="G55" i="37"/>
  <c r="G98" i="35"/>
  <c r="H21" i="37"/>
  <c r="N78" i="39"/>
  <c r="E60" i="38"/>
  <c r="G62" i="33"/>
  <c r="H62" i="33"/>
  <c r="H25" i="36"/>
  <c r="H95" i="36"/>
  <c r="G43" i="36"/>
  <c r="H21" i="31"/>
  <c r="J21" i="31" s="1"/>
  <c r="K14" i="38" s="1"/>
  <c r="G88" i="37"/>
  <c r="H33" i="18"/>
  <c r="S91" i="31"/>
  <c r="G92" i="18"/>
  <c r="H29" i="36"/>
  <c r="G65" i="34"/>
  <c r="G39" i="35"/>
  <c r="H63" i="33"/>
  <c r="H92" i="35"/>
  <c r="T87" i="31"/>
  <c r="E72" i="38"/>
  <c r="G58" i="33"/>
  <c r="H58" i="33"/>
  <c r="T25" i="18"/>
  <c r="H33" i="31"/>
  <c r="G66" i="37"/>
  <c r="H24" i="33"/>
  <c r="H63" i="37"/>
  <c r="G90" i="33"/>
  <c r="H90" i="33"/>
  <c r="H34" i="33"/>
  <c r="G34" i="33"/>
  <c r="T41" i="18"/>
  <c r="H69" i="33"/>
  <c r="G69" i="33"/>
  <c r="H54" i="36"/>
  <c r="G54" i="36"/>
  <c r="G20" i="33"/>
  <c r="H20" i="33"/>
  <c r="H84" i="35"/>
  <c r="G84" i="35"/>
  <c r="H94" i="35"/>
  <c r="G94" i="35"/>
  <c r="N84" i="39"/>
  <c r="N85" i="39"/>
  <c r="N65" i="39"/>
  <c r="N82" i="39"/>
  <c r="N68" i="39"/>
  <c r="N62" i="39"/>
  <c r="S85" i="18"/>
  <c r="S37" i="31"/>
  <c r="H54" i="34"/>
  <c r="G46" i="37"/>
  <c r="G93" i="35"/>
  <c r="G39" i="31"/>
  <c r="G19" i="33"/>
  <c r="I19" i="33" s="1"/>
  <c r="S74" i="33"/>
  <c r="S60" i="37"/>
  <c r="T60" i="37"/>
  <c r="S56" i="31"/>
  <c r="T56" i="31"/>
  <c r="G56" i="33"/>
  <c r="H56" i="33"/>
  <c r="S24" i="31"/>
  <c r="T24" i="31"/>
  <c r="T19" i="33"/>
  <c r="V19" i="33" s="1"/>
  <c r="W19" i="33" s="1"/>
  <c r="Y17" i="17" s="1"/>
  <c r="S19" i="33"/>
  <c r="U19" i="33" s="1"/>
  <c r="G66" i="36"/>
  <c r="H66" i="36"/>
  <c r="G59" i="31"/>
  <c r="H59" i="31"/>
  <c r="N69" i="39"/>
  <c r="N98" i="39"/>
  <c r="N59" i="39"/>
  <c r="S47" i="31"/>
  <c r="S30" i="18"/>
  <c r="T75" i="18"/>
  <c r="T95" i="18"/>
  <c r="S23" i="18"/>
  <c r="J20" i="37"/>
  <c r="K20" i="37" s="1"/>
  <c r="J18" i="17" s="1"/>
  <c r="S51" i="31"/>
  <c r="G51" i="34"/>
  <c r="G91" i="37"/>
  <c r="G41" i="37"/>
  <c r="G95" i="31"/>
  <c r="H43" i="31"/>
  <c r="S19" i="31"/>
  <c r="U19" i="31" s="1"/>
  <c r="U20" i="31" s="1"/>
  <c r="U21" i="31" s="1"/>
  <c r="V22" i="31" s="1"/>
  <c r="W22" i="31" s="1"/>
  <c r="U20" i="17" s="1"/>
  <c r="H66" i="34"/>
  <c r="G99" i="31"/>
  <c r="G74" i="35"/>
  <c r="H74" i="35"/>
  <c r="T87" i="33"/>
  <c r="S87" i="33"/>
  <c r="S38" i="33"/>
  <c r="T38" i="33"/>
  <c r="H66" i="33"/>
  <c r="G66" i="33"/>
  <c r="D49" i="38"/>
  <c r="S30" i="31"/>
  <c r="T30" i="31"/>
  <c r="H27" i="33"/>
  <c r="G27" i="33"/>
  <c r="G67" i="37"/>
  <c r="H67" i="37"/>
  <c r="T24" i="33"/>
  <c r="S24" i="33"/>
  <c r="N39" i="39"/>
  <c r="S49" i="32"/>
  <c r="H78" i="33"/>
  <c r="G78" i="33"/>
  <c r="H74" i="31"/>
  <c r="G74" i="31"/>
  <c r="G78" i="35"/>
  <c r="H78" i="35"/>
  <c r="G94" i="34"/>
  <c r="H94" i="34"/>
  <c r="G90" i="37"/>
  <c r="H90" i="37"/>
  <c r="N91" i="39"/>
  <c r="H55" i="36"/>
  <c r="H71" i="36"/>
  <c r="H87" i="18"/>
  <c r="H31" i="18"/>
  <c r="H87" i="37"/>
  <c r="S63" i="18"/>
  <c r="G57" i="36"/>
  <c r="H37" i="35"/>
  <c r="H81" i="37"/>
  <c r="T56" i="33"/>
  <c r="S56" i="33"/>
  <c r="H70" i="35"/>
  <c r="G70" i="35"/>
  <c r="H88" i="18"/>
  <c r="G88" i="18"/>
  <c r="G60" i="33"/>
  <c r="H60" i="33"/>
  <c r="G57" i="31"/>
  <c r="H57" i="31"/>
  <c r="N44" i="39"/>
  <c r="N87" i="39"/>
  <c r="G25" i="18"/>
  <c r="H75" i="37"/>
  <c r="G37" i="34"/>
  <c r="H47" i="35"/>
  <c r="H86" i="37"/>
  <c r="S87" i="37"/>
  <c r="E50" i="38"/>
  <c r="H94" i="33"/>
  <c r="G94" i="33"/>
  <c r="H88" i="33"/>
  <c r="G88" i="33"/>
  <c r="H43" i="33"/>
  <c r="G43" i="33"/>
  <c r="H92" i="33"/>
  <c r="G92" i="33"/>
  <c r="H30" i="33"/>
  <c r="G30" i="33"/>
  <c r="G86" i="35"/>
  <c r="H86" i="35"/>
  <c r="G85" i="37"/>
  <c r="H85" i="37"/>
  <c r="G33" i="36"/>
  <c r="H48" i="18"/>
  <c r="G49" i="36"/>
  <c r="G73" i="36"/>
  <c r="T43" i="18"/>
  <c r="G23" i="34"/>
  <c r="H91" i="34"/>
  <c r="G81" i="35"/>
  <c r="G95" i="37"/>
  <c r="H95" i="37"/>
  <c r="H57" i="37"/>
  <c r="G57" i="37"/>
  <c r="H28" i="33"/>
  <c r="G28" i="33"/>
  <c r="H86" i="33"/>
  <c r="G86" i="33"/>
  <c r="H73" i="35"/>
  <c r="G73" i="35"/>
  <c r="H59" i="37"/>
  <c r="G59" i="37"/>
  <c r="H81" i="31"/>
  <c r="G81" i="31"/>
  <c r="G42" i="18"/>
  <c r="H97" i="35"/>
  <c r="H90" i="35"/>
  <c r="S63" i="37"/>
  <c r="H86" i="31"/>
  <c r="G86" i="31"/>
  <c r="H28" i="36"/>
  <c r="G28" i="36"/>
  <c r="H54" i="35"/>
  <c r="G54" i="35"/>
  <c r="H47" i="31"/>
  <c r="G47" i="31"/>
  <c r="G28" i="35"/>
  <c r="H28" i="35"/>
  <c r="N40" i="39"/>
  <c r="T25" i="31"/>
  <c r="H73" i="37"/>
  <c r="G73" i="37"/>
  <c r="G54" i="37"/>
  <c r="H54" i="37"/>
  <c r="G77" i="37"/>
  <c r="H77" i="37"/>
  <c r="H55" i="33"/>
  <c r="G55" i="33"/>
  <c r="H43" i="35"/>
  <c r="G43" i="35"/>
  <c r="N23" i="39"/>
  <c r="N90" i="39"/>
  <c r="S96" i="32"/>
  <c r="H97" i="34"/>
  <c r="N74" i="39"/>
  <c r="G46" i="34"/>
  <c r="N72" i="39"/>
  <c r="T95" i="33"/>
  <c r="T71" i="33"/>
  <c r="S71" i="33"/>
  <c r="H95" i="35"/>
  <c r="G49" i="35"/>
  <c r="H49" i="35"/>
  <c r="J21" i="35"/>
  <c r="K21" i="35" s="1"/>
  <c r="E19" i="17" s="1"/>
  <c r="G23" i="35"/>
  <c r="H49" i="31"/>
  <c r="G49" i="31"/>
  <c r="G51" i="35"/>
  <c r="G89" i="31"/>
  <c r="H89" i="31"/>
  <c r="T71" i="18"/>
  <c r="N19" i="39"/>
  <c r="N26" i="39"/>
  <c r="F13" i="38"/>
  <c r="F14" i="38" s="1"/>
  <c r="F15" i="38" s="1"/>
  <c r="F16" i="38" s="1"/>
  <c r="F17" i="38" s="1"/>
  <c r="H13" i="38"/>
  <c r="H14" i="38" s="1"/>
  <c r="H15" i="38" s="1"/>
  <c r="H16" i="38" s="1"/>
  <c r="H17" i="38" s="1"/>
  <c r="S42" i="37"/>
  <c r="T42" i="37"/>
  <c r="S25" i="37"/>
  <c r="T25" i="37"/>
  <c r="N89" i="39"/>
  <c r="N76" i="39"/>
  <c r="N83" i="39"/>
  <c r="N55" i="39"/>
  <c r="G51" i="18"/>
  <c r="S39" i="18"/>
  <c r="T39" i="18"/>
  <c r="T49" i="37"/>
  <c r="S49" i="37"/>
  <c r="T25" i="33"/>
  <c r="S25" i="33"/>
  <c r="G71" i="31"/>
  <c r="H71" i="31"/>
  <c r="T47" i="18"/>
  <c r="S47" i="18"/>
  <c r="G89" i="35"/>
  <c r="H89" i="35"/>
  <c r="N96" i="39"/>
  <c r="S46" i="18"/>
  <c r="T89" i="37"/>
  <c r="S89" i="37"/>
  <c r="H46" i="35"/>
  <c r="G46" i="35"/>
  <c r="S95" i="37"/>
  <c r="T95" i="37"/>
  <c r="N93" i="39"/>
  <c r="N94" i="39"/>
  <c r="T71" i="31"/>
  <c r="S71" i="31"/>
  <c r="T91" i="33"/>
  <c r="S91" i="33"/>
  <c r="N30" i="39"/>
  <c r="N38" i="39"/>
  <c r="N34" i="39"/>
  <c r="J20" i="18"/>
  <c r="K20" i="18" s="1"/>
  <c r="C18" i="17" s="1"/>
  <c r="G79" i="35"/>
  <c r="H79" i="35"/>
  <c r="G31" i="33"/>
  <c r="H31" i="33"/>
  <c r="G47" i="33"/>
  <c r="H47" i="33"/>
  <c r="H65" i="33"/>
  <c r="G65" i="33"/>
  <c r="H85" i="33"/>
  <c r="G85" i="33"/>
  <c r="G33" i="33"/>
  <c r="H33" i="33"/>
  <c r="G67" i="33"/>
  <c r="H67" i="33"/>
  <c r="H97" i="33"/>
  <c r="G97" i="33"/>
  <c r="G39" i="33"/>
  <c r="H39" i="33"/>
  <c r="G48" i="33"/>
  <c r="H48" i="33"/>
  <c r="H48" i="37"/>
  <c r="G48" i="37"/>
  <c r="G57" i="33"/>
  <c r="H57" i="33"/>
  <c r="H93" i="33"/>
  <c r="G93" i="33"/>
  <c r="G95" i="33"/>
  <c r="H95" i="33"/>
  <c r="G31" i="37"/>
  <c r="H31" i="37"/>
  <c r="T85" i="33"/>
  <c r="S85" i="33"/>
  <c r="T67" i="33"/>
  <c r="S67" i="33"/>
  <c r="H75" i="35"/>
  <c r="G75" i="35"/>
  <c r="G97" i="18"/>
  <c r="H97" i="18"/>
  <c r="H75" i="18"/>
  <c r="G75" i="18"/>
  <c r="H59" i="18"/>
  <c r="G59" i="18"/>
  <c r="V20" i="36"/>
  <c r="W20" i="36" s="1"/>
  <c r="Z18" i="17" s="1"/>
  <c r="I21" i="31"/>
  <c r="N37" i="39"/>
  <c r="N28" i="39"/>
  <c r="N43" i="39"/>
  <c r="N70" i="39"/>
  <c r="N18" i="39"/>
  <c r="O18" i="39" s="1"/>
  <c r="N52" i="39"/>
  <c r="N22" i="39"/>
  <c r="N49" i="39"/>
  <c r="U21" i="35"/>
  <c r="V22" i="35" s="1"/>
  <c r="W22" i="35" s="1"/>
  <c r="V20" i="17" s="1"/>
  <c r="N58" i="39"/>
  <c r="N67" i="39"/>
  <c r="N73" i="39"/>
  <c r="N53" i="39"/>
  <c r="N95" i="39"/>
  <c r="N20" i="39"/>
  <c r="G13" i="38"/>
  <c r="G14" i="38" s="1"/>
  <c r="G15" i="38" s="1"/>
  <c r="H43" i="18"/>
  <c r="S72" i="32"/>
  <c r="T90" i="32"/>
  <c r="H41" i="18"/>
  <c r="S90" i="32"/>
  <c r="H89" i="33"/>
  <c r="G89" i="33"/>
  <c r="G71" i="37"/>
  <c r="H71" i="37"/>
  <c r="G71" i="33"/>
  <c r="H71" i="33"/>
  <c r="H65" i="35"/>
  <c r="G65" i="35"/>
  <c r="H49" i="18"/>
  <c r="G49" i="18"/>
  <c r="G65" i="37"/>
  <c r="H65" i="37"/>
  <c r="G91" i="33"/>
  <c r="H91" i="33"/>
  <c r="H63" i="35"/>
  <c r="G63" i="35"/>
  <c r="G81" i="18"/>
  <c r="H81" i="18"/>
  <c r="H59" i="34"/>
  <c r="G59" i="34"/>
  <c r="H75" i="33"/>
  <c r="G75" i="33"/>
  <c r="H73" i="33"/>
  <c r="G73" i="33"/>
  <c r="H29" i="37"/>
  <c r="G29" i="37"/>
  <c r="H21" i="33"/>
  <c r="G21" i="33"/>
  <c r="H46" i="33"/>
  <c r="G46" i="33"/>
  <c r="H23" i="33"/>
  <c r="G23" i="33"/>
  <c r="H44" i="33"/>
  <c r="G44" i="33"/>
  <c r="G59" i="33"/>
  <c r="H59" i="33"/>
  <c r="G77" i="33"/>
  <c r="H77" i="33"/>
  <c r="G37" i="33"/>
  <c r="H37" i="33"/>
  <c r="G41" i="33"/>
  <c r="H41" i="33"/>
  <c r="H45" i="33"/>
  <c r="G45" i="33"/>
  <c r="G49" i="33"/>
  <c r="H49" i="33"/>
  <c r="G51" i="33"/>
  <c r="H51" i="33"/>
  <c r="S57" i="18"/>
  <c r="T57" i="18"/>
  <c r="S75" i="33"/>
  <c r="T75" i="33"/>
  <c r="S97" i="33"/>
  <c r="T97" i="33"/>
  <c r="H29" i="33"/>
  <c r="G29" i="33"/>
  <c r="T46" i="33"/>
  <c r="S46" i="33"/>
  <c r="H42" i="33"/>
  <c r="G42" i="33"/>
  <c r="H42" i="37"/>
  <c r="G42" i="37"/>
  <c r="H79" i="33"/>
  <c r="G79" i="33"/>
  <c r="G81" i="33"/>
  <c r="H81" i="33"/>
  <c r="H25" i="33"/>
  <c r="G25" i="33"/>
  <c r="C39" i="38"/>
  <c r="N45" i="39"/>
  <c r="C58" i="38"/>
  <c r="N64" i="39"/>
  <c r="C50" i="38"/>
  <c r="N56" i="39"/>
  <c r="T78" i="32"/>
  <c r="S78" i="32"/>
  <c r="T70" i="32"/>
  <c r="S70" i="32"/>
  <c r="S98" i="32"/>
  <c r="T98" i="32"/>
  <c r="S64" i="32"/>
  <c r="T64" i="32"/>
  <c r="S56" i="32"/>
  <c r="T56" i="32"/>
  <c r="S41" i="32"/>
  <c r="T41" i="32"/>
  <c r="T36" i="32"/>
  <c r="S36" i="32"/>
  <c r="S67" i="32"/>
  <c r="T67" i="32"/>
  <c r="N24" i="39"/>
  <c r="C18" i="38"/>
  <c r="C19" i="38"/>
  <c r="N25" i="39"/>
  <c r="S26" i="32"/>
  <c r="T26" i="32"/>
  <c r="T92" i="32"/>
  <c r="S92" i="32"/>
  <c r="T82" i="32"/>
  <c r="S82" i="32"/>
  <c r="T61" i="32"/>
  <c r="S61" i="32"/>
  <c r="T46" i="32"/>
  <c r="S46" i="32"/>
  <c r="T79" i="32"/>
  <c r="S79" i="32"/>
  <c r="T99" i="32"/>
  <c r="S99" i="32"/>
  <c r="S84" i="32"/>
  <c r="T84" i="32"/>
  <c r="S48" i="32"/>
  <c r="T48" i="32"/>
  <c r="S47" i="32"/>
  <c r="T93" i="32"/>
  <c r="S81" i="32"/>
  <c r="T47" i="32"/>
  <c r="S93" i="32"/>
  <c r="T63" i="32"/>
  <c r="T81" i="32"/>
  <c r="S74" i="32"/>
  <c r="T76" i="32"/>
  <c r="S30" i="32"/>
  <c r="S85" i="32"/>
  <c r="S68" i="32"/>
  <c r="C55" i="38"/>
  <c r="N61" i="39"/>
  <c r="C45" i="38"/>
  <c r="N51" i="39"/>
  <c r="C57" i="38"/>
  <c r="N63" i="39"/>
  <c r="T91" i="32"/>
  <c r="S91" i="32"/>
  <c r="T50" i="32"/>
  <c r="S50" i="32"/>
  <c r="T35" i="32"/>
  <c r="S35" i="32"/>
  <c r="T80" i="32"/>
  <c r="S80" i="32"/>
  <c r="S75" i="32"/>
  <c r="T75" i="32"/>
  <c r="S23" i="32"/>
  <c r="T23" i="32"/>
  <c r="T29" i="32"/>
  <c r="S29" i="32"/>
  <c r="T86" i="32"/>
  <c r="S86" i="32"/>
  <c r="T38" i="32"/>
  <c r="S38" i="32"/>
  <c r="T54" i="32"/>
  <c r="S54" i="32"/>
  <c r="T45" i="32"/>
  <c r="S45" i="32"/>
  <c r="T39" i="32"/>
  <c r="S39" i="32"/>
  <c r="T20" i="32"/>
  <c r="S20" i="32"/>
  <c r="S95" i="32"/>
  <c r="T95" i="32"/>
  <c r="S69" i="32"/>
  <c r="T69" i="32"/>
  <c r="T42" i="32"/>
  <c r="S42" i="32"/>
  <c r="G54" i="32"/>
  <c r="H23" i="32"/>
  <c r="H71" i="32"/>
  <c r="G31" i="32"/>
  <c r="G25" i="32"/>
  <c r="G75" i="32"/>
  <c r="H74" i="32"/>
  <c r="H89" i="32"/>
  <c r="H31" i="32"/>
  <c r="H75" i="32"/>
  <c r="G74" i="32"/>
  <c r="H33" i="32"/>
  <c r="G89" i="32"/>
  <c r="G71" i="32"/>
  <c r="G96" i="32"/>
  <c r="H54" i="32"/>
  <c r="G61" i="32"/>
  <c r="H55" i="32"/>
  <c r="G87" i="32"/>
  <c r="G99" i="32"/>
  <c r="H62" i="32"/>
  <c r="G48" i="32"/>
  <c r="G93" i="32"/>
  <c r="G68" i="32"/>
  <c r="G19" i="32"/>
  <c r="I19" i="32" s="1"/>
  <c r="H82" i="32"/>
  <c r="G97" i="32"/>
  <c r="G77" i="32"/>
  <c r="G38" i="32"/>
  <c r="H96" i="32"/>
  <c r="G82" i="32"/>
  <c r="H34" i="32"/>
  <c r="H99" i="32"/>
  <c r="G47" i="32"/>
  <c r="H79" i="32"/>
  <c r="G65" i="32"/>
  <c r="G76" i="32"/>
  <c r="H61" i="32"/>
  <c r="G55" i="32"/>
  <c r="G23" i="32"/>
  <c r="H19" i="32"/>
  <c r="J19" i="32" s="1"/>
  <c r="G33" i="32"/>
  <c r="H97" i="32"/>
  <c r="G62" i="32"/>
  <c r="G43" i="32"/>
  <c r="H48" i="32"/>
  <c r="H38" i="32"/>
  <c r="H65" i="32"/>
  <c r="H76" i="32"/>
  <c r="H80" i="32"/>
  <c r="H47" i="32"/>
  <c r="H43" i="32"/>
  <c r="H26" i="32"/>
  <c r="G79" i="32"/>
  <c r="H68" i="32"/>
  <c r="H25" i="32"/>
  <c r="H91" i="32"/>
  <c r="H87" i="32"/>
  <c r="H77" i="32"/>
  <c r="G80" i="32"/>
  <c r="G39" i="32"/>
  <c r="G51" i="32"/>
  <c r="H58" i="32"/>
  <c r="G95" i="32"/>
  <c r="G66" i="32"/>
  <c r="G90" i="32"/>
  <c r="H93" i="32"/>
  <c r="G32" i="32"/>
  <c r="G45" i="32"/>
  <c r="H59" i="32"/>
  <c r="G94" i="32"/>
  <c r="G22" i="32"/>
  <c r="H98" i="32"/>
  <c r="G36" i="32"/>
  <c r="G84" i="32"/>
  <c r="H64" i="32"/>
  <c r="G53" i="32"/>
  <c r="H46" i="32"/>
  <c r="G86" i="32"/>
  <c r="G72" i="32"/>
  <c r="G50" i="32"/>
  <c r="G88" i="32"/>
  <c r="G37" i="32"/>
  <c r="H20" i="32"/>
  <c r="G85" i="32"/>
  <c r="G78" i="32"/>
  <c r="G52" i="32"/>
  <c r="G21" i="32"/>
  <c r="G57" i="32"/>
  <c r="G26" i="32"/>
  <c r="H41" i="32"/>
  <c r="H92" i="32"/>
  <c r="H63" i="32"/>
  <c r="H30" i="32"/>
  <c r="H29" i="32"/>
  <c r="H28" i="32"/>
  <c r="H70" i="32"/>
  <c r="H39" i="32"/>
  <c r="H95" i="32"/>
  <c r="H73" i="32"/>
  <c r="H56" i="32"/>
  <c r="G59" i="32"/>
  <c r="H22" i="32"/>
  <c r="G92" i="32"/>
  <c r="G64" i="32"/>
  <c r="H53" i="32"/>
  <c r="H86" i="32"/>
  <c r="H50" i="32"/>
  <c r="H88" i="32"/>
  <c r="G49" i="32"/>
  <c r="G91" i="32"/>
  <c r="G73" i="32"/>
  <c r="G35" i="32"/>
  <c r="G24" i="32"/>
  <c r="H21" i="32"/>
  <c r="H67" i="32"/>
  <c r="H57" i="32"/>
  <c r="H69" i="32"/>
  <c r="H49" i="32"/>
  <c r="H32" i="32"/>
  <c r="H45" i="32"/>
  <c r="G27" i="32"/>
  <c r="G41" i="32"/>
  <c r="G60" i="32"/>
  <c r="G98" i="32"/>
  <c r="H36" i="32"/>
  <c r="G42" i="32"/>
  <c r="G81" i="32"/>
  <c r="H40" i="32"/>
  <c r="H44" i="32"/>
  <c r="G63" i="32"/>
  <c r="G30" i="32"/>
  <c r="G83" i="32"/>
  <c r="G29" i="32"/>
  <c r="G28" i="32"/>
  <c r="G70" i="32"/>
  <c r="H78" i="32"/>
  <c r="G34" i="32"/>
  <c r="H35" i="32"/>
  <c r="H24" i="32"/>
  <c r="G67" i="32"/>
  <c r="G69" i="32"/>
  <c r="G56" i="32"/>
  <c r="H27" i="32"/>
  <c r="H60" i="32"/>
  <c r="H42" i="32"/>
  <c r="H81" i="32"/>
  <c r="G40" i="32"/>
  <c r="G44" i="32"/>
  <c r="H83" i="32"/>
  <c r="H90" i="32"/>
  <c r="H51" i="32"/>
  <c r="G58" i="32"/>
  <c r="H66" i="32"/>
  <c r="H94" i="32"/>
  <c r="H84" i="32"/>
  <c r="G46" i="32"/>
  <c r="H72" i="32"/>
  <c r="H37" i="32"/>
  <c r="G20" i="32"/>
  <c r="H85" i="32"/>
  <c r="H52" i="32"/>
  <c r="T69" i="40"/>
  <c r="S29" i="40"/>
  <c r="T74" i="40"/>
  <c r="T70" i="40"/>
  <c r="T33" i="40"/>
  <c r="S35" i="40"/>
  <c r="T55" i="40"/>
  <c r="T54" i="40"/>
  <c r="S80" i="40"/>
  <c r="N79" i="39"/>
  <c r="N41" i="39"/>
  <c r="N21" i="39"/>
  <c r="S42" i="40"/>
  <c r="S38" i="40"/>
  <c r="T37" i="40"/>
  <c r="T82" i="40"/>
  <c r="T22" i="40"/>
  <c r="S79" i="40"/>
  <c r="S46" i="40"/>
  <c r="S88" i="40"/>
  <c r="S84" i="40"/>
  <c r="S25" i="40"/>
  <c r="S28" i="40"/>
  <c r="S31" i="40"/>
  <c r="T72" i="40"/>
  <c r="T59" i="40"/>
  <c r="T87" i="40"/>
  <c r="S57" i="40"/>
  <c r="T62" i="40"/>
  <c r="S54" i="40"/>
  <c r="T80" i="40"/>
  <c r="S20" i="40"/>
  <c r="N46" i="39"/>
  <c r="N54" i="39"/>
  <c r="N86" i="39"/>
  <c r="N32" i="39"/>
  <c r="N36" i="39"/>
  <c r="N29" i="39"/>
  <c r="N81" i="39"/>
  <c r="N71" i="39"/>
  <c r="N27" i="39"/>
  <c r="S67" i="40"/>
  <c r="S94" i="40"/>
  <c r="S63" i="40"/>
  <c r="T86" i="40"/>
  <c r="S64" i="40"/>
  <c r="S50" i="40"/>
  <c r="T71" i="40"/>
  <c r="T56" i="40"/>
  <c r="S23" i="40"/>
  <c r="S22" i="40"/>
  <c r="T30" i="40"/>
  <c r="S65" i="40"/>
  <c r="T91" i="40"/>
  <c r="T83" i="40"/>
  <c r="T79" i="40"/>
  <c r="T78" i="40"/>
  <c r="T46" i="40"/>
  <c r="I21" i="35"/>
  <c r="S44" i="40"/>
  <c r="S19" i="40"/>
  <c r="U19" i="40" s="1"/>
  <c r="T40" i="40"/>
  <c r="T34" i="40"/>
  <c r="S48" i="40"/>
  <c r="T36" i="40"/>
  <c r="T27" i="40"/>
  <c r="S96" i="40"/>
  <c r="T97" i="40"/>
  <c r="S72" i="40"/>
  <c r="S59" i="40"/>
  <c r="S87" i="40"/>
  <c r="T57" i="40"/>
  <c r="T47" i="40"/>
  <c r="T43" i="40"/>
  <c r="S92" i="40"/>
  <c r="S76" i="32"/>
  <c r="T68" i="32"/>
  <c r="T25" i="32"/>
  <c r="G93" i="40"/>
  <c r="G54" i="40"/>
  <c r="H27" i="40"/>
  <c r="G74" i="40"/>
  <c r="H54" i="40"/>
  <c r="G95" i="40"/>
  <c r="H45" i="40"/>
  <c r="G37" i="40"/>
  <c r="G36" i="40"/>
  <c r="H86" i="40"/>
  <c r="H30" i="40"/>
  <c r="H36" i="40"/>
  <c r="H93" i="40"/>
  <c r="H95" i="40"/>
  <c r="G29" i="40"/>
  <c r="H70" i="40"/>
  <c r="G70" i="40"/>
  <c r="G30" i="40"/>
  <c r="H64" i="40"/>
  <c r="H37" i="40"/>
  <c r="G86" i="40"/>
  <c r="H85" i="40"/>
  <c r="H60" i="40"/>
  <c r="G27" i="40"/>
  <c r="G56" i="40"/>
  <c r="H35" i="40"/>
  <c r="H74" i="40"/>
  <c r="H55" i="40"/>
  <c r="H58" i="40"/>
  <c r="H57" i="40"/>
  <c r="H65" i="40"/>
  <c r="G19" i="40"/>
  <c r="I19" i="40" s="1"/>
  <c r="G99" i="40"/>
  <c r="G77" i="40"/>
  <c r="G66" i="40"/>
  <c r="G92" i="40"/>
  <c r="G61" i="40"/>
  <c r="G57" i="40"/>
  <c r="G83" i="40"/>
  <c r="H97" i="40"/>
  <c r="H79" i="40"/>
  <c r="H92" i="40"/>
  <c r="H43" i="40"/>
  <c r="G98" i="40"/>
  <c r="H34" i="40"/>
  <c r="H19" i="40"/>
  <c r="J19" i="40" s="1"/>
  <c r="K19" i="40" s="1"/>
  <c r="K17" i="17" s="1"/>
  <c r="G96" i="40"/>
  <c r="G45" i="40"/>
  <c r="G23" i="40"/>
  <c r="G85" i="40"/>
  <c r="H56" i="40"/>
  <c r="G41" i="40"/>
  <c r="H26" i="40"/>
  <c r="G40" i="40"/>
  <c r="G81" i="40"/>
  <c r="G64" i="40"/>
  <c r="H66" i="40"/>
  <c r="H81" i="40"/>
  <c r="H33" i="40"/>
  <c r="H29" i="40"/>
  <c r="G58" i="40"/>
  <c r="H72" i="40"/>
  <c r="G33" i="40"/>
  <c r="H41" i="40"/>
  <c r="H94" i="40"/>
  <c r="G82" i="40"/>
  <c r="H99" i="40"/>
  <c r="G60" i="40"/>
  <c r="G72" i="40"/>
  <c r="G34" i="40"/>
  <c r="H48" i="40"/>
  <c r="H87" i="40"/>
  <c r="H83" i="40"/>
  <c r="G32" i="40"/>
  <c r="G55" i="40"/>
  <c r="G65" i="40"/>
  <c r="G35" i="40"/>
  <c r="H96" i="40"/>
  <c r="G28" i="40"/>
  <c r="H78" i="40"/>
  <c r="G47" i="40"/>
  <c r="H23" i="40"/>
  <c r="G90" i="40"/>
  <c r="H40" i="40"/>
  <c r="G97" i="40"/>
  <c r="G49" i="40"/>
  <c r="G21" i="40"/>
  <c r="H75" i="40"/>
  <c r="H91" i="40"/>
  <c r="H69" i="40"/>
  <c r="H61" i="40"/>
  <c r="G20" i="40"/>
  <c r="G94" i="40"/>
  <c r="H84" i="40"/>
  <c r="H76" i="40"/>
  <c r="G63" i="40"/>
  <c r="G38" i="40"/>
  <c r="G80" i="40"/>
  <c r="H88" i="40"/>
  <c r="H62" i="40"/>
  <c r="H20" i="40"/>
  <c r="G89" i="40"/>
  <c r="H32" i="40"/>
  <c r="H68" i="40"/>
  <c r="G71" i="40"/>
  <c r="G46" i="40"/>
  <c r="G59" i="40"/>
  <c r="H50" i="40"/>
  <c r="G31" i="40"/>
  <c r="H28" i="40"/>
  <c r="G78" i="40"/>
  <c r="H47" i="40"/>
  <c r="G87" i="40"/>
  <c r="G79" i="40"/>
  <c r="H53" i="40"/>
  <c r="H21" i="40"/>
  <c r="G69" i="40"/>
  <c r="G68" i="40"/>
  <c r="H63" i="40"/>
  <c r="H44" i="40"/>
  <c r="G51" i="40"/>
  <c r="G39" i="40"/>
  <c r="G73" i="40"/>
  <c r="H52" i="40"/>
  <c r="H31" i="40"/>
  <c r="H82" i="40"/>
  <c r="H49" i="40"/>
  <c r="H89" i="40"/>
  <c r="G24" i="40"/>
  <c r="G48" i="40"/>
  <c r="H90" i="40"/>
  <c r="G43" i="40"/>
  <c r="H98" i="40"/>
  <c r="H77" i="40"/>
  <c r="G84" i="40"/>
  <c r="H71" i="40"/>
  <c r="G67" i="40"/>
  <c r="H46" i="40"/>
  <c r="H38" i="40"/>
  <c r="H80" i="40"/>
  <c r="H25" i="40"/>
  <c r="G22" i="40"/>
  <c r="H59" i="40"/>
  <c r="G88" i="40"/>
  <c r="G62" i="40"/>
  <c r="G44" i="40"/>
  <c r="H51" i="40"/>
  <c r="H39" i="40"/>
  <c r="H73" i="40"/>
  <c r="G52" i="40"/>
  <c r="G53" i="40"/>
  <c r="H24" i="40"/>
  <c r="H67" i="40"/>
  <c r="H42" i="40"/>
  <c r="G25" i="40"/>
  <c r="H22" i="40"/>
  <c r="G26" i="40"/>
  <c r="G75" i="40"/>
  <c r="G91" i="40"/>
  <c r="G76" i="40"/>
  <c r="G42" i="40"/>
  <c r="G50" i="40"/>
  <c r="N48" i="39"/>
  <c r="C42" i="38"/>
  <c r="C29" i="38"/>
  <c r="N35" i="39"/>
  <c r="T81" i="40"/>
  <c r="S81" i="40"/>
  <c r="T53" i="40"/>
  <c r="S26" i="40"/>
  <c r="S73" i="40"/>
  <c r="S52" i="40"/>
  <c r="S32" i="40"/>
  <c r="T21" i="40"/>
  <c r="T68" i="40"/>
  <c r="S49" i="40"/>
  <c r="T90" i="40"/>
  <c r="T77" i="40"/>
  <c r="S85" i="40"/>
  <c r="T26" i="40"/>
  <c r="S77" i="40"/>
  <c r="S21" i="40"/>
  <c r="S68" i="40"/>
  <c r="S41" i="40"/>
  <c r="T49" i="40"/>
  <c r="S90" i="40"/>
  <c r="T52" i="40"/>
  <c r="T32" i="40"/>
  <c r="T45" i="40"/>
  <c r="T85" i="40"/>
  <c r="T41" i="40"/>
  <c r="T58" i="40"/>
  <c r="S45" i="40"/>
  <c r="S53" i="40"/>
  <c r="T73" i="40"/>
  <c r="S58" i="40"/>
  <c r="T62" i="32"/>
  <c r="S62" i="32"/>
  <c r="T88" i="32"/>
  <c r="S88" i="32"/>
  <c r="T55" i="32"/>
  <c r="S55" i="32"/>
  <c r="S53" i="32"/>
  <c r="T53" i="32"/>
  <c r="S87" i="32"/>
  <c r="T87" i="32"/>
  <c r="S31" i="32"/>
  <c r="T31" i="32"/>
  <c r="S59" i="32"/>
  <c r="T59" i="32"/>
  <c r="T66" i="32"/>
  <c r="S66" i="32"/>
  <c r="S27" i="32"/>
  <c r="T27" i="32"/>
  <c r="S57" i="32"/>
  <c r="T57" i="32"/>
  <c r="T71" i="32"/>
  <c r="S71" i="32"/>
  <c r="S58" i="32"/>
  <c r="T58" i="32"/>
  <c r="S83" i="32"/>
  <c r="T83" i="32"/>
  <c r="T94" i="32"/>
  <c r="S94" i="32"/>
  <c r="T60" i="32"/>
  <c r="S60" i="32"/>
  <c r="S89" i="32"/>
  <c r="T89" i="32"/>
  <c r="S34" i="32"/>
  <c r="T34" i="32"/>
  <c r="C74" i="38"/>
  <c r="N80" i="39"/>
  <c r="C71" i="38"/>
  <c r="N77" i="39"/>
  <c r="C82" i="38"/>
  <c r="N88" i="39"/>
  <c r="S52" i="32"/>
  <c r="T52" i="32"/>
  <c r="S44" i="32"/>
  <c r="T44" i="32"/>
  <c r="S97" i="32"/>
  <c r="T97" i="32"/>
  <c r="S43" i="32"/>
  <c r="T43" i="32"/>
  <c r="S33" i="32"/>
  <c r="T33" i="32"/>
  <c r="T24" i="32"/>
  <c r="S24" i="32"/>
  <c r="T51" i="32"/>
  <c r="S51" i="32"/>
  <c r="T28" i="32"/>
  <c r="S28" i="32"/>
  <c r="T22" i="32"/>
  <c r="S22" i="32"/>
  <c r="S19" i="32"/>
  <c r="U19" i="32" s="1"/>
  <c r="T19" i="32"/>
  <c r="V19" i="32" s="1"/>
  <c r="W19" i="32" s="1"/>
  <c r="W17" i="17" s="1"/>
  <c r="S40" i="32"/>
  <c r="T40" i="32"/>
  <c r="S32" i="32"/>
  <c r="T32" i="32"/>
  <c r="S77" i="32"/>
  <c r="T77" i="32"/>
  <c r="S21" i="32"/>
  <c r="T21" i="32"/>
  <c r="T73" i="32"/>
  <c r="S73" i="32"/>
  <c r="T37" i="32"/>
  <c r="S37" i="32"/>
  <c r="S65" i="32"/>
  <c r="T65" i="32"/>
  <c r="S89" i="40"/>
  <c r="T61" i="40"/>
  <c r="T88" i="40"/>
  <c r="T84" i="40"/>
  <c r="T25" i="40"/>
  <c r="T28" i="40"/>
  <c r="T31" i="40"/>
  <c r="S39" i="40"/>
  <c r="T75" i="40"/>
  <c r="S62" i="40"/>
  <c r="T20" i="40"/>
  <c r="N31" i="39"/>
  <c r="N60" i="39"/>
  <c r="S66" i="40"/>
  <c r="T60" i="40"/>
  <c r="S51" i="40"/>
  <c r="T76" i="40"/>
  <c r="U20" i="36"/>
  <c r="T23" i="40"/>
  <c r="S30" i="40"/>
  <c r="T65" i="40"/>
  <c r="S91" i="40"/>
  <c r="S83" i="40"/>
  <c r="S78" i="40"/>
  <c r="S74" i="40"/>
  <c r="S70" i="40"/>
  <c r="S33" i="40"/>
  <c r="N33" i="39"/>
  <c r="N47" i="39"/>
  <c r="N42" i="39"/>
  <c r="N57" i="39"/>
  <c r="N97" i="39"/>
  <c r="N50" i="39"/>
  <c r="N92" i="39"/>
  <c r="T67" i="40"/>
  <c r="T94" i="40"/>
  <c r="T63" i="40"/>
  <c r="S86" i="40"/>
  <c r="T64" i="40"/>
  <c r="T50" i="40"/>
  <c r="S71" i="40"/>
  <c r="S56" i="40"/>
  <c r="S99" i="40"/>
  <c r="S95" i="40"/>
  <c r="T93" i="40"/>
  <c r="T98" i="40"/>
  <c r="T89" i="40"/>
  <c r="S69" i="40"/>
  <c r="S61" i="40"/>
  <c r="T29" i="40"/>
  <c r="S25" i="32"/>
  <c r="T44" i="40"/>
  <c r="T19" i="40"/>
  <c r="V19" i="40" s="1"/>
  <c r="W19" i="40" s="1"/>
  <c r="AB17" i="17" s="1"/>
  <c r="S40" i="40"/>
  <c r="S34" i="40"/>
  <c r="T48" i="40"/>
  <c r="S36" i="40"/>
  <c r="S27" i="40"/>
  <c r="T96" i="40"/>
  <c r="S97" i="40"/>
  <c r="T39" i="40"/>
  <c r="T35" i="40"/>
  <c r="S75" i="40"/>
  <c r="S55" i="40"/>
  <c r="S47" i="40"/>
  <c r="S43" i="40"/>
  <c r="T92" i="40"/>
  <c r="S24" i="40"/>
  <c r="T30" i="32"/>
  <c r="S63" i="32"/>
  <c r="V20" i="34"/>
  <c r="W20" i="34" s="1"/>
  <c r="X18" i="17" s="1"/>
  <c r="U20" i="34"/>
  <c r="V21" i="34" s="1"/>
  <c r="W21" i="34" s="1"/>
  <c r="X19" i="17" s="1"/>
  <c r="I20" i="40" l="1"/>
  <c r="I21" i="40" s="1"/>
  <c r="J22" i="40" s="1"/>
  <c r="K22" i="40" s="1"/>
  <c r="K20" i="17" s="1"/>
  <c r="K13" i="38"/>
  <c r="I20" i="34"/>
  <c r="I21" i="34" s="1"/>
  <c r="I22" i="34" s="1"/>
  <c r="J23" i="34" s="1"/>
  <c r="K23" i="34" s="1"/>
  <c r="G21" i="17" s="1"/>
  <c r="J20" i="34"/>
  <c r="L13" i="38" s="1"/>
  <c r="V20" i="18"/>
  <c r="W20" i="18" s="1"/>
  <c r="T18" i="17" s="1"/>
  <c r="G16" i="38"/>
  <c r="G17" i="38" s="1"/>
  <c r="G18" i="38" s="1"/>
  <c r="G19" i="38" s="1"/>
  <c r="G20" i="38" s="1"/>
  <c r="G21" i="38" s="1"/>
  <c r="G22" i="38" s="1"/>
  <c r="G23" i="38" s="1"/>
  <c r="G24" i="38" s="1"/>
  <c r="G25" i="38" s="1"/>
  <c r="G26" i="38" s="1"/>
  <c r="G27" i="38" s="1"/>
  <c r="G28" i="38" s="1"/>
  <c r="G29" i="38" s="1"/>
  <c r="G30" i="38" s="1"/>
  <c r="G31" i="38" s="1"/>
  <c r="G32" i="38" s="1"/>
  <c r="G33" i="38" s="1"/>
  <c r="G34" i="38" s="1"/>
  <c r="G35" i="38" s="1"/>
  <c r="G36" i="38" s="1"/>
  <c r="G37" i="38" s="1"/>
  <c r="G38" i="38" s="1"/>
  <c r="G39" i="38" s="1"/>
  <c r="G40" i="38" s="1"/>
  <c r="G41" i="38" s="1"/>
  <c r="G42" i="38" s="1"/>
  <c r="G43" i="38" s="1"/>
  <c r="G44" i="38" s="1"/>
  <c r="G45" i="38" s="1"/>
  <c r="G46" i="38" s="1"/>
  <c r="G47" i="38" s="1"/>
  <c r="G48" i="38" s="1"/>
  <c r="G49" i="38" s="1"/>
  <c r="G50" i="38" s="1"/>
  <c r="G51" i="38" s="1"/>
  <c r="G52" i="38" s="1"/>
  <c r="G53" i="38" s="1"/>
  <c r="G54" i="38" s="1"/>
  <c r="G55" i="38" s="1"/>
  <c r="G56" i="38" s="1"/>
  <c r="G57" i="38" s="1"/>
  <c r="G58" i="38" s="1"/>
  <c r="G59" i="38" s="1"/>
  <c r="G60" i="38" s="1"/>
  <c r="G61" i="38" s="1"/>
  <c r="G62" i="38" s="1"/>
  <c r="G63" i="38" s="1"/>
  <c r="G64" i="38" s="1"/>
  <c r="G65" i="38" s="1"/>
  <c r="G66" i="38" s="1"/>
  <c r="G67" i="38" s="1"/>
  <c r="G68" i="38" s="1"/>
  <c r="G69" i="38" s="1"/>
  <c r="G70" i="38" s="1"/>
  <c r="G71" i="38" s="1"/>
  <c r="G72" i="38" s="1"/>
  <c r="G73" i="38" s="1"/>
  <c r="G74" i="38" s="1"/>
  <c r="G75" i="38" s="1"/>
  <c r="G76" i="38" s="1"/>
  <c r="G77" i="38" s="1"/>
  <c r="G78" i="38" s="1"/>
  <c r="G79" i="38" s="1"/>
  <c r="G80" i="38" s="1"/>
  <c r="G81" i="38" s="1"/>
  <c r="G82" i="38" s="1"/>
  <c r="G83" i="38" s="1"/>
  <c r="G84" i="38" s="1"/>
  <c r="G85" i="38" s="1"/>
  <c r="G86" i="38" s="1"/>
  <c r="G87" i="38" s="1"/>
  <c r="G88" i="38" s="1"/>
  <c r="G89" i="38" s="1"/>
  <c r="G90" i="38" s="1"/>
  <c r="G91" i="38" s="1"/>
  <c r="G92" i="38" s="1"/>
  <c r="J22" i="31"/>
  <c r="K15" i="38" s="1"/>
  <c r="J23" i="36"/>
  <c r="K23" i="36" s="1"/>
  <c r="I21" i="17" s="1"/>
  <c r="J21" i="36"/>
  <c r="K21" i="36" s="1"/>
  <c r="I19" i="17" s="1"/>
  <c r="O23" i="31"/>
  <c r="O23" i="35"/>
  <c r="B23" i="40"/>
  <c r="B23" i="35"/>
  <c r="B19" i="7"/>
  <c r="B23" i="32"/>
  <c r="O23" i="18"/>
  <c r="O23" i="33"/>
  <c r="B23" i="18"/>
  <c r="B23" i="34"/>
  <c r="O23" i="32"/>
  <c r="B23" i="33"/>
  <c r="O23" i="36"/>
  <c r="O23" i="37"/>
  <c r="B23" i="36"/>
  <c r="B23" i="37"/>
  <c r="O23" i="34"/>
  <c r="O23" i="40"/>
  <c r="B23" i="31"/>
  <c r="H18" i="38"/>
  <c r="H19" i="38" s="1"/>
  <c r="H20" i="38" s="1"/>
  <c r="H21" i="38" s="1"/>
  <c r="H22" i="38" s="1"/>
  <c r="H23" i="38" s="1"/>
  <c r="H24" i="38" s="1"/>
  <c r="H25" i="38" s="1"/>
  <c r="H26" i="38" s="1"/>
  <c r="H27" i="38" s="1"/>
  <c r="H28" i="38" s="1"/>
  <c r="H29" i="38" s="1"/>
  <c r="H30" i="38" s="1"/>
  <c r="H31" i="38" s="1"/>
  <c r="H32" i="38" s="1"/>
  <c r="H33" i="38" s="1"/>
  <c r="H34" i="38" s="1"/>
  <c r="H35" i="38" s="1"/>
  <c r="H36" i="38" s="1"/>
  <c r="H37" i="38" s="1"/>
  <c r="H38" i="38" s="1"/>
  <c r="H39" i="38" s="1"/>
  <c r="H40" i="38" s="1"/>
  <c r="H41" i="38" s="1"/>
  <c r="H42" i="38" s="1"/>
  <c r="H43" i="38" s="1"/>
  <c r="H44" i="38" s="1"/>
  <c r="H45" i="38" s="1"/>
  <c r="H46" i="38" s="1"/>
  <c r="H47" i="38" s="1"/>
  <c r="H48" i="38" s="1"/>
  <c r="H49" i="38" s="1"/>
  <c r="H50" i="38" s="1"/>
  <c r="H51" i="38" s="1"/>
  <c r="H52" i="38" s="1"/>
  <c r="H53" i="38" s="1"/>
  <c r="H54" i="38" s="1"/>
  <c r="H55" i="38" s="1"/>
  <c r="H56" i="38" s="1"/>
  <c r="H57" i="38" s="1"/>
  <c r="H58" i="38" s="1"/>
  <c r="H59" i="38" s="1"/>
  <c r="H60" i="38" s="1"/>
  <c r="H61" i="38" s="1"/>
  <c r="H62" i="38" s="1"/>
  <c r="H63" i="38" s="1"/>
  <c r="H64" i="38" s="1"/>
  <c r="H65" i="38" s="1"/>
  <c r="H66" i="38" s="1"/>
  <c r="H67" i="38" s="1"/>
  <c r="H68" i="38" s="1"/>
  <c r="H69" i="38" s="1"/>
  <c r="H70" i="38" s="1"/>
  <c r="H71" i="38" s="1"/>
  <c r="H72" i="38" s="1"/>
  <c r="H73" i="38" s="1"/>
  <c r="H74" i="38" s="1"/>
  <c r="H75" i="38" s="1"/>
  <c r="H76" i="38" s="1"/>
  <c r="H77" i="38" s="1"/>
  <c r="H78" i="38" s="1"/>
  <c r="H79" i="38" s="1"/>
  <c r="H80" i="38" s="1"/>
  <c r="H81" i="38" s="1"/>
  <c r="H82" i="38" s="1"/>
  <c r="H83" i="38" s="1"/>
  <c r="H84" i="38" s="1"/>
  <c r="H85" i="38" s="1"/>
  <c r="H86" i="38" s="1"/>
  <c r="H87" i="38" s="1"/>
  <c r="H88" i="38" s="1"/>
  <c r="H89" i="38" s="1"/>
  <c r="H90" i="38" s="1"/>
  <c r="H91" i="38" s="1"/>
  <c r="H92" i="38" s="1"/>
  <c r="K19" i="31"/>
  <c r="D17" i="17" s="1"/>
  <c r="U20" i="37"/>
  <c r="U21" i="37" s="1"/>
  <c r="AC17" i="17"/>
  <c r="AF17" i="17" s="1"/>
  <c r="J22" i="36"/>
  <c r="K22" i="36" s="1"/>
  <c r="I20" i="17" s="1"/>
  <c r="J20" i="33"/>
  <c r="K20" i="33" s="1"/>
  <c r="H18" i="17" s="1"/>
  <c r="V20" i="31"/>
  <c r="W20" i="31" s="1"/>
  <c r="U18" i="17" s="1"/>
  <c r="J21" i="37"/>
  <c r="K21" i="37" s="1"/>
  <c r="J19" i="17" s="1"/>
  <c r="U20" i="33"/>
  <c r="V20" i="33"/>
  <c r="W20" i="33" s="1"/>
  <c r="Y18" i="17" s="1"/>
  <c r="I23" i="36"/>
  <c r="J24" i="36" s="1"/>
  <c r="K24" i="36" s="1"/>
  <c r="I22" i="17" s="1"/>
  <c r="U21" i="18"/>
  <c r="U22" i="18" s="1"/>
  <c r="I20" i="33"/>
  <c r="I21" i="33" s="1"/>
  <c r="I21" i="37"/>
  <c r="I22" i="37" s="1"/>
  <c r="V21" i="31"/>
  <c r="W21" i="31" s="1"/>
  <c r="U19" i="17" s="1"/>
  <c r="U22" i="35"/>
  <c r="V23" i="35" s="1"/>
  <c r="W23" i="35" s="1"/>
  <c r="V21" i="17" s="1"/>
  <c r="U21" i="34"/>
  <c r="V22" i="34" s="1"/>
  <c r="W22" i="34" s="1"/>
  <c r="X20" i="17" s="1"/>
  <c r="O19" i="39"/>
  <c r="O20" i="39" s="1"/>
  <c r="O21" i="39" s="1"/>
  <c r="O22" i="39" s="1"/>
  <c r="O23" i="39" s="1"/>
  <c r="O24" i="39" s="1"/>
  <c r="O25" i="39" s="1"/>
  <c r="O26" i="39" s="1"/>
  <c r="O27" i="39" s="1"/>
  <c r="O28" i="39" s="1"/>
  <c r="O29" i="39" s="1"/>
  <c r="O30" i="39" s="1"/>
  <c r="O31" i="39" s="1"/>
  <c r="O32" i="39" s="1"/>
  <c r="O33" i="39" s="1"/>
  <c r="O34" i="39" s="1"/>
  <c r="O35" i="39" s="1"/>
  <c r="O36" i="39" s="1"/>
  <c r="O37" i="39" s="1"/>
  <c r="O38" i="39" s="1"/>
  <c r="O39" i="39" s="1"/>
  <c r="O40" i="39" s="1"/>
  <c r="O41" i="39" s="1"/>
  <c r="O42" i="39" s="1"/>
  <c r="O43" i="39" s="1"/>
  <c r="O44" i="39" s="1"/>
  <c r="O45" i="39" s="1"/>
  <c r="O46" i="39" s="1"/>
  <c r="O47" i="39" s="1"/>
  <c r="O48" i="39" s="1"/>
  <c r="O49" i="39" s="1"/>
  <c r="O50" i="39" s="1"/>
  <c r="O51" i="39" s="1"/>
  <c r="O52" i="39" s="1"/>
  <c r="O53" i="39" s="1"/>
  <c r="O54" i="39" s="1"/>
  <c r="O55" i="39" s="1"/>
  <c r="O56" i="39" s="1"/>
  <c r="O57" i="39" s="1"/>
  <c r="O58" i="39" s="1"/>
  <c r="O59" i="39" s="1"/>
  <c r="O60" i="39" s="1"/>
  <c r="O61" i="39" s="1"/>
  <c r="O62" i="39" s="1"/>
  <c r="O63" i="39" s="1"/>
  <c r="O64" i="39" s="1"/>
  <c r="O65" i="39" s="1"/>
  <c r="O66" i="39" s="1"/>
  <c r="O67" i="39" s="1"/>
  <c r="O68" i="39" s="1"/>
  <c r="O69" i="39" s="1"/>
  <c r="O70" i="39" s="1"/>
  <c r="O71" i="39" s="1"/>
  <c r="O72" i="39" s="1"/>
  <c r="O73" i="39" s="1"/>
  <c r="O74" i="39" s="1"/>
  <c r="O75" i="39" s="1"/>
  <c r="O76" i="39" s="1"/>
  <c r="O77" i="39" s="1"/>
  <c r="O78" i="39" s="1"/>
  <c r="O79" i="39" s="1"/>
  <c r="O80" i="39" s="1"/>
  <c r="O81" i="39" s="1"/>
  <c r="O82" i="39" s="1"/>
  <c r="O83" i="39" s="1"/>
  <c r="O84" i="39" s="1"/>
  <c r="O85" i="39" s="1"/>
  <c r="O86" i="39" s="1"/>
  <c r="O87" i="39" s="1"/>
  <c r="O88" i="39" s="1"/>
  <c r="O89" i="39" s="1"/>
  <c r="O90" i="39" s="1"/>
  <c r="O91" i="39" s="1"/>
  <c r="O92" i="39" s="1"/>
  <c r="O93" i="39" s="1"/>
  <c r="O94" i="39" s="1"/>
  <c r="O95" i="39" s="1"/>
  <c r="O96" i="39" s="1"/>
  <c r="O97" i="39" s="1"/>
  <c r="O98" i="39" s="1"/>
  <c r="K21" i="31"/>
  <c r="D19" i="17" s="1"/>
  <c r="U22" i="31"/>
  <c r="F18" i="38"/>
  <c r="F19" i="38" s="1"/>
  <c r="F20" i="38" s="1"/>
  <c r="F21" i="38" s="1"/>
  <c r="F22" i="38" s="1"/>
  <c r="F23" i="38" s="1"/>
  <c r="F24" i="38" s="1"/>
  <c r="F25" i="38" s="1"/>
  <c r="F26" i="38" s="1"/>
  <c r="F27" i="38" s="1"/>
  <c r="F28" i="38" s="1"/>
  <c r="F29" i="38" s="1"/>
  <c r="F30" i="38" s="1"/>
  <c r="F31" i="38" s="1"/>
  <c r="F32" i="38" s="1"/>
  <c r="F33" i="38" s="1"/>
  <c r="F34" i="38" s="1"/>
  <c r="F35" i="38" s="1"/>
  <c r="F36" i="38" s="1"/>
  <c r="F37" i="38" s="1"/>
  <c r="F38" i="38" s="1"/>
  <c r="F39" i="38" s="1"/>
  <c r="F40" i="38" s="1"/>
  <c r="F41" i="38" s="1"/>
  <c r="F42" i="38" s="1"/>
  <c r="F43" i="38" s="1"/>
  <c r="F44" i="38" s="1"/>
  <c r="F45" i="38" s="1"/>
  <c r="F46" i="38" s="1"/>
  <c r="F47" i="38" s="1"/>
  <c r="F48" i="38" s="1"/>
  <c r="F49" i="38" s="1"/>
  <c r="F50" i="38" s="1"/>
  <c r="F51" i="38" s="1"/>
  <c r="F52" i="38" s="1"/>
  <c r="F53" i="38" s="1"/>
  <c r="F54" i="38" s="1"/>
  <c r="F55" i="38" s="1"/>
  <c r="F56" i="38" s="1"/>
  <c r="F57" i="38" s="1"/>
  <c r="F58" i="38" s="1"/>
  <c r="F59" i="38" s="1"/>
  <c r="F60" i="38" s="1"/>
  <c r="F61" i="38" s="1"/>
  <c r="F62" i="38" s="1"/>
  <c r="F63" i="38" s="1"/>
  <c r="F64" i="38" s="1"/>
  <c r="F65" i="38" s="1"/>
  <c r="F66" i="38" s="1"/>
  <c r="F67" i="38" s="1"/>
  <c r="F68" i="38" s="1"/>
  <c r="F69" i="38" s="1"/>
  <c r="F70" i="38" s="1"/>
  <c r="F71" i="38" s="1"/>
  <c r="F72" i="38" s="1"/>
  <c r="F73" i="38" s="1"/>
  <c r="F74" i="38" s="1"/>
  <c r="F75" i="38" s="1"/>
  <c r="F76" i="38" s="1"/>
  <c r="F77" i="38" s="1"/>
  <c r="F78" i="38" s="1"/>
  <c r="F79" i="38" s="1"/>
  <c r="F80" i="38" s="1"/>
  <c r="F81" i="38" s="1"/>
  <c r="F82" i="38" s="1"/>
  <c r="F83" i="38" s="1"/>
  <c r="F84" i="38" s="1"/>
  <c r="F85" i="38" s="1"/>
  <c r="F86" i="38" s="1"/>
  <c r="F87" i="38" s="1"/>
  <c r="F88" i="38" s="1"/>
  <c r="F89" i="38" s="1"/>
  <c r="F90" i="38" s="1"/>
  <c r="F91" i="38" s="1"/>
  <c r="F92" i="38" s="1"/>
  <c r="I22" i="31"/>
  <c r="J23" i="31" s="1"/>
  <c r="K16" i="38" s="1"/>
  <c r="J20" i="40"/>
  <c r="K20" i="40" s="1"/>
  <c r="K18" i="17" s="1"/>
  <c r="K19" i="32"/>
  <c r="F17" i="17" s="1"/>
  <c r="J12" i="38"/>
  <c r="J22" i="35"/>
  <c r="K22" i="35" s="1"/>
  <c r="E20" i="17" s="1"/>
  <c r="I22" i="35"/>
  <c r="I21" i="18"/>
  <c r="V20" i="32"/>
  <c r="W20" i="32" s="1"/>
  <c r="W18" i="17" s="1"/>
  <c r="U20" i="40"/>
  <c r="V21" i="40" s="1"/>
  <c r="W21" i="40" s="1"/>
  <c r="AB19" i="17" s="1"/>
  <c r="I20" i="32"/>
  <c r="J21" i="32" s="1"/>
  <c r="J20" i="32"/>
  <c r="U21" i="36"/>
  <c r="V21" i="36"/>
  <c r="W21" i="36" s="1"/>
  <c r="Z19" i="17" s="1"/>
  <c r="V20" i="40"/>
  <c r="W20" i="40" s="1"/>
  <c r="AB18" i="17" s="1"/>
  <c r="U20" i="32"/>
  <c r="V21" i="32" s="1"/>
  <c r="W21" i="32" s="1"/>
  <c r="W19" i="17" s="1"/>
  <c r="J21" i="40" l="1"/>
  <c r="K21" i="40" s="1"/>
  <c r="K19" i="17" s="1"/>
  <c r="J22" i="34"/>
  <c r="L15" i="38" s="1"/>
  <c r="J21" i="34"/>
  <c r="L14" i="38" s="1"/>
  <c r="L17" i="17"/>
  <c r="E12" i="28" s="1"/>
  <c r="M12" i="38" s="1"/>
  <c r="K22" i="31"/>
  <c r="D20" i="17" s="1"/>
  <c r="K20" i="34"/>
  <c r="G18" i="17" s="1"/>
  <c r="L16" i="38"/>
  <c r="I23" i="34"/>
  <c r="J24" i="34" s="1"/>
  <c r="K24" i="34" s="1"/>
  <c r="G22" i="17" s="1"/>
  <c r="B24" i="37"/>
  <c r="B24" i="40"/>
  <c r="O24" i="37"/>
  <c r="B24" i="31"/>
  <c r="O24" i="18"/>
  <c r="B24" i="35"/>
  <c r="B24" i="33"/>
  <c r="B24" i="32"/>
  <c r="O24" i="32"/>
  <c r="B24" i="34"/>
  <c r="O24" i="31"/>
  <c r="O24" i="33"/>
  <c r="B24" i="36"/>
  <c r="B20" i="7"/>
  <c r="O24" i="36"/>
  <c r="O24" i="35"/>
  <c r="B24" i="18"/>
  <c r="O24" i="40"/>
  <c r="O24" i="34"/>
  <c r="V21" i="37"/>
  <c r="W21" i="37" s="1"/>
  <c r="AA19" i="17" s="1"/>
  <c r="V22" i="37"/>
  <c r="W22" i="37" s="1"/>
  <c r="AA20" i="17" s="1"/>
  <c r="U22" i="37"/>
  <c r="V22" i="18"/>
  <c r="W22" i="18" s="1"/>
  <c r="T20" i="17" s="1"/>
  <c r="AC18" i="17"/>
  <c r="AF18" i="17" s="1"/>
  <c r="U23" i="35"/>
  <c r="U24" i="35" s="1"/>
  <c r="J21" i="33"/>
  <c r="K21" i="33" s="1"/>
  <c r="H19" i="17" s="1"/>
  <c r="J22" i="37"/>
  <c r="K22" i="37" s="1"/>
  <c r="J20" i="17" s="1"/>
  <c r="I24" i="36"/>
  <c r="J25" i="36" s="1"/>
  <c r="K25" i="36" s="1"/>
  <c r="I23" i="17" s="1"/>
  <c r="K23" i="31"/>
  <c r="D21" i="17" s="1"/>
  <c r="I22" i="33"/>
  <c r="J23" i="33" s="1"/>
  <c r="K23" i="33" s="1"/>
  <c r="H21" i="17" s="1"/>
  <c r="J22" i="33"/>
  <c r="K22" i="33" s="1"/>
  <c r="H20" i="17" s="1"/>
  <c r="V21" i="33"/>
  <c r="W21" i="33" s="1"/>
  <c r="Y19" i="17" s="1"/>
  <c r="U21" i="33"/>
  <c r="U21" i="40"/>
  <c r="V22" i="40" s="1"/>
  <c r="W22" i="40" s="1"/>
  <c r="AB20" i="17" s="1"/>
  <c r="U22" i="34"/>
  <c r="U23" i="34" s="1"/>
  <c r="U23" i="31"/>
  <c r="V23" i="31"/>
  <c r="W23" i="31" s="1"/>
  <c r="U21" i="17" s="1"/>
  <c r="I23" i="31"/>
  <c r="U21" i="32"/>
  <c r="U23" i="18"/>
  <c r="V23" i="18"/>
  <c r="W23" i="18" s="1"/>
  <c r="T21" i="17" s="1"/>
  <c r="K21" i="32"/>
  <c r="F19" i="17" s="1"/>
  <c r="J14" i="38"/>
  <c r="J22" i="18"/>
  <c r="K22" i="18" s="1"/>
  <c r="C20" i="17" s="1"/>
  <c r="I22" i="18"/>
  <c r="J13" i="38"/>
  <c r="K20" i="32"/>
  <c r="F18" i="17" s="1"/>
  <c r="V22" i="36"/>
  <c r="W22" i="36" s="1"/>
  <c r="Z20" i="17" s="1"/>
  <c r="U22" i="36"/>
  <c r="J23" i="35"/>
  <c r="K23" i="35" s="1"/>
  <c r="E21" i="17" s="1"/>
  <c r="I23" i="35"/>
  <c r="I22" i="40"/>
  <c r="I21" i="32"/>
  <c r="J23" i="37"/>
  <c r="K23" i="37" s="1"/>
  <c r="J21" i="17" s="1"/>
  <c r="I23" i="37"/>
  <c r="K22" i="34" l="1"/>
  <c r="G20" i="17" s="1"/>
  <c r="K21" i="34"/>
  <c r="G19" i="17" s="1"/>
  <c r="L19" i="17" s="1"/>
  <c r="O19" i="17" s="1"/>
  <c r="O17" i="17"/>
  <c r="L17" i="38"/>
  <c r="L18" i="17"/>
  <c r="E13" i="28" s="1"/>
  <c r="M13" i="38" s="1"/>
  <c r="I24" i="34"/>
  <c r="J25" i="34" s="1"/>
  <c r="K25" i="34" s="1"/>
  <c r="G23" i="17" s="1"/>
  <c r="V24" i="35"/>
  <c r="W24" i="35" s="1"/>
  <c r="V22" i="17" s="1"/>
  <c r="B25" i="32"/>
  <c r="B25" i="36"/>
  <c r="B25" i="37"/>
  <c r="O25" i="40"/>
  <c r="O25" i="37"/>
  <c r="O25" i="34"/>
  <c r="B21" i="7"/>
  <c r="B25" i="34"/>
  <c r="B25" i="31"/>
  <c r="O25" i="18"/>
  <c r="B25" i="35"/>
  <c r="O25" i="36"/>
  <c r="O25" i="33"/>
  <c r="B25" i="18"/>
  <c r="B25" i="33"/>
  <c r="O25" i="31"/>
  <c r="B25" i="40"/>
  <c r="O25" i="35"/>
  <c r="O25" i="32"/>
  <c r="AC19" i="17"/>
  <c r="AF19" i="17" s="1"/>
  <c r="U22" i="40"/>
  <c r="U23" i="40" s="1"/>
  <c r="V23" i="37"/>
  <c r="W23" i="37" s="1"/>
  <c r="AA21" i="17" s="1"/>
  <c r="U23" i="37"/>
  <c r="I23" i="33"/>
  <c r="I24" i="33" s="1"/>
  <c r="V23" i="34"/>
  <c r="W23" i="34" s="1"/>
  <c r="X21" i="17" s="1"/>
  <c r="I25" i="36"/>
  <c r="J26" i="36" s="1"/>
  <c r="K26" i="36" s="1"/>
  <c r="I24" i="17" s="1"/>
  <c r="U22" i="33"/>
  <c r="V22" i="33"/>
  <c r="W22" i="33" s="1"/>
  <c r="Y20" i="17" s="1"/>
  <c r="U24" i="31"/>
  <c r="V24" i="31"/>
  <c r="W24" i="31" s="1"/>
  <c r="U22" i="17" s="1"/>
  <c r="J24" i="31"/>
  <c r="I24" i="31"/>
  <c r="V24" i="18"/>
  <c r="W24" i="18" s="1"/>
  <c r="T22" i="17" s="1"/>
  <c r="U24" i="18"/>
  <c r="V22" i="32"/>
  <c r="W22" i="32" s="1"/>
  <c r="W20" i="17" s="1"/>
  <c r="U22" i="32"/>
  <c r="J24" i="35"/>
  <c r="K24" i="35" s="1"/>
  <c r="E22" i="17" s="1"/>
  <c r="I24" i="35"/>
  <c r="U23" i="36"/>
  <c r="V23" i="36"/>
  <c r="W23" i="36" s="1"/>
  <c r="Z21" i="17" s="1"/>
  <c r="J23" i="18"/>
  <c r="K23" i="18" s="1"/>
  <c r="C21" i="17" s="1"/>
  <c r="I23" i="18"/>
  <c r="O12" i="38"/>
  <c r="N12" i="38"/>
  <c r="I23" i="40"/>
  <c r="J23" i="40"/>
  <c r="K23" i="40" s="1"/>
  <c r="K21" i="17" s="1"/>
  <c r="V24" i="34"/>
  <c r="W24" i="34" s="1"/>
  <c r="X22" i="17" s="1"/>
  <c r="U24" i="34"/>
  <c r="J22" i="32"/>
  <c r="I22" i="32"/>
  <c r="V25" i="35"/>
  <c r="W25" i="35" s="1"/>
  <c r="V23" i="17" s="1"/>
  <c r="U25" i="35"/>
  <c r="I24" i="37"/>
  <c r="J24" i="37"/>
  <c r="K24" i="37" s="1"/>
  <c r="J22" i="17" s="1"/>
  <c r="O18" i="17" l="1"/>
  <c r="L18" i="38"/>
  <c r="I25" i="34"/>
  <c r="I26" i="34" s="1"/>
  <c r="J27" i="34" s="1"/>
  <c r="E14" i="28"/>
  <c r="M14" i="38" s="1"/>
  <c r="J24" i="33"/>
  <c r="K24" i="33" s="1"/>
  <c r="H22" i="17" s="1"/>
  <c r="O26" i="40"/>
  <c r="B26" i="37"/>
  <c r="O26" i="37"/>
  <c r="O26" i="33"/>
  <c r="B26" i="33"/>
  <c r="B26" i="31"/>
  <c r="O26" i="32"/>
  <c r="B26" i="40"/>
  <c r="B22" i="7"/>
  <c r="O26" i="34"/>
  <c r="B26" i="36"/>
  <c r="O26" i="18"/>
  <c r="B26" i="35"/>
  <c r="B26" i="18"/>
  <c r="O26" i="35"/>
  <c r="B26" i="34"/>
  <c r="O26" i="31"/>
  <c r="O26" i="36"/>
  <c r="B26" i="32"/>
  <c r="V23" i="40"/>
  <c r="W23" i="40" s="1"/>
  <c r="AB21" i="17" s="1"/>
  <c r="V24" i="37"/>
  <c r="W24" i="37" s="1"/>
  <c r="AA22" i="17" s="1"/>
  <c r="U24" i="37"/>
  <c r="I26" i="36"/>
  <c r="J27" i="36" s="1"/>
  <c r="K27" i="36" s="1"/>
  <c r="I25" i="17" s="1"/>
  <c r="AC20" i="17"/>
  <c r="AF20" i="17" s="1"/>
  <c r="U23" i="33"/>
  <c r="V23" i="33"/>
  <c r="W23" i="33" s="1"/>
  <c r="Y21" i="17" s="1"/>
  <c r="U25" i="31"/>
  <c r="V25" i="31"/>
  <c r="W25" i="31" s="1"/>
  <c r="U23" i="17" s="1"/>
  <c r="J25" i="31"/>
  <c r="I25" i="31"/>
  <c r="K17" i="38"/>
  <c r="K24" i="31"/>
  <c r="D22" i="17" s="1"/>
  <c r="V23" i="32"/>
  <c r="W23" i="32" s="1"/>
  <c r="W21" i="17" s="1"/>
  <c r="U23" i="32"/>
  <c r="V25" i="18"/>
  <c r="W25" i="18" s="1"/>
  <c r="T23" i="17" s="1"/>
  <c r="U25" i="18"/>
  <c r="V24" i="40"/>
  <c r="W24" i="40" s="1"/>
  <c r="AB22" i="17" s="1"/>
  <c r="U24" i="40"/>
  <c r="J23" i="32"/>
  <c r="I23" i="32"/>
  <c r="I24" i="40"/>
  <c r="J24" i="40"/>
  <c r="K24" i="40" s="1"/>
  <c r="K22" i="17" s="1"/>
  <c r="I25" i="33"/>
  <c r="J25" i="33"/>
  <c r="K25" i="33" s="1"/>
  <c r="H23" i="17" s="1"/>
  <c r="I24" i="18"/>
  <c r="J24" i="18"/>
  <c r="K24" i="18" s="1"/>
  <c r="C22" i="17" s="1"/>
  <c r="O13" i="38"/>
  <c r="N13" i="38"/>
  <c r="J15" i="38"/>
  <c r="K22" i="32"/>
  <c r="F20" i="17" s="1"/>
  <c r="L20" i="17" s="1"/>
  <c r="U25" i="34"/>
  <c r="V25" i="34"/>
  <c r="W25" i="34" s="1"/>
  <c r="X23" i="17" s="1"/>
  <c r="I25" i="35"/>
  <c r="J25" i="35"/>
  <c r="K25" i="35" s="1"/>
  <c r="E23" i="17" s="1"/>
  <c r="V24" i="36"/>
  <c r="W24" i="36" s="1"/>
  <c r="Z22" i="17" s="1"/>
  <c r="U24" i="36"/>
  <c r="U26" i="35"/>
  <c r="V26" i="35"/>
  <c r="W26" i="35" s="1"/>
  <c r="V24" i="17" s="1"/>
  <c r="J25" i="37"/>
  <c r="K25" i="37" s="1"/>
  <c r="J23" i="17" s="1"/>
  <c r="I25" i="37"/>
  <c r="N14" i="38" l="1"/>
  <c r="J26" i="34"/>
  <c r="K26" i="34" s="1"/>
  <c r="G24" i="17" s="1"/>
  <c r="O14" i="38"/>
  <c r="I27" i="34"/>
  <c r="J28" i="34" s="1"/>
  <c r="B27" i="33"/>
  <c r="B27" i="40"/>
  <c r="B27" i="32"/>
  <c r="B27" i="31"/>
  <c r="O27" i="40"/>
  <c r="B23" i="7"/>
  <c r="O27" i="18"/>
  <c r="O27" i="35"/>
  <c r="O27" i="37"/>
  <c r="B27" i="37"/>
  <c r="B27" i="18"/>
  <c r="O27" i="32"/>
  <c r="O27" i="33"/>
  <c r="B27" i="36"/>
  <c r="O27" i="34"/>
  <c r="O27" i="31"/>
  <c r="B27" i="35"/>
  <c r="O27" i="36"/>
  <c r="B27" i="34"/>
  <c r="U25" i="37"/>
  <c r="V25" i="37"/>
  <c r="W25" i="37" s="1"/>
  <c r="AA23" i="17" s="1"/>
  <c r="L19" i="38"/>
  <c r="I27" i="36"/>
  <c r="J28" i="36" s="1"/>
  <c r="K28" i="36" s="1"/>
  <c r="I26" i="17" s="1"/>
  <c r="AC21" i="17"/>
  <c r="AF21" i="17" s="1"/>
  <c r="V24" i="33"/>
  <c r="W24" i="33" s="1"/>
  <c r="Y22" i="17" s="1"/>
  <c r="U24" i="33"/>
  <c r="V26" i="31"/>
  <c r="W26" i="31" s="1"/>
  <c r="U24" i="17" s="1"/>
  <c r="U26" i="31"/>
  <c r="J26" i="31"/>
  <c r="I26" i="31"/>
  <c r="K18" i="38"/>
  <c r="K25" i="31"/>
  <c r="D23" i="17" s="1"/>
  <c r="U26" i="18"/>
  <c r="V26" i="18"/>
  <c r="W26" i="18" s="1"/>
  <c r="T24" i="17" s="1"/>
  <c r="U24" i="32"/>
  <c r="V24" i="32"/>
  <c r="W24" i="32" s="1"/>
  <c r="W22" i="17" s="1"/>
  <c r="V25" i="36"/>
  <c r="W25" i="36" s="1"/>
  <c r="Z23" i="17" s="1"/>
  <c r="U25" i="36"/>
  <c r="V25" i="40"/>
  <c r="W25" i="40" s="1"/>
  <c r="AB23" i="17" s="1"/>
  <c r="U25" i="40"/>
  <c r="I25" i="40"/>
  <c r="J25" i="40"/>
  <c r="K25" i="40" s="1"/>
  <c r="K23" i="17" s="1"/>
  <c r="K23" i="32"/>
  <c r="F21" i="17" s="1"/>
  <c r="L21" i="17" s="1"/>
  <c r="J16" i="38"/>
  <c r="E15" i="28"/>
  <c r="O20" i="17"/>
  <c r="J24" i="32"/>
  <c r="I24" i="32"/>
  <c r="I26" i="35"/>
  <c r="J26" i="35"/>
  <c r="K26" i="35" s="1"/>
  <c r="E24" i="17" s="1"/>
  <c r="U26" i="34"/>
  <c r="V26" i="34"/>
  <c r="W26" i="34" s="1"/>
  <c r="X24" i="17" s="1"/>
  <c r="I25" i="18"/>
  <c r="J25" i="18"/>
  <c r="K25" i="18" s="1"/>
  <c r="C23" i="17" s="1"/>
  <c r="J26" i="33"/>
  <c r="K26" i="33" s="1"/>
  <c r="H24" i="17" s="1"/>
  <c r="I26" i="33"/>
  <c r="K27" i="34"/>
  <c r="G25" i="17" s="1"/>
  <c r="L20" i="38"/>
  <c r="I26" i="37"/>
  <c r="J26" i="37"/>
  <c r="K26" i="37" s="1"/>
  <c r="J24" i="17" s="1"/>
  <c r="V27" i="35"/>
  <c r="W27" i="35" s="1"/>
  <c r="V25" i="17" s="1"/>
  <c r="U27" i="35"/>
  <c r="I28" i="34" l="1"/>
  <c r="J29" i="34" s="1"/>
  <c r="O28" i="34"/>
  <c r="B28" i="37"/>
  <c r="O28" i="18"/>
  <c r="B24" i="7"/>
  <c r="B28" i="33"/>
  <c r="B28" i="18"/>
  <c r="O28" i="40"/>
  <c r="O28" i="35"/>
  <c r="O28" i="31"/>
  <c r="B28" i="34"/>
  <c r="O28" i="36"/>
  <c r="O28" i="37"/>
  <c r="B28" i="40"/>
  <c r="B28" i="32"/>
  <c r="O28" i="33"/>
  <c r="B28" i="35"/>
  <c r="B28" i="31"/>
  <c r="B28" i="36"/>
  <c r="O28" i="32"/>
  <c r="V26" i="37"/>
  <c r="W26" i="37" s="1"/>
  <c r="AA24" i="17" s="1"/>
  <c r="U26" i="37"/>
  <c r="I28" i="36"/>
  <c r="I29" i="36" s="1"/>
  <c r="AC22" i="17"/>
  <c r="AF22" i="17" s="1"/>
  <c r="U25" i="33"/>
  <c r="V25" i="33"/>
  <c r="W25" i="33" s="1"/>
  <c r="Y23" i="17" s="1"/>
  <c r="U27" i="31"/>
  <c r="V27" i="31"/>
  <c r="W27" i="31" s="1"/>
  <c r="U25" i="17" s="1"/>
  <c r="J27" i="31"/>
  <c r="I27" i="31"/>
  <c r="K19" i="38"/>
  <c r="K26" i="31"/>
  <c r="D24" i="17" s="1"/>
  <c r="V25" i="32"/>
  <c r="W25" i="32" s="1"/>
  <c r="W23" i="17" s="1"/>
  <c r="U25" i="32"/>
  <c r="U27" i="18"/>
  <c r="V27" i="18"/>
  <c r="W27" i="18" s="1"/>
  <c r="T25" i="17" s="1"/>
  <c r="I26" i="18"/>
  <c r="J26" i="18"/>
  <c r="K26" i="18" s="1"/>
  <c r="C24" i="17" s="1"/>
  <c r="I27" i="35"/>
  <c r="J27" i="35"/>
  <c r="K27" i="35" s="1"/>
  <c r="E25" i="17" s="1"/>
  <c r="N15" i="38"/>
  <c r="O15" i="38"/>
  <c r="J26" i="40"/>
  <c r="K26" i="40" s="1"/>
  <c r="K24" i="17" s="1"/>
  <c r="I26" i="40"/>
  <c r="U26" i="40"/>
  <c r="V26" i="40"/>
  <c r="W26" i="40" s="1"/>
  <c r="AB24" i="17" s="1"/>
  <c r="U26" i="36"/>
  <c r="V26" i="36"/>
  <c r="W26" i="36" s="1"/>
  <c r="Z24" i="17" s="1"/>
  <c r="U27" i="34"/>
  <c r="V27" i="34"/>
  <c r="W27" i="34" s="1"/>
  <c r="X25" i="17" s="1"/>
  <c r="K24" i="32"/>
  <c r="F22" i="17" s="1"/>
  <c r="L22" i="17" s="1"/>
  <c r="J17" i="38"/>
  <c r="O21" i="17"/>
  <c r="E16" i="28"/>
  <c r="K28" i="34"/>
  <c r="G26" i="17" s="1"/>
  <c r="L21" i="38"/>
  <c r="J27" i="33"/>
  <c r="K27" i="33" s="1"/>
  <c r="H25" i="17" s="1"/>
  <c r="I27" i="33"/>
  <c r="J25" i="32"/>
  <c r="I25" i="32"/>
  <c r="M15" i="38"/>
  <c r="V28" i="35"/>
  <c r="W28" i="35" s="1"/>
  <c r="V26" i="17" s="1"/>
  <c r="U28" i="35"/>
  <c r="J27" i="37"/>
  <c r="K27" i="37" s="1"/>
  <c r="J25" i="17" s="1"/>
  <c r="I27" i="37"/>
  <c r="J29" i="36" l="1"/>
  <c r="K29" i="36" s="1"/>
  <c r="I27" i="17" s="1"/>
  <c r="I29" i="34"/>
  <c r="J30" i="34" s="1"/>
  <c r="O29" i="40"/>
  <c r="B29" i="34"/>
  <c r="B29" i="33"/>
  <c r="B29" i="35"/>
  <c r="O29" i="31"/>
  <c r="B29" i="36"/>
  <c r="O29" i="33"/>
  <c r="B29" i="32"/>
  <c r="O29" i="36"/>
  <c r="O29" i="34"/>
  <c r="B29" i="18"/>
  <c r="B25" i="7"/>
  <c r="O29" i="32"/>
  <c r="B29" i="37"/>
  <c r="B29" i="31"/>
  <c r="O29" i="35"/>
  <c r="O29" i="18"/>
  <c r="O29" i="37"/>
  <c r="B29" i="40"/>
  <c r="V27" i="37"/>
  <c r="W27" i="37" s="1"/>
  <c r="AA25" i="17" s="1"/>
  <c r="U27" i="37"/>
  <c r="AC23" i="17"/>
  <c r="AF23" i="17" s="1"/>
  <c r="U26" i="33"/>
  <c r="V26" i="33"/>
  <c r="W26" i="33" s="1"/>
  <c r="Y24" i="17" s="1"/>
  <c r="V28" i="31"/>
  <c r="W28" i="31" s="1"/>
  <c r="U26" i="17" s="1"/>
  <c r="U28" i="31"/>
  <c r="J28" i="31"/>
  <c r="I28" i="31"/>
  <c r="K20" i="38"/>
  <c r="K27" i="31"/>
  <c r="D25" i="17" s="1"/>
  <c r="U28" i="18"/>
  <c r="V28" i="18"/>
  <c r="W28" i="18" s="1"/>
  <c r="T26" i="17" s="1"/>
  <c r="U26" i="32"/>
  <c r="V26" i="32"/>
  <c r="W26" i="32" s="1"/>
  <c r="W24" i="17" s="1"/>
  <c r="I28" i="33"/>
  <c r="J28" i="33"/>
  <c r="K28" i="33" s="1"/>
  <c r="H26" i="17" s="1"/>
  <c r="M16" i="38"/>
  <c r="N16" i="38"/>
  <c r="O16" i="38"/>
  <c r="L22" i="38"/>
  <c r="K29" i="34"/>
  <c r="G27" i="17" s="1"/>
  <c r="J18" i="38"/>
  <c r="K25" i="32"/>
  <c r="F23" i="17" s="1"/>
  <c r="L23" i="17" s="1"/>
  <c r="E17" i="28"/>
  <c r="M17" i="38" s="1"/>
  <c r="O22" i="17"/>
  <c r="U27" i="36"/>
  <c r="V27" i="36"/>
  <c r="W27" i="36" s="1"/>
  <c r="Z25" i="17" s="1"/>
  <c r="I28" i="35"/>
  <c r="J28" i="35"/>
  <c r="K28" i="35" s="1"/>
  <c r="E26" i="17" s="1"/>
  <c r="J26" i="32"/>
  <c r="I26" i="32"/>
  <c r="J27" i="40"/>
  <c r="K27" i="40" s="1"/>
  <c r="K25" i="17" s="1"/>
  <c r="I27" i="40"/>
  <c r="U28" i="34"/>
  <c r="V28" i="34"/>
  <c r="W28" i="34" s="1"/>
  <c r="X26" i="17" s="1"/>
  <c r="U27" i="40"/>
  <c r="V27" i="40"/>
  <c r="W27" i="40" s="1"/>
  <c r="AB25" i="17" s="1"/>
  <c r="J27" i="18"/>
  <c r="K27" i="18" s="1"/>
  <c r="C25" i="17" s="1"/>
  <c r="I27" i="18"/>
  <c r="J28" i="37"/>
  <c r="K28" i="37" s="1"/>
  <c r="J26" i="17" s="1"/>
  <c r="I28" i="37"/>
  <c r="V29" i="35"/>
  <c r="W29" i="35" s="1"/>
  <c r="V27" i="17" s="1"/>
  <c r="U29" i="35"/>
  <c r="I30" i="36"/>
  <c r="J30" i="36"/>
  <c r="K30" i="36" s="1"/>
  <c r="I28" i="17" s="1"/>
  <c r="I30" i="34" l="1"/>
  <c r="J31" i="34" s="1"/>
  <c r="B30" i="35"/>
  <c r="B30" i="32"/>
  <c r="O30" i="40"/>
  <c r="O30" i="35"/>
  <c r="B30" i="33"/>
  <c r="B30" i="34"/>
  <c r="B30" i="31"/>
  <c r="O30" i="31"/>
  <c r="O30" i="18"/>
  <c r="O30" i="36"/>
  <c r="B26" i="7"/>
  <c r="B30" i="40"/>
  <c r="B30" i="18"/>
  <c r="O30" i="37"/>
  <c r="O30" i="33"/>
  <c r="O30" i="32"/>
  <c r="O30" i="34"/>
  <c r="B30" i="37"/>
  <c r="B30" i="36"/>
  <c r="V28" i="37"/>
  <c r="W28" i="37" s="1"/>
  <c r="AA26" i="17" s="1"/>
  <c r="U28" i="37"/>
  <c r="AC24" i="17"/>
  <c r="AF24" i="17" s="1"/>
  <c r="V27" i="33"/>
  <c r="W27" i="33" s="1"/>
  <c r="Y25" i="17" s="1"/>
  <c r="U27" i="33"/>
  <c r="V29" i="31"/>
  <c r="W29" i="31" s="1"/>
  <c r="U27" i="17" s="1"/>
  <c r="U29" i="31"/>
  <c r="J29" i="31"/>
  <c r="I29" i="31"/>
  <c r="K21" i="38"/>
  <c r="K28" i="31"/>
  <c r="D26" i="17" s="1"/>
  <c r="U27" i="32"/>
  <c r="V27" i="32"/>
  <c r="W27" i="32" s="1"/>
  <c r="W25" i="17" s="1"/>
  <c r="V29" i="18"/>
  <c r="W29" i="18" s="1"/>
  <c r="T27" i="17" s="1"/>
  <c r="U29" i="18"/>
  <c r="U28" i="40"/>
  <c r="V28" i="40"/>
  <c r="W28" i="40" s="1"/>
  <c r="AB26" i="17" s="1"/>
  <c r="L23" i="38"/>
  <c r="K30" i="34"/>
  <c r="G28" i="17" s="1"/>
  <c r="U28" i="36"/>
  <c r="V28" i="36"/>
  <c r="W28" i="36" s="1"/>
  <c r="Z26" i="17" s="1"/>
  <c r="I28" i="40"/>
  <c r="J28" i="40"/>
  <c r="K28" i="40" s="1"/>
  <c r="K26" i="17" s="1"/>
  <c r="O23" i="17"/>
  <c r="E18" i="28"/>
  <c r="J29" i="33"/>
  <c r="K29" i="33" s="1"/>
  <c r="H27" i="17" s="1"/>
  <c r="I29" i="33"/>
  <c r="U29" i="34"/>
  <c r="V29" i="34"/>
  <c r="W29" i="34" s="1"/>
  <c r="X27" i="17" s="1"/>
  <c r="K26" i="32"/>
  <c r="F24" i="17" s="1"/>
  <c r="L24" i="17" s="1"/>
  <c r="J19" i="38"/>
  <c r="J29" i="35"/>
  <c r="K29" i="35" s="1"/>
  <c r="E27" i="17" s="1"/>
  <c r="I29" i="35"/>
  <c r="O17" i="38"/>
  <c r="N17" i="38"/>
  <c r="I28" i="18"/>
  <c r="J28" i="18"/>
  <c r="K28" i="18" s="1"/>
  <c r="C26" i="17" s="1"/>
  <c r="I27" i="32"/>
  <c r="J27" i="32"/>
  <c r="J29" i="37"/>
  <c r="K29" i="37" s="1"/>
  <c r="J27" i="17" s="1"/>
  <c r="I29" i="37"/>
  <c r="J31" i="36"/>
  <c r="K31" i="36" s="1"/>
  <c r="I29" i="17" s="1"/>
  <c r="I31" i="36"/>
  <c r="V30" i="35"/>
  <c r="W30" i="35" s="1"/>
  <c r="V28" i="17" s="1"/>
  <c r="U30" i="35"/>
  <c r="I31" i="34" l="1"/>
  <c r="I32" i="34" s="1"/>
  <c r="AC25" i="17"/>
  <c r="AF25" i="17" s="1"/>
  <c r="O31" i="31"/>
  <c r="O31" i="18"/>
  <c r="O31" i="34"/>
  <c r="B31" i="33"/>
  <c r="O31" i="37"/>
  <c r="B31" i="40"/>
  <c r="B31" i="34"/>
  <c r="O31" i="35"/>
  <c r="B31" i="32"/>
  <c r="B31" i="36"/>
  <c r="B31" i="18"/>
  <c r="B27" i="7"/>
  <c r="O31" i="32"/>
  <c r="O31" i="33"/>
  <c r="O31" i="40"/>
  <c r="B31" i="35"/>
  <c r="B31" i="31"/>
  <c r="B31" i="37"/>
  <c r="O31" i="36"/>
  <c r="V29" i="37"/>
  <c r="W29" i="37" s="1"/>
  <c r="AA27" i="17" s="1"/>
  <c r="U29" i="37"/>
  <c r="V28" i="33"/>
  <c r="W28" i="33" s="1"/>
  <c r="Y26" i="17" s="1"/>
  <c r="U28" i="33"/>
  <c r="V30" i="31"/>
  <c r="W30" i="31" s="1"/>
  <c r="U28" i="17" s="1"/>
  <c r="U30" i="31"/>
  <c r="J30" i="31"/>
  <c r="I30" i="31"/>
  <c r="K29" i="31"/>
  <c r="D27" i="17" s="1"/>
  <c r="K22" i="38"/>
  <c r="V28" i="32"/>
  <c r="W28" i="32" s="1"/>
  <c r="W26" i="17" s="1"/>
  <c r="U28" i="32"/>
  <c r="U30" i="18"/>
  <c r="V30" i="18"/>
  <c r="W30" i="18" s="1"/>
  <c r="T28" i="17" s="1"/>
  <c r="I29" i="18"/>
  <c r="J29" i="18"/>
  <c r="K29" i="18" s="1"/>
  <c r="C27" i="17" s="1"/>
  <c r="V30" i="34"/>
  <c r="W30" i="34" s="1"/>
  <c r="X28" i="17" s="1"/>
  <c r="U30" i="34"/>
  <c r="I29" i="40"/>
  <c r="J29" i="40"/>
  <c r="K29" i="40" s="1"/>
  <c r="K27" i="17" s="1"/>
  <c r="I30" i="35"/>
  <c r="J30" i="35"/>
  <c r="K30" i="35" s="1"/>
  <c r="E28" i="17" s="1"/>
  <c r="M18" i="38"/>
  <c r="N18" i="38"/>
  <c r="O18" i="38"/>
  <c r="I28" i="32"/>
  <c r="J28" i="32"/>
  <c r="E19" i="28"/>
  <c r="M19" i="38" s="1"/>
  <c r="O24" i="17"/>
  <c r="L24" i="38"/>
  <c r="K31" i="34"/>
  <c r="G29" i="17" s="1"/>
  <c r="U29" i="36"/>
  <c r="V29" i="36"/>
  <c r="W29" i="36" s="1"/>
  <c r="Z27" i="17" s="1"/>
  <c r="V29" i="40"/>
  <c r="W29" i="40" s="1"/>
  <c r="AB27" i="17" s="1"/>
  <c r="U29" i="40"/>
  <c r="K27" i="32"/>
  <c r="F25" i="17" s="1"/>
  <c r="L25" i="17" s="1"/>
  <c r="J20" i="38"/>
  <c r="I30" i="33"/>
  <c r="J30" i="33"/>
  <c r="K30" i="33" s="1"/>
  <c r="H28" i="17" s="1"/>
  <c r="J32" i="34"/>
  <c r="J30" i="37"/>
  <c r="K30" i="37" s="1"/>
  <c r="J28" i="17" s="1"/>
  <c r="I30" i="37"/>
  <c r="U31" i="35"/>
  <c r="V31" i="35"/>
  <c r="W31" i="35" s="1"/>
  <c r="V29" i="17" s="1"/>
  <c r="J32" i="36"/>
  <c r="K32" i="36" s="1"/>
  <c r="I30" i="17" s="1"/>
  <c r="I32" i="36"/>
  <c r="B32" i="40" l="1"/>
  <c r="O32" i="40"/>
  <c r="O32" i="32"/>
  <c r="B32" i="31"/>
  <c r="B32" i="36"/>
  <c r="B32" i="33"/>
  <c r="B32" i="32"/>
  <c r="B32" i="34"/>
  <c r="B32" i="18"/>
  <c r="B32" i="37"/>
  <c r="B28" i="7"/>
  <c r="O32" i="35"/>
  <c r="O32" i="34"/>
  <c r="O32" i="31"/>
  <c r="O32" i="36"/>
  <c r="B32" i="35"/>
  <c r="O32" i="37"/>
  <c r="O32" i="33"/>
  <c r="O32" i="18"/>
  <c r="V30" i="37"/>
  <c r="W30" i="37" s="1"/>
  <c r="AA28" i="17" s="1"/>
  <c r="U30" i="37"/>
  <c r="AC26" i="17"/>
  <c r="AF26" i="17" s="1"/>
  <c r="U29" i="33"/>
  <c r="V29" i="33"/>
  <c r="W29" i="33" s="1"/>
  <c r="Y27" i="17" s="1"/>
  <c r="U31" i="31"/>
  <c r="V31" i="31"/>
  <c r="W31" i="31" s="1"/>
  <c r="U29" i="17" s="1"/>
  <c r="I31" i="31"/>
  <c r="J31" i="31"/>
  <c r="K23" i="38"/>
  <c r="K30" i="31"/>
  <c r="D28" i="17" s="1"/>
  <c r="V31" i="18"/>
  <c r="W31" i="18" s="1"/>
  <c r="T29" i="17" s="1"/>
  <c r="U31" i="18"/>
  <c r="U29" i="32"/>
  <c r="V29" i="32"/>
  <c r="W29" i="32" s="1"/>
  <c r="W27" i="17" s="1"/>
  <c r="L25" i="38"/>
  <c r="K32" i="34"/>
  <c r="G30" i="17" s="1"/>
  <c r="I31" i="35"/>
  <c r="J31" i="35"/>
  <c r="K31" i="35" s="1"/>
  <c r="E29" i="17" s="1"/>
  <c r="J30" i="40"/>
  <c r="K30" i="40" s="1"/>
  <c r="K28" i="17" s="1"/>
  <c r="I30" i="40"/>
  <c r="I30" i="18"/>
  <c r="J30" i="18"/>
  <c r="K30" i="18" s="1"/>
  <c r="C28" i="17" s="1"/>
  <c r="J31" i="33"/>
  <c r="K31" i="33" s="1"/>
  <c r="H29" i="17" s="1"/>
  <c r="I31" i="33"/>
  <c r="J29" i="32"/>
  <c r="I29" i="32"/>
  <c r="U30" i="40"/>
  <c r="V30" i="40"/>
  <c r="W30" i="40" s="1"/>
  <c r="AB28" i="17" s="1"/>
  <c r="J21" i="38"/>
  <c r="K28" i="32"/>
  <c r="F26" i="17" s="1"/>
  <c r="L26" i="17" s="1"/>
  <c r="I33" i="34"/>
  <c r="J33" i="34"/>
  <c r="O25" i="17"/>
  <c r="E20" i="28"/>
  <c r="U30" i="36"/>
  <c r="V30" i="36"/>
  <c r="W30" i="36" s="1"/>
  <c r="Z28" i="17" s="1"/>
  <c r="N19" i="38"/>
  <c r="O19" i="38"/>
  <c r="U31" i="34"/>
  <c r="V31" i="34"/>
  <c r="W31" i="34" s="1"/>
  <c r="X29" i="17" s="1"/>
  <c r="J31" i="37"/>
  <c r="K31" i="37" s="1"/>
  <c r="J29" i="17" s="1"/>
  <c r="I31" i="37"/>
  <c r="V32" i="35"/>
  <c r="W32" i="35" s="1"/>
  <c r="V30" i="17" s="1"/>
  <c r="U32" i="35"/>
  <c r="J33" i="36"/>
  <c r="K33" i="36" s="1"/>
  <c r="I31" i="17" s="1"/>
  <c r="I33" i="36"/>
  <c r="O33" i="18" l="1"/>
  <c r="B33" i="33"/>
  <c r="B29" i="7"/>
  <c r="O33" i="40"/>
  <c r="B33" i="35"/>
  <c r="O33" i="32"/>
  <c r="B33" i="34"/>
  <c r="B33" i="18"/>
  <c r="B33" i="32"/>
  <c r="O33" i="36"/>
  <c r="O33" i="33"/>
  <c r="O33" i="37"/>
  <c r="O33" i="31"/>
  <c r="B33" i="40"/>
  <c r="O33" i="34"/>
  <c r="O33" i="35"/>
  <c r="B33" i="36"/>
  <c r="B33" i="31"/>
  <c r="B33" i="37"/>
  <c r="V31" i="37"/>
  <c r="W31" i="37" s="1"/>
  <c r="AA29" i="17" s="1"/>
  <c r="U31" i="37"/>
  <c r="AC27" i="17"/>
  <c r="AF27" i="17" s="1"/>
  <c r="V30" i="33"/>
  <c r="W30" i="33" s="1"/>
  <c r="Y28" i="17" s="1"/>
  <c r="U30" i="33"/>
  <c r="V32" i="31"/>
  <c r="W32" i="31" s="1"/>
  <c r="U30" i="17" s="1"/>
  <c r="U32" i="31"/>
  <c r="K24" i="38"/>
  <c r="K31" i="31"/>
  <c r="D29" i="17" s="1"/>
  <c r="I32" i="31"/>
  <c r="J32" i="31"/>
  <c r="U30" i="32"/>
  <c r="V30" i="32"/>
  <c r="W30" i="32" s="1"/>
  <c r="W28" i="17" s="1"/>
  <c r="V32" i="18"/>
  <c r="W32" i="18" s="1"/>
  <c r="T30" i="17" s="1"/>
  <c r="U32" i="18"/>
  <c r="U32" i="34"/>
  <c r="V32" i="34"/>
  <c r="W32" i="34" s="1"/>
  <c r="X30" i="17" s="1"/>
  <c r="N20" i="38"/>
  <c r="O20" i="38"/>
  <c r="O26" i="17"/>
  <c r="E21" i="28"/>
  <c r="I30" i="32"/>
  <c r="J30" i="32"/>
  <c r="V31" i="36"/>
  <c r="W31" i="36" s="1"/>
  <c r="Z29" i="17" s="1"/>
  <c r="U31" i="36"/>
  <c r="I34" i="34"/>
  <c r="J34" i="34"/>
  <c r="V31" i="40"/>
  <c r="W31" i="40" s="1"/>
  <c r="AB29" i="17" s="1"/>
  <c r="U31" i="40"/>
  <c r="M20" i="38"/>
  <c r="L26" i="38"/>
  <c r="K33" i="34"/>
  <c r="G31" i="17" s="1"/>
  <c r="J32" i="33"/>
  <c r="K32" i="33" s="1"/>
  <c r="H30" i="17" s="1"/>
  <c r="I32" i="33"/>
  <c r="I31" i="40"/>
  <c r="J31" i="40"/>
  <c r="K31" i="40" s="1"/>
  <c r="K29" i="17" s="1"/>
  <c r="J22" i="38"/>
  <c r="K29" i="32"/>
  <c r="F27" i="17" s="1"/>
  <c r="L27" i="17" s="1"/>
  <c r="J31" i="18"/>
  <c r="K31" i="18" s="1"/>
  <c r="C29" i="17" s="1"/>
  <c r="I31" i="18"/>
  <c r="J32" i="35"/>
  <c r="K32" i="35" s="1"/>
  <c r="E30" i="17" s="1"/>
  <c r="I32" i="35"/>
  <c r="J32" i="37"/>
  <c r="K32" i="37" s="1"/>
  <c r="J30" i="17" s="1"/>
  <c r="I32" i="37"/>
  <c r="J34" i="36"/>
  <c r="K34" i="36" s="1"/>
  <c r="I32" i="17" s="1"/>
  <c r="I34" i="36"/>
  <c r="V33" i="35"/>
  <c r="W33" i="35" s="1"/>
  <c r="V31" i="17" s="1"/>
  <c r="U33" i="35"/>
  <c r="AC28" i="17" l="1"/>
  <c r="AF28" i="17" s="1"/>
  <c r="O34" i="32"/>
  <c r="B34" i="40"/>
  <c r="B34" i="18"/>
  <c r="B34" i="37"/>
  <c r="O34" i="36"/>
  <c r="B34" i="33"/>
  <c r="O34" i="18"/>
  <c r="O34" i="33"/>
  <c r="O34" i="35"/>
  <c r="B34" i="32"/>
  <c r="B34" i="35"/>
  <c r="O34" i="40"/>
  <c r="B34" i="36"/>
  <c r="B34" i="34"/>
  <c r="O34" i="31"/>
  <c r="O34" i="37"/>
  <c r="B34" i="31"/>
  <c r="B30" i="7"/>
  <c r="O34" i="34"/>
  <c r="V32" i="37"/>
  <c r="W32" i="37" s="1"/>
  <c r="AA30" i="17" s="1"/>
  <c r="U32" i="37"/>
  <c r="V31" i="33"/>
  <c r="W31" i="33" s="1"/>
  <c r="Y29" i="17" s="1"/>
  <c r="U31" i="33"/>
  <c r="V33" i="31"/>
  <c r="W33" i="31" s="1"/>
  <c r="U31" i="17" s="1"/>
  <c r="U33" i="31"/>
  <c r="I33" i="31"/>
  <c r="J33" i="31"/>
  <c r="K25" i="38"/>
  <c r="K32" i="31"/>
  <c r="D30" i="17" s="1"/>
  <c r="U33" i="18"/>
  <c r="V33" i="18"/>
  <c r="W33" i="18" s="1"/>
  <c r="T31" i="17" s="1"/>
  <c r="V31" i="32"/>
  <c r="W31" i="32" s="1"/>
  <c r="W29" i="17" s="1"/>
  <c r="U31" i="32"/>
  <c r="J32" i="40"/>
  <c r="K32" i="40" s="1"/>
  <c r="K30" i="17" s="1"/>
  <c r="I32" i="40"/>
  <c r="V32" i="40"/>
  <c r="W32" i="40" s="1"/>
  <c r="AB30" i="17" s="1"/>
  <c r="U32" i="40"/>
  <c r="K30" i="32"/>
  <c r="F28" i="17" s="1"/>
  <c r="L28" i="17" s="1"/>
  <c r="J23" i="38"/>
  <c r="J32" i="18"/>
  <c r="K32" i="18" s="1"/>
  <c r="C30" i="17" s="1"/>
  <c r="I32" i="18"/>
  <c r="I35" i="34"/>
  <c r="J35" i="34"/>
  <c r="L27" i="38"/>
  <c r="K34" i="34"/>
  <c r="G32" i="17" s="1"/>
  <c r="M21" i="38"/>
  <c r="O21" i="38"/>
  <c r="N21" i="38"/>
  <c r="U32" i="36"/>
  <c r="V32" i="36"/>
  <c r="W32" i="36" s="1"/>
  <c r="Z30" i="17" s="1"/>
  <c r="U33" i="34"/>
  <c r="V33" i="34"/>
  <c r="W33" i="34" s="1"/>
  <c r="X31" i="17" s="1"/>
  <c r="I33" i="35"/>
  <c r="J33" i="35"/>
  <c r="K33" i="35" s="1"/>
  <c r="E31" i="17" s="1"/>
  <c r="E22" i="28"/>
  <c r="O27" i="17"/>
  <c r="I33" i="33"/>
  <c r="J33" i="33"/>
  <c r="K33" i="33" s="1"/>
  <c r="H31" i="17" s="1"/>
  <c r="I31" i="32"/>
  <c r="J31" i="32"/>
  <c r="J35" i="36"/>
  <c r="K35" i="36" s="1"/>
  <c r="I33" i="17" s="1"/>
  <c r="I35" i="36"/>
  <c r="V34" i="35"/>
  <c r="W34" i="35" s="1"/>
  <c r="V32" i="17" s="1"/>
  <c r="U34" i="35"/>
  <c r="J33" i="37"/>
  <c r="K33" i="37" s="1"/>
  <c r="J31" i="17" s="1"/>
  <c r="I33" i="37"/>
  <c r="B35" i="40" l="1"/>
  <c r="B35" i="18"/>
  <c r="B35" i="31"/>
  <c r="B35" i="34"/>
  <c r="B31" i="7"/>
  <c r="B35" i="36"/>
  <c r="B35" i="33"/>
  <c r="O35" i="40"/>
  <c r="O35" i="33"/>
  <c r="O35" i="35"/>
  <c r="O35" i="32"/>
  <c r="B35" i="35"/>
  <c r="B35" i="37"/>
  <c r="O35" i="18"/>
  <c r="B35" i="32"/>
  <c r="O35" i="36"/>
  <c r="O35" i="37"/>
  <c r="O35" i="34"/>
  <c r="O35" i="31"/>
  <c r="U33" i="37"/>
  <c r="V33" i="37"/>
  <c r="W33" i="37" s="1"/>
  <c r="AA31" i="17" s="1"/>
  <c r="AC29" i="17"/>
  <c r="AF29" i="17" s="1"/>
  <c r="V32" i="33"/>
  <c r="W32" i="33" s="1"/>
  <c r="Y30" i="17" s="1"/>
  <c r="U32" i="33"/>
  <c r="V34" i="31"/>
  <c r="W34" i="31" s="1"/>
  <c r="U32" i="17" s="1"/>
  <c r="U34" i="31"/>
  <c r="K26" i="38"/>
  <c r="K33" i="31"/>
  <c r="D31" i="17" s="1"/>
  <c r="J34" i="31"/>
  <c r="I34" i="31"/>
  <c r="U32" i="32"/>
  <c r="V32" i="32"/>
  <c r="W32" i="32" s="1"/>
  <c r="W30" i="17" s="1"/>
  <c r="U34" i="18"/>
  <c r="V34" i="18"/>
  <c r="W34" i="18" s="1"/>
  <c r="T32" i="17" s="1"/>
  <c r="I34" i="33"/>
  <c r="J34" i="33"/>
  <c r="K34" i="33" s="1"/>
  <c r="H32" i="17" s="1"/>
  <c r="J34" i="35"/>
  <c r="K34" i="35" s="1"/>
  <c r="E32" i="17" s="1"/>
  <c r="I34" i="35"/>
  <c r="J32" i="32"/>
  <c r="I32" i="32"/>
  <c r="N22" i="38"/>
  <c r="O22" i="38"/>
  <c r="U34" i="34"/>
  <c r="V34" i="34"/>
  <c r="W34" i="34" s="1"/>
  <c r="X32" i="17" s="1"/>
  <c r="U33" i="36"/>
  <c r="V33" i="36"/>
  <c r="W33" i="36" s="1"/>
  <c r="Z31" i="17" s="1"/>
  <c r="J24" i="38"/>
  <c r="K31" i="32"/>
  <c r="F29" i="17" s="1"/>
  <c r="L29" i="17" s="1"/>
  <c r="I33" i="18"/>
  <c r="J33" i="18"/>
  <c r="K33" i="18" s="1"/>
  <c r="C31" i="17" s="1"/>
  <c r="V33" i="40"/>
  <c r="W33" i="40" s="1"/>
  <c r="AB31" i="17" s="1"/>
  <c r="U33" i="40"/>
  <c r="I36" i="34"/>
  <c r="J36" i="34"/>
  <c r="O28" i="17"/>
  <c r="E23" i="28"/>
  <c r="M23" i="38" s="1"/>
  <c r="K35" i="34"/>
  <c r="G33" i="17" s="1"/>
  <c r="L28" i="38"/>
  <c r="J33" i="40"/>
  <c r="K33" i="40" s="1"/>
  <c r="K31" i="17" s="1"/>
  <c r="I33" i="40"/>
  <c r="M22" i="38"/>
  <c r="J34" i="37"/>
  <c r="K34" i="37" s="1"/>
  <c r="J32" i="17" s="1"/>
  <c r="I34" i="37"/>
  <c r="V35" i="35"/>
  <c r="W35" i="35" s="1"/>
  <c r="V33" i="17" s="1"/>
  <c r="U35" i="35"/>
  <c r="J36" i="36"/>
  <c r="K36" i="36" s="1"/>
  <c r="I34" i="17" s="1"/>
  <c r="I36" i="36"/>
  <c r="O36" i="37" l="1"/>
  <c r="O36" i="32"/>
  <c r="B36" i="33"/>
  <c r="O36" i="33"/>
  <c r="B36" i="32"/>
  <c r="O36" i="18"/>
  <c r="O36" i="31"/>
  <c r="O36" i="40"/>
  <c r="B36" i="35"/>
  <c r="O36" i="34"/>
  <c r="B36" i="31"/>
  <c r="B36" i="37"/>
  <c r="B36" i="36"/>
  <c r="B32" i="7"/>
  <c r="B36" i="34"/>
  <c r="B36" i="18"/>
  <c r="B36" i="40"/>
  <c r="O36" i="36"/>
  <c r="O36" i="35"/>
  <c r="AC30" i="17"/>
  <c r="AF30" i="17" s="1"/>
  <c r="V34" i="37"/>
  <c r="W34" i="37" s="1"/>
  <c r="AA32" i="17" s="1"/>
  <c r="U34" i="37"/>
  <c r="V33" i="33"/>
  <c r="W33" i="33" s="1"/>
  <c r="Y31" i="17" s="1"/>
  <c r="U33" i="33"/>
  <c r="U35" i="31"/>
  <c r="V35" i="31"/>
  <c r="W35" i="31" s="1"/>
  <c r="U33" i="17" s="1"/>
  <c r="K27" i="38"/>
  <c r="K34" i="31"/>
  <c r="D32" i="17" s="1"/>
  <c r="J35" i="31"/>
  <c r="I35" i="31"/>
  <c r="U35" i="18"/>
  <c r="V35" i="18"/>
  <c r="W35" i="18" s="1"/>
  <c r="T33" i="17" s="1"/>
  <c r="U33" i="32"/>
  <c r="V33" i="32"/>
  <c r="W33" i="32" s="1"/>
  <c r="W31" i="17" s="1"/>
  <c r="I37" i="34"/>
  <c r="J37" i="34"/>
  <c r="J34" i="40"/>
  <c r="K34" i="40" s="1"/>
  <c r="K32" i="17" s="1"/>
  <c r="I34" i="40"/>
  <c r="L29" i="38"/>
  <c r="K36" i="34"/>
  <c r="G34" i="17" s="1"/>
  <c r="U34" i="40"/>
  <c r="V34" i="40"/>
  <c r="W34" i="40" s="1"/>
  <c r="AB32" i="17" s="1"/>
  <c r="E24" i="28"/>
  <c r="M24" i="38" s="1"/>
  <c r="O29" i="17"/>
  <c r="I33" i="32"/>
  <c r="J33" i="32"/>
  <c r="I35" i="35"/>
  <c r="J35" i="35"/>
  <c r="K35" i="35" s="1"/>
  <c r="E33" i="17" s="1"/>
  <c r="U35" i="34"/>
  <c r="V35" i="34"/>
  <c r="W35" i="34" s="1"/>
  <c r="X33" i="17" s="1"/>
  <c r="J25" i="38"/>
  <c r="K32" i="32"/>
  <c r="F30" i="17" s="1"/>
  <c r="L30" i="17" s="1"/>
  <c r="I35" i="33"/>
  <c r="J35" i="33"/>
  <c r="K35" i="33" s="1"/>
  <c r="H33" i="17" s="1"/>
  <c r="N23" i="38"/>
  <c r="O23" i="38"/>
  <c r="I34" i="18"/>
  <c r="J34" i="18"/>
  <c r="K34" i="18" s="1"/>
  <c r="C32" i="17" s="1"/>
  <c r="V34" i="36"/>
  <c r="W34" i="36" s="1"/>
  <c r="Z32" i="17" s="1"/>
  <c r="U34" i="36"/>
  <c r="V36" i="35"/>
  <c r="W36" i="35" s="1"/>
  <c r="V34" i="17" s="1"/>
  <c r="U36" i="35"/>
  <c r="J37" i="36"/>
  <c r="K37" i="36" s="1"/>
  <c r="I35" i="17" s="1"/>
  <c r="I37" i="36"/>
  <c r="J35" i="37"/>
  <c r="K35" i="37" s="1"/>
  <c r="J33" i="17" s="1"/>
  <c r="I35" i="37"/>
  <c r="O37" i="33" l="1"/>
  <c r="O37" i="37"/>
  <c r="B37" i="32"/>
  <c r="O37" i="18"/>
  <c r="B33" i="7"/>
  <c r="B37" i="31"/>
  <c r="O37" i="31"/>
  <c r="B37" i="33"/>
  <c r="O37" i="32"/>
  <c r="O37" i="40"/>
  <c r="B37" i="34"/>
  <c r="B37" i="18"/>
  <c r="O37" i="34"/>
  <c r="O37" i="36"/>
  <c r="B37" i="37"/>
  <c r="O37" i="35"/>
  <c r="B37" i="40"/>
  <c r="B37" i="36"/>
  <c r="B37" i="35"/>
  <c r="V35" i="37"/>
  <c r="W35" i="37" s="1"/>
  <c r="AA33" i="17" s="1"/>
  <c r="U35" i="37"/>
  <c r="AC31" i="17"/>
  <c r="AF31" i="17" s="1"/>
  <c r="U34" i="33"/>
  <c r="V34" i="33"/>
  <c r="W34" i="33" s="1"/>
  <c r="Y32" i="17" s="1"/>
  <c r="U36" i="31"/>
  <c r="V36" i="31"/>
  <c r="W36" i="31" s="1"/>
  <c r="U34" i="17" s="1"/>
  <c r="I36" i="31"/>
  <c r="J36" i="31"/>
  <c r="K28" i="38"/>
  <c r="K35" i="31"/>
  <c r="D33" i="17" s="1"/>
  <c r="U34" i="32"/>
  <c r="V34" i="32"/>
  <c r="W34" i="32" s="1"/>
  <c r="W32" i="17" s="1"/>
  <c r="V36" i="18"/>
  <c r="W36" i="18" s="1"/>
  <c r="T34" i="17" s="1"/>
  <c r="U36" i="18"/>
  <c r="I36" i="33"/>
  <c r="J36" i="33"/>
  <c r="K36" i="33" s="1"/>
  <c r="H34" i="17" s="1"/>
  <c r="I36" i="35"/>
  <c r="J36" i="35"/>
  <c r="K36" i="35" s="1"/>
  <c r="E34" i="17" s="1"/>
  <c r="I34" i="32"/>
  <c r="J34" i="32"/>
  <c r="U35" i="40"/>
  <c r="V35" i="40"/>
  <c r="W35" i="40" s="1"/>
  <c r="AB33" i="17" s="1"/>
  <c r="J26" i="38"/>
  <c r="K33" i="32"/>
  <c r="F31" i="17" s="1"/>
  <c r="L31" i="17" s="1"/>
  <c r="I35" i="40"/>
  <c r="J35" i="40"/>
  <c r="K35" i="40" s="1"/>
  <c r="K33" i="17" s="1"/>
  <c r="O24" i="38"/>
  <c r="N24" i="38"/>
  <c r="I38" i="34"/>
  <c r="J38" i="34"/>
  <c r="J35" i="18"/>
  <c r="K35" i="18" s="1"/>
  <c r="C33" i="17" s="1"/>
  <c r="I35" i="18"/>
  <c r="V36" i="34"/>
  <c r="W36" i="34" s="1"/>
  <c r="X34" i="17" s="1"/>
  <c r="U36" i="34"/>
  <c r="U35" i="36"/>
  <c r="V35" i="36"/>
  <c r="W35" i="36" s="1"/>
  <c r="Z33" i="17" s="1"/>
  <c r="O30" i="17"/>
  <c r="E25" i="28"/>
  <c r="L30" i="38"/>
  <c r="K37" i="34"/>
  <c r="G35" i="17" s="1"/>
  <c r="V37" i="35"/>
  <c r="W37" i="35" s="1"/>
  <c r="V35" i="17" s="1"/>
  <c r="U37" i="35"/>
  <c r="J36" i="37"/>
  <c r="K36" i="37" s="1"/>
  <c r="J34" i="17" s="1"/>
  <c r="I36" i="37"/>
  <c r="J38" i="36"/>
  <c r="K38" i="36" s="1"/>
  <c r="I36" i="17" s="1"/>
  <c r="I38" i="36"/>
  <c r="O38" i="33" l="1"/>
  <c r="O38" i="40"/>
  <c r="O38" i="34"/>
  <c r="B38" i="40"/>
  <c r="B38" i="32"/>
  <c r="O38" i="32"/>
  <c r="O38" i="18"/>
  <c r="O38" i="37"/>
  <c r="B34" i="7"/>
  <c r="O38" i="31"/>
  <c r="B38" i="18"/>
  <c r="O38" i="35"/>
  <c r="B38" i="36"/>
  <c r="B38" i="31"/>
  <c r="B38" i="35"/>
  <c r="B38" i="37"/>
  <c r="B38" i="33"/>
  <c r="B38" i="34"/>
  <c r="O38" i="36"/>
  <c r="AC32" i="17"/>
  <c r="AF32" i="17" s="1"/>
  <c r="U36" i="37"/>
  <c r="V36" i="37"/>
  <c r="W36" i="37" s="1"/>
  <c r="AA34" i="17" s="1"/>
  <c r="U35" i="33"/>
  <c r="V35" i="33"/>
  <c r="W35" i="33" s="1"/>
  <c r="Y33" i="17" s="1"/>
  <c r="V37" i="31"/>
  <c r="W37" i="31" s="1"/>
  <c r="U35" i="17" s="1"/>
  <c r="U37" i="31"/>
  <c r="K36" i="31"/>
  <c r="D34" i="17" s="1"/>
  <c r="K29" i="38"/>
  <c r="I37" i="31"/>
  <c r="J37" i="31"/>
  <c r="V37" i="18"/>
  <c r="W37" i="18" s="1"/>
  <c r="T35" i="17" s="1"/>
  <c r="U37" i="18"/>
  <c r="V35" i="32"/>
  <c r="W35" i="32" s="1"/>
  <c r="W33" i="17" s="1"/>
  <c r="U35" i="32"/>
  <c r="I36" i="18"/>
  <c r="J36" i="18"/>
  <c r="K36" i="18" s="1"/>
  <c r="C34" i="17" s="1"/>
  <c r="J36" i="40"/>
  <c r="K36" i="40" s="1"/>
  <c r="K34" i="17" s="1"/>
  <c r="I36" i="40"/>
  <c r="U36" i="40"/>
  <c r="V36" i="40"/>
  <c r="W36" i="40" s="1"/>
  <c r="AB34" i="17" s="1"/>
  <c r="J37" i="35"/>
  <c r="K37" i="35" s="1"/>
  <c r="E35" i="17" s="1"/>
  <c r="I37" i="35"/>
  <c r="N25" i="38"/>
  <c r="O25" i="38"/>
  <c r="U37" i="34"/>
  <c r="V37" i="34"/>
  <c r="W37" i="34" s="1"/>
  <c r="X35" i="17" s="1"/>
  <c r="J39" i="34"/>
  <c r="I39" i="34"/>
  <c r="J35" i="32"/>
  <c r="I35" i="32"/>
  <c r="J37" i="33"/>
  <c r="K37" i="33" s="1"/>
  <c r="H35" i="17" s="1"/>
  <c r="I37" i="33"/>
  <c r="M25" i="38"/>
  <c r="V36" i="36"/>
  <c r="W36" i="36" s="1"/>
  <c r="Z34" i="17" s="1"/>
  <c r="U36" i="36"/>
  <c r="L31" i="38"/>
  <c r="K38" i="34"/>
  <c r="G36" i="17" s="1"/>
  <c r="O31" i="17"/>
  <c r="E26" i="28"/>
  <c r="K34" i="32"/>
  <c r="F32" i="17" s="1"/>
  <c r="L32" i="17" s="1"/>
  <c r="J27" i="38"/>
  <c r="J39" i="36"/>
  <c r="K39" i="36" s="1"/>
  <c r="I37" i="17" s="1"/>
  <c r="I39" i="36"/>
  <c r="J37" i="37"/>
  <c r="K37" i="37" s="1"/>
  <c r="J35" i="17" s="1"/>
  <c r="I37" i="37"/>
  <c r="V38" i="35"/>
  <c r="W38" i="35" s="1"/>
  <c r="V36" i="17" s="1"/>
  <c r="U38" i="35"/>
  <c r="AC33" i="17" l="1"/>
  <c r="AF33" i="17" s="1"/>
  <c r="O39" i="18"/>
  <c r="O39" i="37"/>
  <c r="B39" i="34"/>
  <c r="O39" i="40"/>
  <c r="B39" i="35"/>
  <c r="B39" i="31"/>
  <c r="O39" i="36"/>
  <c r="O39" i="35"/>
  <c r="O39" i="32"/>
  <c r="B39" i="32"/>
  <c r="B39" i="37"/>
  <c r="B39" i="36"/>
  <c r="B39" i="40"/>
  <c r="B39" i="18"/>
  <c r="O39" i="31"/>
  <c r="B35" i="7"/>
  <c r="O39" i="34"/>
  <c r="O39" i="33"/>
  <c r="B39" i="33"/>
  <c r="U37" i="37"/>
  <c r="V37" i="37"/>
  <c r="W37" i="37" s="1"/>
  <c r="AA35" i="17" s="1"/>
  <c r="V36" i="33"/>
  <c r="W36" i="33" s="1"/>
  <c r="Y34" i="17" s="1"/>
  <c r="U36" i="33"/>
  <c r="V38" i="31"/>
  <c r="W38" i="31" s="1"/>
  <c r="U36" i="17" s="1"/>
  <c r="U38" i="31"/>
  <c r="K30" i="38"/>
  <c r="K37" i="31"/>
  <c r="D35" i="17" s="1"/>
  <c r="J38" i="31"/>
  <c r="I38" i="31"/>
  <c r="V36" i="32"/>
  <c r="W36" i="32" s="1"/>
  <c r="W34" i="17" s="1"/>
  <c r="U36" i="32"/>
  <c r="V38" i="18"/>
  <c r="W38" i="18" s="1"/>
  <c r="T36" i="17" s="1"/>
  <c r="U38" i="18"/>
  <c r="O32" i="17"/>
  <c r="E27" i="28"/>
  <c r="M27" i="38" s="1"/>
  <c r="K39" i="34"/>
  <c r="G37" i="17" s="1"/>
  <c r="L32" i="38"/>
  <c r="N26" i="38"/>
  <c r="O26" i="38"/>
  <c r="I36" i="32"/>
  <c r="J36" i="32"/>
  <c r="J38" i="35"/>
  <c r="K38" i="35" s="1"/>
  <c r="E36" i="17" s="1"/>
  <c r="I38" i="35"/>
  <c r="I37" i="40"/>
  <c r="J37" i="40"/>
  <c r="K37" i="40" s="1"/>
  <c r="K35" i="17" s="1"/>
  <c r="M26" i="38"/>
  <c r="U37" i="40"/>
  <c r="V37" i="40"/>
  <c r="W37" i="40" s="1"/>
  <c r="AB35" i="17" s="1"/>
  <c r="I37" i="18"/>
  <c r="J37" i="18"/>
  <c r="K37" i="18" s="1"/>
  <c r="C35" i="17" s="1"/>
  <c r="V37" i="36"/>
  <c r="W37" i="36" s="1"/>
  <c r="Z35" i="17" s="1"/>
  <c r="U37" i="36"/>
  <c r="I38" i="33"/>
  <c r="J38" i="33"/>
  <c r="K38" i="33" s="1"/>
  <c r="H36" i="17" s="1"/>
  <c r="J40" i="34"/>
  <c r="I40" i="34"/>
  <c r="J28" i="38"/>
  <c r="K35" i="32"/>
  <c r="F33" i="17" s="1"/>
  <c r="L33" i="17" s="1"/>
  <c r="V38" i="34"/>
  <c r="W38" i="34" s="1"/>
  <c r="X36" i="17" s="1"/>
  <c r="U38" i="34"/>
  <c r="J38" i="37"/>
  <c r="K38" i="37" s="1"/>
  <c r="J36" i="17" s="1"/>
  <c r="I38" i="37"/>
  <c r="V39" i="35"/>
  <c r="W39" i="35" s="1"/>
  <c r="V37" i="17" s="1"/>
  <c r="U39" i="35"/>
  <c r="I40" i="36"/>
  <c r="J40" i="36"/>
  <c r="K40" i="36" s="1"/>
  <c r="I38" i="17" s="1"/>
  <c r="O40" i="35" l="1"/>
  <c r="O40" i="40"/>
  <c r="B40" i="34"/>
  <c r="B40" i="40"/>
  <c r="O40" i="36"/>
  <c r="B40" i="32"/>
  <c r="B36" i="7"/>
  <c r="B40" i="33"/>
  <c r="B40" i="36"/>
  <c r="B40" i="31"/>
  <c r="O40" i="37"/>
  <c r="O40" i="31"/>
  <c r="O40" i="32"/>
  <c r="O40" i="33"/>
  <c r="B40" i="18"/>
  <c r="O40" i="18"/>
  <c r="B40" i="37"/>
  <c r="O40" i="34"/>
  <c r="B40" i="35"/>
  <c r="V38" i="37"/>
  <c r="W38" i="37" s="1"/>
  <c r="AA36" i="17" s="1"/>
  <c r="U38" i="37"/>
  <c r="AC34" i="17"/>
  <c r="AF34" i="17" s="1"/>
  <c r="V37" i="33"/>
  <c r="W37" i="33" s="1"/>
  <c r="Y35" i="17" s="1"/>
  <c r="U37" i="33"/>
  <c r="V39" i="31"/>
  <c r="W39" i="31" s="1"/>
  <c r="U37" i="17" s="1"/>
  <c r="U39" i="31"/>
  <c r="I39" i="31"/>
  <c r="J39" i="31"/>
  <c r="K38" i="31"/>
  <c r="D36" i="17" s="1"/>
  <c r="K31" i="38"/>
  <c r="U39" i="18"/>
  <c r="V39" i="18"/>
  <c r="W39" i="18" s="1"/>
  <c r="T37" i="17" s="1"/>
  <c r="U37" i="32"/>
  <c r="V37" i="32"/>
  <c r="W37" i="32" s="1"/>
  <c r="W35" i="17" s="1"/>
  <c r="I39" i="33"/>
  <c r="J39" i="33"/>
  <c r="K39" i="33" s="1"/>
  <c r="H37" i="17" s="1"/>
  <c r="I38" i="18"/>
  <c r="J38" i="18"/>
  <c r="K38" i="18" s="1"/>
  <c r="C36" i="17" s="1"/>
  <c r="E28" i="28"/>
  <c r="O33" i="17"/>
  <c r="K40" i="34"/>
  <c r="G38" i="17" s="1"/>
  <c r="L33" i="38"/>
  <c r="V38" i="40"/>
  <c r="W38" i="40" s="1"/>
  <c r="AB36" i="17" s="1"/>
  <c r="U38" i="40"/>
  <c r="I38" i="40"/>
  <c r="J38" i="40"/>
  <c r="K38" i="40" s="1"/>
  <c r="K36" i="17" s="1"/>
  <c r="I37" i="32"/>
  <c r="J37" i="32"/>
  <c r="I39" i="35"/>
  <c r="J39" i="35"/>
  <c r="K39" i="35" s="1"/>
  <c r="E37" i="17" s="1"/>
  <c r="V39" i="34"/>
  <c r="W39" i="34" s="1"/>
  <c r="X37" i="17" s="1"/>
  <c r="U39" i="34"/>
  <c r="I41" i="34"/>
  <c r="J41" i="34"/>
  <c r="U38" i="36"/>
  <c r="V38" i="36"/>
  <c r="W38" i="36" s="1"/>
  <c r="Z36" i="17" s="1"/>
  <c r="K36" i="32"/>
  <c r="F34" i="17" s="1"/>
  <c r="L34" i="17" s="1"/>
  <c r="J29" i="38"/>
  <c r="O27" i="38"/>
  <c r="N27" i="38"/>
  <c r="U40" i="35"/>
  <c r="V40" i="35"/>
  <c r="W40" i="35" s="1"/>
  <c r="V38" i="17" s="1"/>
  <c r="J39" i="37"/>
  <c r="K39" i="37" s="1"/>
  <c r="J37" i="17" s="1"/>
  <c r="I39" i="37"/>
  <c r="J41" i="36"/>
  <c r="K41" i="36" s="1"/>
  <c r="I39" i="17" s="1"/>
  <c r="I41" i="36"/>
  <c r="O41" i="31" l="1"/>
  <c r="B41" i="33"/>
  <c r="B41" i="40"/>
  <c r="B37" i="7"/>
  <c r="B41" i="36"/>
  <c r="O41" i="40"/>
  <c r="O41" i="36"/>
  <c r="O41" i="37"/>
  <c r="O41" i="32"/>
  <c r="O41" i="33"/>
  <c r="O41" i="35"/>
  <c r="B41" i="37"/>
  <c r="B41" i="31"/>
  <c r="O41" i="18"/>
  <c r="B41" i="35"/>
  <c r="B41" i="18"/>
  <c r="B41" i="32"/>
  <c r="O41" i="34"/>
  <c r="B41" i="34"/>
  <c r="V39" i="37"/>
  <c r="W39" i="37" s="1"/>
  <c r="AA37" i="17" s="1"/>
  <c r="U39" i="37"/>
  <c r="AC35" i="17"/>
  <c r="AF35" i="17" s="1"/>
  <c r="V38" i="33"/>
  <c r="W38" i="33" s="1"/>
  <c r="Y36" i="17" s="1"/>
  <c r="U38" i="33"/>
  <c r="U40" i="31"/>
  <c r="V40" i="31"/>
  <c r="W40" i="31" s="1"/>
  <c r="U38" i="17" s="1"/>
  <c r="K39" i="31"/>
  <c r="D37" i="17" s="1"/>
  <c r="K32" i="38"/>
  <c r="J40" i="31"/>
  <c r="I40" i="31"/>
  <c r="V38" i="32"/>
  <c r="W38" i="32" s="1"/>
  <c r="W36" i="17" s="1"/>
  <c r="U38" i="32"/>
  <c r="V40" i="18"/>
  <c r="W40" i="18" s="1"/>
  <c r="T38" i="17" s="1"/>
  <c r="U40" i="18"/>
  <c r="U40" i="34"/>
  <c r="V40" i="34"/>
  <c r="W40" i="34" s="1"/>
  <c r="X38" i="17" s="1"/>
  <c r="J40" i="33"/>
  <c r="K40" i="33" s="1"/>
  <c r="H38" i="17" s="1"/>
  <c r="I40" i="33"/>
  <c r="E29" i="28"/>
  <c r="O34" i="17"/>
  <c r="I42" i="34"/>
  <c r="J42" i="34"/>
  <c r="J40" i="35"/>
  <c r="K40" i="35" s="1"/>
  <c r="E38" i="17" s="1"/>
  <c r="I40" i="35"/>
  <c r="L34" i="38"/>
  <c r="K41" i="34"/>
  <c r="G39" i="17" s="1"/>
  <c r="J38" i="32"/>
  <c r="I38" i="32"/>
  <c r="J39" i="18"/>
  <c r="K39" i="18" s="1"/>
  <c r="C37" i="17" s="1"/>
  <c r="I39" i="18"/>
  <c r="I39" i="40"/>
  <c r="J39" i="40"/>
  <c r="K39" i="40" s="1"/>
  <c r="K37" i="17" s="1"/>
  <c r="O28" i="38"/>
  <c r="N28" i="38"/>
  <c r="V39" i="36"/>
  <c r="W39" i="36" s="1"/>
  <c r="Z37" i="17" s="1"/>
  <c r="U39" i="36"/>
  <c r="J30" i="38"/>
  <c r="K37" i="32"/>
  <c r="F35" i="17" s="1"/>
  <c r="L35" i="17" s="1"/>
  <c r="V39" i="40"/>
  <c r="W39" i="40" s="1"/>
  <c r="AB37" i="17" s="1"/>
  <c r="U39" i="40"/>
  <c r="M28" i="38"/>
  <c r="V41" i="35"/>
  <c r="W41" i="35" s="1"/>
  <c r="V39" i="17" s="1"/>
  <c r="U41" i="35"/>
  <c r="J40" i="37"/>
  <c r="K40" i="37" s="1"/>
  <c r="J38" i="17" s="1"/>
  <c r="I40" i="37"/>
  <c r="J42" i="36"/>
  <c r="K42" i="36" s="1"/>
  <c r="I40" i="17" s="1"/>
  <c r="I42" i="36"/>
  <c r="O42" i="40" l="1"/>
  <c r="O42" i="32"/>
  <c r="B42" i="32"/>
  <c r="O42" i="36"/>
  <c r="B42" i="31"/>
  <c r="O42" i="34"/>
  <c r="B42" i="34"/>
  <c r="B42" i="40"/>
  <c r="O42" i="33"/>
  <c r="B42" i="37"/>
  <c r="B38" i="7"/>
  <c r="O42" i="31"/>
  <c r="B42" i="33"/>
  <c r="O42" i="18"/>
  <c r="B42" i="18"/>
  <c r="B42" i="35"/>
  <c r="O42" i="35"/>
  <c r="B42" i="36"/>
  <c r="O42" i="37"/>
  <c r="U40" i="37"/>
  <c r="V40" i="37"/>
  <c r="W40" i="37" s="1"/>
  <c r="AA38" i="17" s="1"/>
  <c r="AC36" i="17"/>
  <c r="AF36" i="17" s="1"/>
  <c r="V39" i="33"/>
  <c r="W39" i="33" s="1"/>
  <c r="Y37" i="17" s="1"/>
  <c r="U39" i="33"/>
  <c r="V41" i="31"/>
  <c r="W41" i="31" s="1"/>
  <c r="U39" i="17" s="1"/>
  <c r="U41" i="31"/>
  <c r="I41" i="31"/>
  <c r="J41" i="31"/>
  <c r="K33" i="38"/>
  <c r="K40" i="31"/>
  <c r="D38" i="17" s="1"/>
  <c r="V41" i="18"/>
  <c r="W41" i="18" s="1"/>
  <c r="T39" i="17" s="1"/>
  <c r="U41" i="18"/>
  <c r="V39" i="32"/>
  <c r="W39" i="32" s="1"/>
  <c r="W37" i="17" s="1"/>
  <c r="U39" i="32"/>
  <c r="J40" i="18"/>
  <c r="K40" i="18" s="1"/>
  <c r="C38" i="17" s="1"/>
  <c r="I40" i="18"/>
  <c r="L35" i="38"/>
  <c r="K42" i="34"/>
  <c r="G40" i="17" s="1"/>
  <c r="J41" i="33"/>
  <c r="K41" i="33" s="1"/>
  <c r="H39" i="17" s="1"/>
  <c r="I41" i="33"/>
  <c r="I40" i="40"/>
  <c r="J40" i="40"/>
  <c r="K40" i="40" s="1"/>
  <c r="K38" i="17" s="1"/>
  <c r="I39" i="32"/>
  <c r="J39" i="32"/>
  <c r="I41" i="35"/>
  <c r="J41" i="35"/>
  <c r="K41" i="35" s="1"/>
  <c r="E39" i="17" s="1"/>
  <c r="O35" i="17"/>
  <c r="E30" i="28"/>
  <c r="J31" i="38"/>
  <c r="K38" i="32"/>
  <c r="F36" i="17" s="1"/>
  <c r="L36" i="17" s="1"/>
  <c r="M29" i="38"/>
  <c r="N29" i="38"/>
  <c r="O29" i="38"/>
  <c r="U41" i="34"/>
  <c r="V41" i="34"/>
  <c r="W41" i="34" s="1"/>
  <c r="X39" i="17" s="1"/>
  <c r="U40" i="40"/>
  <c r="V40" i="40"/>
  <c r="W40" i="40" s="1"/>
  <c r="AB38" i="17" s="1"/>
  <c r="U40" i="36"/>
  <c r="V40" i="36"/>
  <c r="W40" i="36" s="1"/>
  <c r="Z38" i="17" s="1"/>
  <c r="I43" i="34"/>
  <c r="J43" i="34"/>
  <c r="V42" i="35"/>
  <c r="W42" i="35" s="1"/>
  <c r="V40" i="17" s="1"/>
  <c r="U42" i="35"/>
  <c r="J43" i="36"/>
  <c r="K43" i="36" s="1"/>
  <c r="I41" i="17" s="1"/>
  <c r="I43" i="36"/>
  <c r="J41" i="37"/>
  <c r="K41" i="37" s="1"/>
  <c r="J39" i="17" s="1"/>
  <c r="I41" i="37"/>
  <c r="O43" i="18" l="1"/>
  <c r="B43" i="40"/>
  <c r="B43" i="35"/>
  <c r="B43" i="31"/>
  <c r="B43" i="18"/>
  <c r="O43" i="31"/>
  <c r="B43" i="34"/>
  <c r="O43" i="37"/>
  <c r="B43" i="32"/>
  <c r="O43" i="34"/>
  <c r="O43" i="33"/>
  <c r="B43" i="33"/>
  <c r="O43" i="35"/>
  <c r="O43" i="36"/>
  <c r="O43" i="40"/>
  <c r="B43" i="36"/>
  <c r="B43" i="37"/>
  <c r="O43" i="32"/>
  <c r="B39" i="7"/>
  <c r="AC37" i="17"/>
  <c r="AF37" i="17" s="1"/>
  <c r="V41" i="37"/>
  <c r="W41" i="37" s="1"/>
  <c r="AA39" i="17" s="1"/>
  <c r="U41" i="37"/>
  <c r="U40" i="33"/>
  <c r="V40" i="33"/>
  <c r="W40" i="33" s="1"/>
  <c r="Y38" i="17" s="1"/>
  <c r="U42" i="31"/>
  <c r="V42" i="31"/>
  <c r="W42" i="31" s="1"/>
  <c r="U40" i="17" s="1"/>
  <c r="K34" i="38"/>
  <c r="K41" i="31"/>
  <c r="D39" i="17" s="1"/>
  <c r="J42" i="31"/>
  <c r="I42" i="31"/>
  <c r="U40" i="32"/>
  <c r="V40" i="32"/>
  <c r="W40" i="32" s="1"/>
  <c r="W38" i="17" s="1"/>
  <c r="U42" i="18"/>
  <c r="V42" i="18"/>
  <c r="W42" i="18" s="1"/>
  <c r="T40" i="17" s="1"/>
  <c r="L36" i="38"/>
  <c r="K43" i="34"/>
  <c r="G41" i="17" s="1"/>
  <c r="U41" i="36"/>
  <c r="V41" i="36"/>
  <c r="W41" i="36" s="1"/>
  <c r="Z39" i="17" s="1"/>
  <c r="U42" i="34"/>
  <c r="V42" i="34"/>
  <c r="W42" i="34" s="1"/>
  <c r="X40" i="17" s="1"/>
  <c r="J41" i="40"/>
  <c r="K41" i="40" s="1"/>
  <c r="K39" i="17" s="1"/>
  <c r="I41" i="40"/>
  <c r="K39" i="32"/>
  <c r="F37" i="17" s="1"/>
  <c r="L37" i="17" s="1"/>
  <c r="J32" i="38"/>
  <c r="J42" i="33"/>
  <c r="K42" i="33" s="1"/>
  <c r="H40" i="17" s="1"/>
  <c r="I42" i="33"/>
  <c r="I41" i="18"/>
  <c r="J41" i="18"/>
  <c r="K41" i="18" s="1"/>
  <c r="C39" i="17" s="1"/>
  <c r="O36" i="17"/>
  <c r="E31" i="28"/>
  <c r="M31" i="38" s="1"/>
  <c r="J42" i="35"/>
  <c r="K42" i="35" s="1"/>
  <c r="E40" i="17" s="1"/>
  <c r="I42" i="35"/>
  <c r="J44" i="34"/>
  <c r="I44" i="34"/>
  <c r="U41" i="40"/>
  <c r="V41" i="40"/>
  <c r="W41" i="40" s="1"/>
  <c r="AB39" i="17" s="1"/>
  <c r="N30" i="38"/>
  <c r="O30" i="38"/>
  <c r="I40" i="32"/>
  <c r="J40" i="32"/>
  <c r="M30" i="38"/>
  <c r="J42" i="37"/>
  <c r="K42" i="37" s="1"/>
  <c r="J40" i="17" s="1"/>
  <c r="I42" i="37"/>
  <c r="J44" i="36"/>
  <c r="K44" i="36" s="1"/>
  <c r="I42" i="17" s="1"/>
  <c r="I44" i="36"/>
  <c r="V43" i="35"/>
  <c r="W43" i="35" s="1"/>
  <c r="V41" i="17" s="1"/>
  <c r="U43" i="35"/>
  <c r="B44" i="34" l="1"/>
  <c r="B44" i="33"/>
  <c r="O44" i="40"/>
  <c r="B44" i="32"/>
  <c r="O44" i="33"/>
  <c r="O44" i="32"/>
  <c r="B40" i="7"/>
  <c r="B44" i="31"/>
  <c r="B44" i="18"/>
  <c r="B44" i="37"/>
  <c r="O44" i="31"/>
  <c r="O44" i="36"/>
  <c r="O44" i="34"/>
  <c r="O44" i="18"/>
  <c r="O44" i="37"/>
  <c r="B44" i="35"/>
  <c r="B44" i="36"/>
  <c r="O44" i="35"/>
  <c r="B44" i="40"/>
  <c r="V42" i="37"/>
  <c r="W42" i="37" s="1"/>
  <c r="AA40" i="17" s="1"/>
  <c r="U42" i="37"/>
  <c r="AC38" i="17"/>
  <c r="AF38" i="17" s="1"/>
  <c r="V41" i="33"/>
  <c r="W41" i="33" s="1"/>
  <c r="Y39" i="17" s="1"/>
  <c r="U41" i="33"/>
  <c r="V43" i="31"/>
  <c r="W43" i="31" s="1"/>
  <c r="U41" i="17" s="1"/>
  <c r="U43" i="31"/>
  <c r="I43" i="31"/>
  <c r="J43" i="31"/>
  <c r="K42" i="31"/>
  <c r="D40" i="17" s="1"/>
  <c r="K35" i="38"/>
  <c r="V43" i="18"/>
  <c r="W43" i="18" s="1"/>
  <c r="T41" i="17" s="1"/>
  <c r="U43" i="18"/>
  <c r="V41" i="32"/>
  <c r="W41" i="32" s="1"/>
  <c r="W39" i="17" s="1"/>
  <c r="U41" i="32"/>
  <c r="K40" i="32"/>
  <c r="F38" i="17" s="1"/>
  <c r="L38" i="17" s="1"/>
  <c r="J33" i="38"/>
  <c r="O31" i="38"/>
  <c r="N31" i="38"/>
  <c r="I43" i="33"/>
  <c r="J43" i="33"/>
  <c r="K43" i="33" s="1"/>
  <c r="H41" i="17" s="1"/>
  <c r="L37" i="38"/>
  <c r="K44" i="34"/>
  <c r="G42" i="17" s="1"/>
  <c r="J42" i="18"/>
  <c r="K42" i="18" s="1"/>
  <c r="C40" i="17" s="1"/>
  <c r="I42" i="18"/>
  <c r="O37" i="17"/>
  <c r="E32" i="28"/>
  <c r="M32" i="38" s="1"/>
  <c r="U42" i="36"/>
  <c r="V42" i="36"/>
  <c r="W42" i="36" s="1"/>
  <c r="Z40" i="17" s="1"/>
  <c r="J41" i="32"/>
  <c r="I41" i="32"/>
  <c r="V42" i="40"/>
  <c r="W42" i="40" s="1"/>
  <c r="AB40" i="17" s="1"/>
  <c r="U42" i="40"/>
  <c r="U43" i="34"/>
  <c r="V43" i="34"/>
  <c r="W43" i="34" s="1"/>
  <c r="X41" i="17" s="1"/>
  <c r="I45" i="34"/>
  <c r="J45" i="34"/>
  <c r="J43" i="35"/>
  <c r="K43" i="35" s="1"/>
  <c r="E41" i="17" s="1"/>
  <c r="I43" i="35"/>
  <c r="I42" i="40"/>
  <c r="J42" i="40"/>
  <c r="K42" i="40" s="1"/>
  <c r="K40" i="17" s="1"/>
  <c r="J43" i="37"/>
  <c r="K43" i="37" s="1"/>
  <c r="J41" i="17" s="1"/>
  <c r="I43" i="37"/>
  <c r="V44" i="35"/>
  <c r="W44" i="35" s="1"/>
  <c r="V42" i="17" s="1"/>
  <c r="U44" i="35"/>
  <c r="J45" i="36"/>
  <c r="K45" i="36" s="1"/>
  <c r="I43" i="17" s="1"/>
  <c r="I45" i="36"/>
  <c r="O45" i="40" l="1"/>
  <c r="B45" i="31"/>
  <c r="O45" i="31"/>
  <c r="B45" i="37"/>
  <c r="O45" i="18"/>
  <c r="O45" i="35"/>
  <c r="B45" i="35"/>
  <c r="B41" i="7"/>
  <c r="O45" i="37"/>
  <c r="B45" i="18"/>
  <c r="B45" i="32"/>
  <c r="B45" i="36"/>
  <c r="O45" i="36"/>
  <c r="O45" i="34"/>
  <c r="B45" i="33"/>
  <c r="B45" i="40"/>
  <c r="B45" i="34"/>
  <c r="O45" i="32"/>
  <c r="O45" i="33"/>
  <c r="AC39" i="17"/>
  <c r="AF39" i="17" s="1"/>
  <c r="U43" i="37"/>
  <c r="V43" i="37"/>
  <c r="W43" i="37" s="1"/>
  <c r="AA41" i="17" s="1"/>
  <c r="V42" i="33"/>
  <c r="W42" i="33" s="1"/>
  <c r="Y40" i="17" s="1"/>
  <c r="U42" i="33"/>
  <c r="U44" i="31"/>
  <c r="V44" i="31"/>
  <c r="W44" i="31" s="1"/>
  <c r="U42" i="17" s="1"/>
  <c r="K36" i="38"/>
  <c r="K43" i="31"/>
  <c r="D41" i="17" s="1"/>
  <c r="J44" i="31"/>
  <c r="I44" i="31"/>
  <c r="V42" i="32"/>
  <c r="W42" i="32" s="1"/>
  <c r="W40" i="17" s="1"/>
  <c r="U42" i="32"/>
  <c r="U44" i="18"/>
  <c r="V44" i="18"/>
  <c r="W44" i="18" s="1"/>
  <c r="T42" i="17" s="1"/>
  <c r="I42" i="32"/>
  <c r="J42" i="32"/>
  <c r="V43" i="36"/>
  <c r="W43" i="36" s="1"/>
  <c r="Z41" i="17" s="1"/>
  <c r="U43" i="36"/>
  <c r="O38" i="17"/>
  <c r="E33" i="28"/>
  <c r="M33" i="38" s="1"/>
  <c r="J43" i="18"/>
  <c r="K43" i="18" s="1"/>
  <c r="C41" i="17" s="1"/>
  <c r="I43" i="18"/>
  <c r="J43" i="40"/>
  <c r="K43" i="40" s="1"/>
  <c r="K41" i="17" s="1"/>
  <c r="I43" i="40"/>
  <c r="J46" i="34"/>
  <c r="I46" i="34"/>
  <c r="J34" i="38"/>
  <c r="K41" i="32"/>
  <c r="F39" i="17" s="1"/>
  <c r="L39" i="17" s="1"/>
  <c r="O32" i="38"/>
  <c r="N32" i="38"/>
  <c r="K45" i="34"/>
  <c r="G43" i="17" s="1"/>
  <c r="L38" i="38"/>
  <c r="I44" i="33"/>
  <c r="J44" i="33"/>
  <c r="K44" i="33" s="1"/>
  <c r="H42" i="17" s="1"/>
  <c r="U44" i="34"/>
  <c r="V44" i="34"/>
  <c r="W44" i="34" s="1"/>
  <c r="X42" i="17" s="1"/>
  <c r="J44" i="35"/>
  <c r="K44" i="35" s="1"/>
  <c r="E42" i="17" s="1"/>
  <c r="I44" i="35"/>
  <c r="U43" i="40"/>
  <c r="V43" i="40"/>
  <c r="W43" i="40" s="1"/>
  <c r="AB41" i="17" s="1"/>
  <c r="V45" i="35"/>
  <c r="W45" i="35" s="1"/>
  <c r="V43" i="17" s="1"/>
  <c r="U45" i="35"/>
  <c r="J44" i="37"/>
  <c r="K44" i="37" s="1"/>
  <c r="J42" i="17" s="1"/>
  <c r="I44" i="37"/>
  <c r="J46" i="36"/>
  <c r="K46" i="36" s="1"/>
  <c r="I44" i="17" s="1"/>
  <c r="I46" i="36"/>
  <c r="B46" i="35" l="1"/>
  <c r="B46" i="33"/>
  <c r="O46" i="31"/>
  <c r="B46" i="36"/>
  <c r="O46" i="32"/>
  <c r="B46" i="31"/>
  <c r="O46" i="36"/>
  <c r="O46" i="34"/>
  <c r="B46" i="34"/>
  <c r="B46" i="37"/>
  <c r="O46" i="40"/>
  <c r="B46" i="40"/>
  <c r="O46" i="35"/>
  <c r="B46" i="18"/>
  <c r="O46" i="18"/>
  <c r="B46" i="32"/>
  <c r="O46" i="33"/>
  <c r="B42" i="7"/>
  <c r="O46" i="37"/>
  <c r="V44" i="37"/>
  <c r="W44" i="37" s="1"/>
  <c r="AA42" i="17" s="1"/>
  <c r="U44" i="37"/>
  <c r="AC40" i="17"/>
  <c r="AF40" i="17" s="1"/>
  <c r="V43" i="33"/>
  <c r="W43" i="33" s="1"/>
  <c r="Y41" i="17" s="1"/>
  <c r="U43" i="33"/>
  <c r="V45" i="31"/>
  <c r="W45" i="31" s="1"/>
  <c r="U43" i="17" s="1"/>
  <c r="U45" i="31"/>
  <c r="J45" i="31"/>
  <c r="I45" i="31"/>
  <c r="K37" i="38"/>
  <c r="K44" i="31"/>
  <c r="D42" i="17" s="1"/>
  <c r="V45" i="18"/>
  <c r="W45" i="18" s="1"/>
  <c r="T43" i="17" s="1"/>
  <c r="U45" i="18"/>
  <c r="U43" i="32"/>
  <c r="V43" i="32"/>
  <c r="W43" i="32" s="1"/>
  <c r="W41" i="17" s="1"/>
  <c r="I43" i="32"/>
  <c r="J43" i="32"/>
  <c r="J45" i="35"/>
  <c r="K45" i="35" s="1"/>
  <c r="E43" i="17" s="1"/>
  <c r="I45" i="35"/>
  <c r="E34" i="28"/>
  <c r="M34" i="38" s="1"/>
  <c r="O39" i="17"/>
  <c r="J44" i="40"/>
  <c r="K44" i="40" s="1"/>
  <c r="K42" i="17" s="1"/>
  <c r="I44" i="40"/>
  <c r="O33" i="38"/>
  <c r="N33" i="38"/>
  <c r="J35" i="38"/>
  <c r="K42" i="32"/>
  <c r="F40" i="17" s="1"/>
  <c r="L40" i="17" s="1"/>
  <c r="V44" i="40"/>
  <c r="W44" i="40" s="1"/>
  <c r="AB42" i="17" s="1"/>
  <c r="U44" i="40"/>
  <c r="U45" i="34"/>
  <c r="V45" i="34"/>
  <c r="W45" i="34" s="1"/>
  <c r="X43" i="17" s="1"/>
  <c r="L39" i="38"/>
  <c r="K46" i="34"/>
  <c r="G44" i="17" s="1"/>
  <c r="I45" i="33"/>
  <c r="J45" i="33"/>
  <c r="K45" i="33" s="1"/>
  <c r="H43" i="17" s="1"/>
  <c r="I47" i="34"/>
  <c r="J47" i="34"/>
  <c r="I44" i="18"/>
  <c r="J44" i="18"/>
  <c r="K44" i="18" s="1"/>
  <c r="C42" i="17" s="1"/>
  <c r="V44" i="36"/>
  <c r="W44" i="36" s="1"/>
  <c r="Z42" i="17" s="1"/>
  <c r="U44" i="36"/>
  <c r="J45" i="37"/>
  <c r="K45" i="37" s="1"/>
  <c r="J43" i="17" s="1"/>
  <c r="I45" i="37"/>
  <c r="J47" i="36"/>
  <c r="K47" i="36" s="1"/>
  <c r="I45" i="17" s="1"/>
  <c r="I47" i="36"/>
  <c r="V46" i="35"/>
  <c r="W46" i="35" s="1"/>
  <c r="V44" i="17" s="1"/>
  <c r="U46" i="35"/>
  <c r="B47" i="35" l="1"/>
  <c r="O47" i="32"/>
  <c r="O47" i="18"/>
  <c r="B47" i="33"/>
  <c r="B47" i="32"/>
  <c r="B47" i="18"/>
  <c r="O47" i="33"/>
  <c r="B43" i="7"/>
  <c r="O47" i="36"/>
  <c r="O47" i="35"/>
  <c r="B47" i="40"/>
  <c r="O47" i="34"/>
  <c r="B47" i="31"/>
  <c r="O47" i="37"/>
  <c r="B47" i="36"/>
  <c r="B47" i="37"/>
  <c r="B47" i="34"/>
  <c r="O47" i="31"/>
  <c r="O47" i="40"/>
  <c r="V45" i="37"/>
  <c r="W45" i="37" s="1"/>
  <c r="AA43" i="17" s="1"/>
  <c r="U45" i="37"/>
  <c r="AC41" i="17"/>
  <c r="AF41" i="17" s="1"/>
  <c r="U44" i="33"/>
  <c r="V44" i="33"/>
  <c r="W44" i="33" s="1"/>
  <c r="Y42" i="17" s="1"/>
  <c r="U46" i="31"/>
  <c r="V46" i="31"/>
  <c r="W46" i="31" s="1"/>
  <c r="U44" i="17" s="1"/>
  <c r="J46" i="31"/>
  <c r="I46" i="31"/>
  <c r="K38" i="38"/>
  <c r="K45" i="31"/>
  <c r="D43" i="17" s="1"/>
  <c r="V46" i="18"/>
  <c r="W46" i="18" s="1"/>
  <c r="T44" i="17" s="1"/>
  <c r="U46" i="18"/>
  <c r="V44" i="32"/>
  <c r="W44" i="32" s="1"/>
  <c r="W42" i="17" s="1"/>
  <c r="U44" i="32"/>
  <c r="I46" i="33"/>
  <c r="J46" i="33"/>
  <c r="K46" i="33" s="1"/>
  <c r="H44" i="17" s="1"/>
  <c r="I44" i="32"/>
  <c r="J44" i="32"/>
  <c r="J48" i="34"/>
  <c r="I48" i="34"/>
  <c r="V46" i="34"/>
  <c r="W46" i="34" s="1"/>
  <c r="X44" i="17" s="1"/>
  <c r="U46" i="34"/>
  <c r="I45" i="18"/>
  <c r="J45" i="18"/>
  <c r="K45" i="18" s="1"/>
  <c r="C43" i="17" s="1"/>
  <c r="O34" i="38"/>
  <c r="N34" i="38"/>
  <c r="V45" i="40"/>
  <c r="W45" i="40" s="1"/>
  <c r="AB43" i="17" s="1"/>
  <c r="U45" i="40"/>
  <c r="J36" i="38"/>
  <c r="K43" i="32"/>
  <c r="F41" i="17" s="1"/>
  <c r="L41" i="17" s="1"/>
  <c r="U45" i="36"/>
  <c r="V45" i="36"/>
  <c r="W45" i="36" s="1"/>
  <c r="Z43" i="17" s="1"/>
  <c r="K47" i="34"/>
  <c r="G45" i="17" s="1"/>
  <c r="L40" i="38"/>
  <c r="E35" i="28"/>
  <c r="M35" i="38" s="1"/>
  <c r="O40" i="17"/>
  <c r="I45" i="40"/>
  <c r="J45" i="40"/>
  <c r="K45" i="40" s="1"/>
  <c r="K43" i="17" s="1"/>
  <c r="I46" i="35"/>
  <c r="J46" i="35"/>
  <c r="K46" i="35" s="1"/>
  <c r="E44" i="17" s="1"/>
  <c r="V47" i="35"/>
  <c r="W47" i="35" s="1"/>
  <c r="V45" i="17" s="1"/>
  <c r="U47" i="35"/>
  <c r="J48" i="36"/>
  <c r="K48" i="36" s="1"/>
  <c r="I46" i="17" s="1"/>
  <c r="I48" i="36"/>
  <c r="J46" i="37"/>
  <c r="K46" i="37" s="1"/>
  <c r="J44" i="17" s="1"/>
  <c r="I46" i="37"/>
  <c r="AC42" i="17" l="1"/>
  <c r="AF42" i="17" s="1"/>
  <c r="O48" i="18"/>
  <c r="O48" i="31"/>
  <c r="B48" i="40"/>
  <c r="O48" i="32"/>
  <c r="O48" i="36"/>
  <c r="B48" i="33"/>
  <c r="B48" i="32"/>
  <c r="O48" i="33"/>
  <c r="B48" i="36"/>
  <c r="B48" i="18"/>
  <c r="B44" i="7"/>
  <c r="O48" i="37"/>
  <c r="O48" i="35"/>
  <c r="O48" i="40"/>
  <c r="B48" i="34"/>
  <c r="O48" i="34"/>
  <c r="B48" i="37"/>
  <c r="B48" i="31"/>
  <c r="B48" i="35"/>
  <c r="U46" i="37"/>
  <c r="V46" i="37"/>
  <c r="W46" i="37" s="1"/>
  <c r="AA44" i="17" s="1"/>
  <c r="U45" i="33"/>
  <c r="V45" i="33"/>
  <c r="W45" i="33" s="1"/>
  <c r="Y43" i="17" s="1"/>
  <c r="U47" i="31"/>
  <c r="V47" i="31"/>
  <c r="W47" i="31" s="1"/>
  <c r="U45" i="17" s="1"/>
  <c r="J47" i="31"/>
  <c r="I47" i="31"/>
  <c r="K39" i="38"/>
  <c r="K46" i="31"/>
  <c r="D44" i="17" s="1"/>
  <c r="V47" i="18"/>
  <c r="W47" i="18" s="1"/>
  <c r="T45" i="17" s="1"/>
  <c r="U47" i="18"/>
  <c r="U45" i="32"/>
  <c r="V45" i="32"/>
  <c r="W45" i="32" s="1"/>
  <c r="W43" i="17" s="1"/>
  <c r="J47" i="33"/>
  <c r="K47" i="33" s="1"/>
  <c r="H45" i="17" s="1"/>
  <c r="I47" i="33"/>
  <c r="E36" i="28"/>
  <c r="M36" i="38" s="1"/>
  <c r="O41" i="17"/>
  <c r="J49" i="34"/>
  <c r="I49" i="34"/>
  <c r="J47" i="35"/>
  <c r="K47" i="35" s="1"/>
  <c r="E45" i="17" s="1"/>
  <c r="I47" i="35"/>
  <c r="O35" i="38"/>
  <c r="N35" i="38"/>
  <c r="U46" i="36"/>
  <c r="V46" i="36"/>
  <c r="W46" i="36" s="1"/>
  <c r="Z44" i="17" s="1"/>
  <c r="J46" i="18"/>
  <c r="K46" i="18" s="1"/>
  <c r="C44" i="17" s="1"/>
  <c r="I46" i="18"/>
  <c r="J45" i="32"/>
  <c r="I45" i="32"/>
  <c r="J46" i="40"/>
  <c r="K46" i="40" s="1"/>
  <c r="K44" i="17" s="1"/>
  <c r="I46" i="40"/>
  <c r="K48" i="34"/>
  <c r="G46" i="17" s="1"/>
  <c r="L41" i="38"/>
  <c r="V46" i="40"/>
  <c r="W46" i="40" s="1"/>
  <c r="AB44" i="17" s="1"/>
  <c r="U46" i="40"/>
  <c r="U47" i="34"/>
  <c r="V47" i="34"/>
  <c r="W47" i="34" s="1"/>
  <c r="X45" i="17" s="1"/>
  <c r="K44" i="32"/>
  <c r="F42" i="17" s="1"/>
  <c r="L42" i="17" s="1"/>
  <c r="J37" i="38"/>
  <c r="J47" i="37"/>
  <c r="K47" i="37" s="1"/>
  <c r="J45" i="17" s="1"/>
  <c r="I47" i="37"/>
  <c r="I49" i="36"/>
  <c r="J49" i="36"/>
  <c r="K49" i="36" s="1"/>
  <c r="I47" i="17" s="1"/>
  <c r="V48" i="35"/>
  <c r="W48" i="35" s="1"/>
  <c r="V46" i="17" s="1"/>
  <c r="U48" i="35"/>
  <c r="AC43" i="17" l="1"/>
  <c r="AF43" i="17" s="1"/>
  <c r="O49" i="31"/>
  <c r="O49" i="35"/>
  <c r="O49" i="34"/>
  <c r="B49" i="35"/>
  <c r="B49" i="33"/>
  <c r="B49" i="37"/>
  <c r="B49" i="31"/>
  <c r="B45" i="7"/>
  <c r="B49" i="36"/>
  <c r="O49" i="32"/>
  <c r="O49" i="37"/>
  <c r="O49" i="33"/>
  <c r="B49" i="34"/>
  <c r="B49" i="32"/>
  <c r="O49" i="40"/>
  <c r="O49" i="18"/>
  <c r="B49" i="40"/>
  <c r="O49" i="36"/>
  <c r="B49" i="18"/>
  <c r="V47" i="37"/>
  <c r="W47" i="37" s="1"/>
  <c r="AA45" i="17" s="1"/>
  <c r="U47" i="37"/>
  <c r="U46" i="33"/>
  <c r="V46" i="33"/>
  <c r="W46" i="33" s="1"/>
  <c r="Y44" i="17" s="1"/>
  <c r="U48" i="31"/>
  <c r="V48" i="31"/>
  <c r="W48" i="31" s="1"/>
  <c r="U46" i="17" s="1"/>
  <c r="I48" i="31"/>
  <c r="J48" i="31"/>
  <c r="K47" i="31"/>
  <c r="D45" i="17" s="1"/>
  <c r="K40" i="38"/>
  <c r="U48" i="18"/>
  <c r="V48" i="18"/>
  <c r="W48" i="18" s="1"/>
  <c r="T46" i="17" s="1"/>
  <c r="U46" i="32"/>
  <c r="V46" i="32"/>
  <c r="W46" i="32" s="1"/>
  <c r="W44" i="17" s="1"/>
  <c r="V48" i="34"/>
  <c r="W48" i="34" s="1"/>
  <c r="X46" i="17" s="1"/>
  <c r="U48" i="34"/>
  <c r="J47" i="18"/>
  <c r="K47" i="18" s="1"/>
  <c r="C45" i="17" s="1"/>
  <c r="I47" i="18"/>
  <c r="I50" i="34"/>
  <c r="J50" i="34"/>
  <c r="J48" i="33"/>
  <c r="K48" i="33" s="1"/>
  <c r="H46" i="17" s="1"/>
  <c r="I48" i="33"/>
  <c r="J38" i="38"/>
  <c r="K45" i="32"/>
  <c r="F43" i="17" s="1"/>
  <c r="L43" i="17" s="1"/>
  <c r="V47" i="36"/>
  <c r="W47" i="36" s="1"/>
  <c r="Z45" i="17" s="1"/>
  <c r="U47" i="36"/>
  <c r="O36" i="38"/>
  <c r="N36" i="38"/>
  <c r="V47" i="40"/>
  <c r="W47" i="40" s="1"/>
  <c r="AB45" i="17" s="1"/>
  <c r="U47" i="40"/>
  <c r="I47" i="40"/>
  <c r="J47" i="40"/>
  <c r="K47" i="40" s="1"/>
  <c r="K45" i="17" s="1"/>
  <c r="K49" i="34"/>
  <c r="G47" i="17" s="1"/>
  <c r="L42" i="38"/>
  <c r="O42" i="17"/>
  <c r="E37" i="28"/>
  <c r="J46" i="32"/>
  <c r="I46" i="32"/>
  <c r="I48" i="35"/>
  <c r="J48" i="35"/>
  <c r="K48" i="35" s="1"/>
  <c r="E46" i="17" s="1"/>
  <c r="J50" i="36"/>
  <c r="K50" i="36" s="1"/>
  <c r="I48" i="17" s="1"/>
  <c r="I50" i="36"/>
  <c r="V49" i="35"/>
  <c r="W49" i="35" s="1"/>
  <c r="V47" i="17" s="1"/>
  <c r="U49" i="35"/>
  <c r="J48" i="37"/>
  <c r="K48" i="37" s="1"/>
  <c r="J46" i="17" s="1"/>
  <c r="I48" i="37"/>
  <c r="B50" i="37" l="1"/>
  <c r="B50" i="40"/>
  <c r="B50" i="18"/>
  <c r="B50" i="32"/>
  <c r="B50" i="33"/>
  <c r="O50" i="32"/>
  <c r="O50" i="34"/>
  <c r="O50" i="37"/>
  <c r="O50" i="31"/>
  <c r="O50" i="35"/>
  <c r="B50" i="35"/>
  <c r="B46" i="7"/>
  <c r="B50" i="34"/>
  <c r="O50" i="36"/>
  <c r="B50" i="36"/>
  <c r="O50" i="18"/>
  <c r="O50" i="33"/>
  <c r="O50" i="40"/>
  <c r="B50" i="31"/>
  <c r="AC44" i="17"/>
  <c r="AF44" i="17" s="1"/>
  <c r="U48" i="37"/>
  <c r="V48" i="37"/>
  <c r="W48" i="37" s="1"/>
  <c r="AA46" i="17" s="1"/>
  <c r="U47" i="33"/>
  <c r="V47" i="33"/>
  <c r="W47" i="33" s="1"/>
  <c r="Y45" i="17" s="1"/>
  <c r="V49" i="31"/>
  <c r="W49" i="31" s="1"/>
  <c r="U47" i="17" s="1"/>
  <c r="U49" i="31"/>
  <c r="K48" i="31"/>
  <c r="D46" i="17" s="1"/>
  <c r="K41" i="38"/>
  <c r="J49" i="31"/>
  <c r="I49" i="31"/>
  <c r="U47" i="32"/>
  <c r="V47" i="32"/>
  <c r="W47" i="32" s="1"/>
  <c r="W45" i="17" s="1"/>
  <c r="V49" i="18"/>
  <c r="W49" i="18" s="1"/>
  <c r="T47" i="17" s="1"/>
  <c r="U49" i="18"/>
  <c r="N37" i="38"/>
  <c r="O37" i="38"/>
  <c r="L43" i="38"/>
  <c r="K50" i="34"/>
  <c r="G48" i="17" s="1"/>
  <c r="K46" i="32"/>
  <c r="F44" i="17" s="1"/>
  <c r="L44" i="17" s="1"/>
  <c r="J39" i="38"/>
  <c r="J49" i="35"/>
  <c r="K49" i="35" s="1"/>
  <c r="E47" i="17" s="1"/>
  <c r="I49" i="35"/>
  <c r="J48" i="40"/>
  <c r="K48" i="40" s="1"/>
  <c r="K46" i="17" s="1"/>
  <c r="I48" i="40"/>
  <c r="J51" i="34"/>
  <c r="I51" i="34"/>
  <c r="O43" i="17"/>
  <c r="E38" i="28"/>
  <c r="U49" i="34"/>
  <c r="V49" i="34"/>
  <c r="W49" i="34" s="1"/>
  <c r="X47" i="17" s="1"/>
  <c r="J47" i="32"/>
  <c r="I47" i="32"/>
  <c r="V48" i="40"/>
  <c r="W48" i="40" s="1"/>
  <c r="AB46" i="17" s="1"/>
  <c r="U48" i="40"/>
  <c r="U48" i="36"/>
  <c r="V48" i="36"/>
  <c r="W48" i="36" s="1"/>
  <c r="Z46" i="17" s="1"/>
  <c r="I49" i="33"/>
  <c r="J49" i="33"/>
  <c r="K49" i="33" s="1"/>
  <c r="H47" i="17" s="1"/>
  <c r="J48" i="18"/>
  <c r="K48" i="18" s="1"/>
  <c r="C46" i="17" s="1"/>
  <c r="I48" i="18"/>
  <c r="M37" i="38"/>
  <c r="J49" i="37"/>
  <c r="K49" i="37" s="1"/>
  <c r="J47" i="17" s="1"/>
  <c r="I49" i="37"/>
  <c r="V50" i="35"/>
  <c r="W50" i="35" s="1"/>
  <c r="V48" i="17" s="1"/>
  <c r="U50" i="35"/>
  <c r="I51" i="36"/>
  <c r="J51" i="36"/>
  <c r="K51" i="36" s="1"/>
  <c r="I49" i="17" s="1"/>
  <c r="B51" i="37" l="1"/>
  <c r="O51" i="36"/>
  <c r="O51" i="37"/>
  <c r="B51" i="40"/>
  <c r="O51" i="40"/>
  <c r="B51" i="34"/>
  <c r="O51" i="32"/>
  <c r="B51" i="33"/>
  <c r="O51" i="34"/>
  <c r="B51" i="31"/>
  <c r="B51" i="36"/>
  <c r="B51" i="18"/>
  <c r="O51" i="31"/>
  <c r="B47" i="7"/>
  <c r="O51" i="18"/>
  <c r="B51" i="32"/>
  <c r="O51" i="35"/>
  <c r="B51" i="35"/>
  <c r="O51" i="33"/>
  <c r="U49" i="37"/>
  <c r="V49" i="37"/>
  <c r="W49" i="37" s="1"/>
  <c r="AA47" i="17" s="1"/>
  <c r="AC45" i="17"/>
  <c r="AF45" i="17" s="1"/>
  <c r="U48" i="33"/>
  <c r="V48" i="33"/>
  <c r="W48" i="33" s="1"/>
  <c r="Y46" i="17" s="1"/>
  <c r="V50" i="31"/>
  <c r="W50" i="31" s="1"/>
  <c r="U48" i="17" s="1"/>
  <c r="U50" i="31"/>
  <c r="K49" i="31"/>
  <c r="D47" i="17" s="1"/>
  <c r="K42" i="38"/>
  <c r="I50" i="31"/>
  <c r="J50" i="31"/>
  <c r="U48" i="32"/>
  <c r="V48" i="32"/>
  <c r="W48" i="32" s="1"/>
  <c r="W46" i="17" s="1"/>
  <c r="U50" i="18"/>
  <c r="V50" i="18"/>
  <c r="W50" i="18" s="1"/>
  <c r="T48" i="17" s="1"/>
  <c r="V49" i="36"/>
  <c r="W49" i="36" s="1"/>
  <c r="Z47" i="17" s="1"/>
  <c r="U49" i="36"/>
  <c r="U50" i="34"/>
  <c r="V50" i="34"/>
  <c r="W50" i="34" s="1"/>
  <c r="X48" i="17" s="1"/>
  <c r="L44" i="38"/>
  <c r="K51" i="34"/>
  <c r="G49" i="17" s="1"/>
  <c r="J49" i="18"/>
  <c r="K49" i="18" s="1"/>
  <c r="C47" i="17" s="1"/>
  <c r="I49" i="18"/>
  <c r="I52" i="34"/>
  <c r="J52" i="34"/>
  <c r="I50" i="35"/>
  <c r="J50" i="35"/>
  <c r="K50" i="35" s="1"/>
  <c r="E48" i="17" s="1"/>
  <c r="E39" i="28"/>
  <c r="M39" i="38" s="1"/>
  <c r="O44" i="17"/>
  <c r="J50" i="33"/>
  <c r="K50" i="33" s="1"/>
  <c r="H48" i="17" s="1"/>
  <c r="I50" i="33"/>
  <c r="J40" i="38"/>
  <c r="K47" i="32"/>
  <c r="F45" i="17" s="1"/>
  <c r="L45" i="17" s="1"/>
  <c r="V49" i="40"/>
  <c r="W49" i="40" s="1"/>
  <c r="AB47" i="17" s="1"/>
  <c r="U49" i="40"/>
  <c r="I48" i="32"/>
  <c r="J48" i="32"/>
  <c r="N38" i="38"/>
  <c r="O38" i="38"/>
  <c r="I49" i="40"/>
  <c r="J49" i="40"/>
  <c r="K49" i="40" s="1"/>
  <c r="K47" i="17" s="1"/>
  <c r="M38" i="38"/>
  <c r="I52" i="36"/>
  <c r="J52" i="36"/>
  <c r="K52" i="36" s="1"/>
  <c r="I50" i="17" s="1"/>
  <c r="J50" i="37"/>
  <c r="K50" i="37" s="1"/>
  <c r="J48" i="17" s="1"/>
  <c r="I50" i="37"/>
  <c r="V51" i="35"/>
  <c r="W51" i="35" s="1"/>
  <c r="V49" i="17" s="1"/>
  <c r="U51" i="35"/>
  <c r="O52" i="31" l="1"/>
  <c r="O52" i="37"/>
  <c r="B52" i="31"/>
  <c r="O52" i="33"/>
  <c r="B52" i="33"/>
  <c r="O52" i="18"/>
  <c r="O52" i="34"/>
  <c r="B52" i="36"/>
  <c r="B52" i="37"/>
  <c r="B52" i="35"/>
  <c r="O52" i="36"/>
  <c r="O52" i="40"/>
  <c r="B52" i="32"/>
  <c r="B52" i="40"/>
  <c r="O52" i="32"/>
  <c r="B52" i="34"/>
  <c r="B52" i="18"/>
  <c r="B48" i="7"/>
  <c r="O52" i="35"/>
  <c r="U50" i="37"/>
  <c r="V50" i="37"/>
  <c r="W50" i="37" s="1"/>
  <c r="AA48" i="17" s="1"/>
  <c r="AC46" i="17"/>
  <c r="AF46" i="17" s="1"/>
  <c r="V49" i="33"/>
  <c r="W49" i="33" s="1"/>
  <c r="Y47" i="17" s="1"/>
  <c r="U49" i="33"/>
  <c r="U51" i="31"/>
  <c r="V51" i="31"/>
  <c r="W51" i="31" s="1"/>
  <c r="U49" i="17" s="1"/>
  <c r="K50" i="31"/>
  <c r="D48" i="17" s="1"/>
  <c r="K43" i="38"/>
  <c r="I51" i="31"/>
  <c r="J51" i="31"/>
  <c r="V51" i="18"/>
  <c r="W51" i="18" s="1"/>
  <c r="T49" i="17" s="1"/>
  <c r="U51" i="18"/>
  <c r="U49" i="32"/>
  <c r="V49" i="32"/>
  <c r="W49" i="32" s="1"/>
  <c r="W47" i="17" s="1"/>
  <c r="O45" i="17"/>
  <c r="E40" i="28"/>
  <c r="M40" i="38" s="1"/>
  <c r="K52" i="34"/>
  <c r="G50" i="17" s="1"/>
  <c r="L45" i="38"/>
  <c r="V50" i="40"/>
  <c r="W50" i="40" s="1"/>
  <c r="AB48" i="17" s="1"/>
  <c r="U50" i="40"/>
  <c r="I51" i="35"/>
  <c r="J51" i="35"/>
  <c r="K51" i="35" s="1"/>
  <c r="E49" i="17" s="1"/>
  <c r="U51" i="34"/>
  <c r="V51" i="34"/>
  <c r="W51" i="34" s="1"/>
  <c r="X49" i="17" s="1"/>
  <c r="J41" i="38"/>
  <c r="K48" i="32"/>
  <c r="F46" i="17" s="1"/>
  <c r="L46" i="17" s="1"/>
  <c r="O39" i="38"/>
  <c r="N39" i="38"/>
  <c r="I53" i="34"/>
  <c r="J53" i="34"/>
  <c r="I50" i="40"/>
  <c r="J50" i="40"/>
  <c r="K50" i="40" s="1"/>
  <c r="K48" i="17" s="1"/>
  <c r="I49" i="32"/>
  <c r="J49" i="32"/>
  <c r="I51" i="33"/>
  <c r="J51" i="33"/>
  <c r="K51" i="33" s="1"/>
  <c r="H49" i="17" s="1"/>
  <c r="J50" i="18"/>
  <c r="K50" i="18" s="1"/>
  <c r="C48" i="17" s="1"/>
  <c r="I50" i="18"/>
  <c r="V50" i="36"/>
  <c r="W50" i="36" s="1"/>
  <c r="Z48" i="17" s="1"/>
  <c r="U50" i="36"/>
  <c r="J51" i="37"/>
  <c r="K51" i="37" s="1"/>
  <c r="J49" i="17" s="1"/>
  <c r="I51" i="37"/>
  <c r="J53" i="36"/>
  <c r="K53" i="36" s="1"/>
  <c r="I51" i="17" s="1"/>
  <c r="I53" i="36"/>
  <c r="V52" i="35"/>
  <c r="W52" i="35" s="1"/>
  <c r="V50" i="17" s="1"/>
  <c r="U52" i="35"/>
  <c r="O53" i="33" l="1"/>
  <c r="B49" i="7"/>
  <c r="B53" i="35"/>
  <c r="B53" i="31"/>
  <c r="B53" i="33"/>
  <c r="B53" i="36"/>
  <c r="O53" i="40"/>
  <c r="B53" i="32"/>
  <c r="B53" i="34"/>
  <c r="O53" i="31"/>
  <c r="O53" i="36"/>
  <c r="O53" i="37"/>
  <c r="O53" i="35"/>
  <c r="O53" i="18"/>
  <c r="B53" i="40"/>
  <c r="O53" i="32"/>
  <c r="O53" i="34"/>
  <c r="B53" i="37"/>
  <c r="B53" i="18"/>
  <c r="U51" i="37"/>
  <c r="V51" i="37"/>
  <c r="W51" i="37" s="1"/>
  <c r="AA49" i="17" s="1"/>
  <c r="AC47" i="17"/>
  <c r="AF47" i="17" s="1"/>
  <c r="U50" i="33"/>
  <c r="V50" i="33"/>
  <c r="W50" i="33" s="1"/>
  <c r="Y48" i="17" s="1"/>
  <c r="U52" i="31"/>
  <c r="V52" i="31"/>
  <c r="W52" i="31" s="1"/>
  <c r="U50" i="17" s="1"/>
  <c r="J52" i="31"/>
  <c r="I52" i="31"/>
  <c r="K51" i="31"/>
  <c r="D49" i="17" s="1"/>
  <c r="K44" i="38"/>
  <c r="U52" i="18"/>
  <c r="V52" i="18"/>
  <c r="W52" i="18" s="1"/>
  <c r="T50" i="17" s="1"/>
  <c r="U50" i="32"/>
  <c r="V50" i="32"/>
  <c r="W50" i="32" s="1"/>
  <c r="W48" i="17" s="1"/>
  <c r="I51" i="18"/>
  <c r="J51" i="18"/>
  <c r="K51" i="18" s="1"/>
  <c r="C49" i="17" s="1"/>
  <c r="J42" i="38"/>
  <c r="K49" i="32"/>
  <c r="F47" i="17" s="1"/>
  <c r="L47" i="17" s="1"/>
  <c r="L46" i="38"/>
  <c r="K53" i="34"/>
  <c r="G51" i="17" s="1"/>
  <c r="I52" i="33"/>
  <c r="J52" i="33"/>
  <c r="K52" i="33" s="1"/>
  <c r="H50" i="17" s="1"/>
  <c r="J51" i="40"/>
  <c r="K51" i="40" s="1"/>
  <c r="K49" i="17" s="1"/>
  <c r="I51" i="40"/>
  <c r="J52" i="35"/>
  <c r="K52" i="35" s="1"/>
  <c r="E50" i="17" s="1"/>
  <c r="I52" i="35"/>
  <c r="V51" i="36"/>
  <c r="W51" i="36" s="1"/>
  <c r="Z49" i="17" s="1"/>
  <c r="U51" i="36"/>
  <c r="N40" i="38"/>
  <c r="O40" i="38"/>
  <c r="O46" i="17"/>
  <c r="E41" i="28"/>
  <c r="M41" i="38" s="1"/>
  <c r="V51" i="40"/>
  <c r="W51" i="40" s="1"/>
  <c r="AB49" i="17" s="1"/>
  <c r="U51" i="40"/>
  <c r="J50" i="32"/>
  <c r="I50" i="32"/>
  <c r="I54" i="34"/>
  <c r="J54" i="34"/>
  <c r="U52" i="34"/>
  <c r="V52" i="34"/>
  <c r="W52" i="34" s="1"/>
  <c r="X50" i="17" s="1"/>
  <c r="J52" i="37"/>
  <c r="K52" i="37" s="1"/>
  <c r="J50" i="17" s="1"/>
  <c r="I52" i="37"/>
  <c r="V53" i="35"/>
  <c r="W53" i="35" s="1"/>
  <c r="V51" i="17" s="1"/>
  <c r="U53" i="35"/>
  <c r="J54" i="36"/>
  <c r="K54" i="36" s="1"/>
  <c r="I52" i="17" s="1"/>
  <c r="I54" i="36"/>
  <c r="B54" i="35" l="1"/>
  <c r="O54" i="31"/>
  <c r="O54" i="37"/>
  <c r="O54" i="18"/>
  <c r="B54" i="37"/>
  <c r="B54" i="36"/>
  <c r="B54" i="40"/>
  <c r="B54" i="31"/>
  <c r="O54" i="33"/>
  <c r="B54" i="18"/>
  <c r="O54" i="32"/>
  <c r="B54" i="34"/>
  <c r="O54" i="35"/>
  <c r="B50" i="7"/>
  <c r="O54" i="40"/>
  <c r="O54" i="36"/>
  <c r="B54" i="33"/>
  <c r="B54" i="32"/>
  <c r="O54" i="34"/>
  <c r="V52" i="37"/>
  <c r="W52" i="37" s="1"/>
  <c r="AA50" i="17" s="1"/>
  <c r="U52" i="37"/>
  <c r="AC48" i="17"/>
  <c r="AF48" i="17" s="1"/>
  <c r="V51" i="33"/>
  <c r="W51" i="33" s="1"/>
  <c r="Y49" i="17" s="1"/>
  <c r="U51" i="33"/>
  <c r="V53" i="31"/>
  <c r="W53" i="31" s="1"/>
  <c r="U51" i="17" s="1"/>
  <c r="U53" i="31"/>
  <c r="I53" i="31"/>
  <c r="J53" i="31"/>
  <c r="K52" i="31"/>
  <c r="D50" i="17" s="1"/>
  <c r="K45" i="38"/>
  <c r="V51" i="32"/>
  <c r="W51" i="32" s="1"/>
  <c r="W49" i="17" s="1"/>
  <c r="U51" i="32"/>
  <c r="U53" i="18"/>
  <c r="V53" i="18"/>
  <c r="W53" i="18" s="1"/>
  <c r="T51" i="17" s="1"/>
  <c r="J51" i="32"/>
  <c r="I51" i="32"/>
  <c r="J52" i="18"/>
  <c r="K52" i="18" s="1"/>
  <c r="C50" i="17" s="1"/>
  <c r="I52" i="18"/>
  <c r="I55" i="34"/>
  <c r="J55" i="34"/>
  <c r="I52" i="40"/>
  <c r="J52" i="40"/>
  <c r="K52" i="40" s="1"/>
  <c r="K50" i="17" s="1"/>
  <c r="K54" i="34"/>
  <c r="G52" i="17" s="1"/>
  <c r="L47" i="38"/>
  <c r="V52" i="40"/>
  <c r="W52" i="40" s="1"/>
  <c r="AB50" i="17" s="1"/>
  <c r="U52" i="40"/>
  <c r="J53" i="33"/>
  <c r="K53" i="33" s="1"/>
  <c r="H51" i="17" s="1"/>
  <c r="I53" i="33"/>
  <c r="U53" i="34"/>
  <c r="V53" i="34"/>
  <c r="W53" i="34" s="1"/>
  <c r="X51" i="17" s="1"/>
  <c r="J43" i="38"/>
  <c r="K50" i="32"/>
  <c r="F48" i="17" s="1"/>
  <c r="L48" i="17" s="1"/>
  <c r="U52" i="36"/>
  <c r="V52" i="36"/>
  <c r="W52" i="36" s="1"/>
  <c r="Z50" i="17" s="1"/>
  <c r="J53" i="35"/>
  <c r="K53" i="35" s="1"/>
  <c r="E51" i="17" s="1"/>
  <c r="I53" i="35"/>
  <c r="O47" i="17"/>
  <c r="E42" i="28"/>
  <c r="M42" i="38" s="1"/>
  <c r="N41" i="38"/>
  <c r="O41" i="38"/>
  <c r="I55" i="36"/>
  <c r="J55" i="36"/>
  <c r="K55" i="36" s="1"/>
  <c r="I53" i="17" s="1"/>
  <c r="V54" i="35"/>
  <c r="W54" i="35" s="1"/>
  <c r="V52" i="17" s="1"/>
  <c r="U54" i="35"/>
  <c r="J53" i="37"/>
  <c r="K53" i="37" s="1"/>
  <c r="J51" i="17" s="1"/>
  <c r="I53" i="37"/>
  <c r="B55" i="31" l="1"/>
  <c r="O55" i="33"/>
  <c r="B55" i="33"/>
  <c r="O55" i="40"/>
  <c r="O55" i="32"/>
  <c r="B51" i="7"/>
  <c r="O55" i="18"/>
  <c r="B55" i="40"/>
  <c r="B55" i="34"/>
  <c r="O55" i="34"/>
  <c r="B55" i="18"/>
  <c r="B55" i="37"/>
  <c r="O55" i="36"/>
  <c r="O55" i="35"/>
  <c r="B55" i="36"/>
  <c r="B55" i="32"/>
  <c r="O55" i="37"/>
  <c r="B55" i="35"/>
  <c r="O55" i="31"/>
  <c r="U53" i="37"/>
  <c r="V53" i="37"/>
  <c r="W53" i="37" s="1"/>
  <c r="AA51" i="17" s="1"/>
  <c r="AC49" i="17"/>
  <c r="AF49" i="17" s="1"/>
  <c r="U52" i="33"/>
  <c r="V52" i="33"/>
  <c r="W52" i="33" s="1"/>
  <c r="Y50" i="17" s="1"/>
  <c r="V54" i="31"/>
  <c r="W54" i="31" s="1"/>
  <c r="U52" i="17" s="1"/>
  <c r="U54" i="31"/>
  <c r="K53" i="31"/>
  <c r="D51" i="17" s="1"/>
  <c r="K46" i="38"/>
  <c r="J54" i="31"/>
  <c r="I54" i="31"/>
  <c r="V54" i="18"/>
  <c r="W54" i="18" s="1"/>
  <c r="T52" i="17" s="1"/>
  <c r="U54" i="18"/>
  <c r="V52" i="32"/>
  <c r="W52" i="32" s="1"/>
  <c r="W50" i="17" s="1"/>
  <c r="U52" i="32"/>
  <c r="U53" i="36"/>
  <c r="V53" i="36"/>
  <c r="W53" i="36" s="1"/>
  <c r="Z51" i="17" s="1"/>
  <c r="U54" i="34"/>
  <c r="V54" i="34"/>
  <c r="W54" i="34" s="1"/>
  <c r="X52" i="17" s="1"/>
  <c r="I53" i="40"/>
  <c r="J53" i="40"/>
  <c r="K53" i="40" s="1"/>
  <c r="K51" i="17" s="1"/>
  <c r="I56" i="34"/>
  <c r="J56" i="34"/>
  <c r="K51" i="32"/>
  <c r="F49" i="17" s="1"/>
  <c r="L49" i="17" s="1"/>
  <c r="J44" i="38"/>
  <c r="O42" i="38"/>
  <c r="N42" i="38"/>
  <c r="J54" i="35"/>
  <c r="K54" i="35" s="1"/>
  <c r="E52" i="17" s="1"/>
  <c r="I54" i="35"/>
  <c r="O48" i="17"/>
  <c r="E43" i="28"/>
  <c r="M43" i="38" s="1"/>
  <c r="I54" i="33"/>
  <c r="J54" i="33"/>
  <c r="K54" i="33" s="1"/>
  <c r="H52" i="17" s="1"/>
  <c r="J53" i="18"/>
  <c r="K53" i="18" s="1"/>
  <c r="C51" i="17" s="1"/>
  <c r="I53" i="18"/>
  <c r="V53" i="40"/>
  <c r="W53" i="40" s="1"/>
  <c r="AB51" i="17" s="1"/>
  <c r="U53" i="40"/>
  <c r="L48" i="38"/>
  <c r="K55" i="34"/>
  <c r="G53" i="17" s="1"/>
  <c r="I52" i="32"/>
  <c r="J52" i="32"/>
  <c r="J54" i="37"/>
  <c r="K54" i="37" s="1"/>
  <c r="J52" i="17" s="1"/>
  <c r="I54" i="37"/>
  <c r="J56" i="36"/>
  <c r="K56" i="36" s="1"/>
  <c r="I54" i="17" s="1"/>
  <c r="I56" i="36"/>
  <c r="V55" i="35"/>
  <c r="W55" i="35" s="1"/>
  <c r="V53" i="17" s="1"/>
  <c r="U55" i="35"/>
  <c r="AC50" i="17" l="1"/>
  <c r="AF50" i="17" s="1"/>
  <c r="O56" i="35"/>
  <c r="B56" i="35"/>
  <c r="B56" i="18"/>
  <c r="B56" i="34"/>
  <c r="O56" i="32"/>
  <c r="B56" i="33"/>
  <c r="O56" i="33"/>
  <c r="B56" i="40"/>
  <c r="B56" i="32"/>
  <c r="O56" i="18"/>
  <c r="O56" i="40"/>
  <c r="B56" i="36"/>
  <c r="O56" i="34"/>
  <c r="O56" i="37"/>
  <c r="O56" i="31"/>
  <c r="B56" i="31"/>
  <c r="B56" i="37"/>
  <c r="B52" i="7"/>
  <c r="O56" i="36"/>
  <c r="U54" i="37"/>
  <c r="V54" i="37"/>
  <c r="W54" i="37" s="1"/>
  <c r="AA52" i="17" s="1"/>
  <c r="V53" i="33"/>
  <c r="W53" i="33" s="1"/>
  <c r="Y51" i="17" s="1"/>
  <c r="U53" i="33"/>
  <c r="U55" i="31"/>
  <c r="V55" i="31"/>
  <c r="W55" i="31" s="1"/>
  <c r="U53" i="17" s="1"/>
  <c r="J55" i="31"/>
  <c r="I55" i="31"/>
  <c r="K54" i="31"/>
  <c r="D52" i="17" s="1"/>
  <c r="K47" i="38"/>
  <c r="U55" i="18"/>
  <c r="V55" i="18"/>
  <c r="W55" i="18" s="1"/>
  <c r="T53" i="17" s="1"/>
  <c r="U53" i="32"/>
  <c r="V53" i="32"/>
  <c r="W53" i="32" s="1"/>
  <c r="W51" i="17" s="1"/>
  <c r="I55" i="33"/>
  <c r="J55" i="33"/>
  <c r="K55" i="33" s="1"/>
  <c r="H53" i="17" s="1"/>
  <c r="O49" i="17"/>
  <c r="E44" i="28"/>
  <c r="M44" i="38" s="1"/>
  <c r="U54" i="36"/>
  <c r="V54" i="36"/>
  <c r="W54" i="36" s="1"/>
  <c r="Z52" i="17" s="1"/>
  <c r="J45" i="38"/>
  <c r="K52" i="32"/>
  <c r="F50" i="17" s="1"/>
  <c r="L50" i="17" s="1"/>
  <c r="V54" i="40"/>
  <c r="W54" i="40" s="1"/>
  <c r="AB52" i="17" s="1"/>
  <c r="U54" i="40"/>
  <c r="I57" i="34"/>
  <c r="J57" i="34"/>
  <c r="V55" i="34"/>
  <c r="W55" i="34" s="1"/>
  <c r="X53" i="17" s="1"/>
  <c r="U55" i="34"/>
  <c r="N43" i="38"/>
  <c r="O43" i="38"/>
  <c r="L49" i="38"/>
  <c r="K56" i="34"/>
  <c r="G54" i="17" s="1"/>
  <c r="I54" i="40"/>
  <c r="J54" i="40"/>
  <c r="K54" i="40" s="1"/>
  <c r="K52" i="17" s="1"/>
  <c r="J53" i="32"/>
  <c r="I53" i="32"/>
  <c r="J54" i="18"/>
  <c r="K54" i="18" s="1"/>
  <c r="C52" i="17" s="1"/>
  <c r="I54" i="18"/>
  <c r="I55" i="35"/>
  <c r="J55" i="35"/>
  <c r="K55" i="35" s="1"/>
  <c r="E53" i="17" s="1"/>
  <c r="J55" i="37"/>
  <c r="K55" i="37" s="1"/>
  <c r="J53" i="17" s="1"/>
  <c r="I55" i="37"/>
  <c r="I57" i="36"/>
  <c r="J57" i="36"/>
  <c r="K57" i="36" s="1"/>
  <c r="I55" i="17" s="1"/>
  <c r="V56" i="35"/>
  <c r="W56" i="35" s="1"/>
  <c r="V54" i="17" s="1"/>
  <c r="U56" i="35"/>
  <c r="O57" i="32" l="1"/>
  <c r="O57" i="36"/>
  <c r="B57" i="34"/>
  <c r="B57" i="40"/>
  <c r="B57" i="37"/>
  <c r="O57" i="37"/>
  <c r="B57" i="32"/>
  <c r="O57" i="40"/>
  <c r="B57" i="31"/>
  <c r="O57" i="35"/>
  <c r="B57" i="18"/>
  <c r="O57" i="34"/>
  <c r="O57" i="31"/>
  <c r="B57" i="35"/>
  <c r="B57" i="36"/>
  <c r="O57" i="18"/>
  <c r="O57" i="33"/>
  <c r="B57" i="33"/>
  <c r="B53" i="7"/>
  <c r="V55" i="37"/>
  <c r="W55" i="37" s="1"/>
  <c r="AA53" i="17" s="1"/>
  <c r="U55" i="37"/>
  <c r="AC51" i="17"/>
  <c r="AF51" i="17" s="1"/>
  <c r="U54" i="33"/>
  <c r="V54" i="33"/>
  <c r="W54" i="33" s="1"/>
  <c r="Y52" i="17" s="1"/>
  <c r="V56" i="31"/>
  <c r="W56" i="31" s="1"/>
  <c r="U54" i="17" s="1"/>
  <c r="U56" i="31"/>
  <c r="J56" i="31"/>
  <c r="I56" i="31"/>
  <c r="K55" i="31"/>
  <c r="D53" i="17" s="1"/>
  <c r="K48" i="38"/>
  <c r="U54" i="32"/>
  <c r="V54" i="32"/>
  <c r="W54" i="32" s="1"/>
  <c r="W52" i="17" s="1"/>
  <c r="U56" i="18"/>
  <c r="V56" i="18"/>
  <c r="W56" i="18" s="1"/>
  <c r="T54" i="17" s="1"/>
  <c r="J56" i="35"/>
  <c r="K56" i="35" s="1"/>
  <c r="E54" i="17" s="1"/>
  <c r="I56" i="35"/>
  <c r="I56" i="33"/>
  <c r="J56" i="33"/>
  <c r="K56" i="33" s="1"/>
  <c r="H54" i="17" s="1"/>
  <c r="I55" i="40"/>
  <c r="J55" i="40"/>
  <c r="K55" i="40" s="1"/>
  <c r="K53" i="17" s="1"/>
  <c r="J58" i="34"/>
  <c r="I58" i="34"/>
  <c r="I55" i="18"/>
  <c r="J55" i="18"/>
  <c r="K55" i="18" s="1"/>
  <c r="C53" i="17" s="1"/>
  <c r="L50" i="38"/>
  <c r="K57" i="34"/>
  <c r="G55" i="17" s="1"/>
  <c r="O50" i="17"/>
  <c r="E45" i="28"/>
  <c r="M45" i="38" s="1"/>
  <c r="N44" i="38"/>
  <c r="O44" i="38"/>
  <c r="K53" i="32"/>
  <c r="F51" i="17" s="1"/>
  <c r="L51" i="17" s="1"/>
  <c r="J46" i="38"/>
  <c r="U55" i="36"/>
  <c r="V55" i="36"/>
  <c r="W55" i="36" s="1"/>
  <c r="Z53" i="17" s="1"/>
  <c r="J54" i="32"/>
  <c r="I54" i="32"/>
  <c r="V56" i="34"/>
  <c r="W56" i="34" s="1"/>
  <c r="X54" i="17" s="1"/>
  <c r="U56" i="34"/>
  <c r="U55" i="40"/>
  <c r="V55" i="40"/>
  <c r="W55" i="40" s="1"/>
  <c r="AB53" i="17" s="1"/>
  <c r="J58" i="36"/>
  <c r="K58" i="36" s="1"/>
  <c r="I56" i="17" s="1"/>
  <c r="I58" i="36"/>
  <c r="V57" i="35"/>
  <c r="W57" i="35" s="1"/>
  <c r="V55" i="17" s="1"/>
  <c r="U57" i="35"/>
  <c r="J56" i="37"/>
  <c r="K56" i="37" s="1"/>
  <c r="J54" i="17" s="1"/>
  <c r="I56" i="37"/>
  <c r="B58" i="33" l="1"/>
  <c r="B58" i="40"/>
  <c r="B58" i="37"/>
  <c r="O58" i="40"/>
  <c r="O58" i="33"/>
  <c r="O58" i="34"/>
  <c r="B58" i="35"/>
  <c r="B58" i="18"/>
  <c r="O58" i="31"/>
  <c r="O58" i="37"/>
  <c r="O58" i="32"/>
  <c r="B58" i="32"/>
  <c r="B58" i="36"/>
  <c r="O58" i="36"/>
  <c r="B58" i="34"/>
  <c r="B58" i="31"/>
  <c r="O58" i="18"/>
  <c r="O58" i="35"/>
  <c r="B54" i="7"/>
  <c r="U56" i="37"/>
  <c r="V56" i="37"/>
  <c r="W56" i="37" s="1"/>
  <c r="AA54" i="17" s="1"/>
  <c r="AC52" i="17"/>
  <c r="AF52" i="17" s="1"/>
  <c r="V55" i="33"/>
  <c r="W55" i="33" s="1"/>
  <c r="Y53" i="17" s="1"/>
  <c r="U55" i="33"/>
  <c r="V57" i="31"/>
  <c r="W57" i="31" s="1"/>
  <c r="U55" i="17" s="1"/>
  <c r="U57" i="31"/>
  <c r="J57" i="31"/>
  <c r="I57" i="31"/>
  <c r="K56" i="31"/>
  <c r="D54" i="17" s="1"/>
  <c r="K49" i="38"/>
  <c r="U57" i="18"/>
  <c r="V57" i="18"/>
  <c r="W57" i="18" s="1"/>
  <c r="T55" i="17" s="1"/>
  <c r="U55" i="32"/>
  <c r="V55" i="32"/>
  <c r="W55" i="32" s="1"/>
  <c r="W53" i="17" s="1"/>
  <c r="J57" i="35"/>
  <c r="K57" i="35" s="1"/>
  <c r="E55" i="17" s="1"/>
  <c r="I57" i="35"/>
  <c r="U57" i="34"/>
  <c r="V57" i="34"/>
  <c r="W57" i="34" s="1"/>
  <c r="X55" i="17" s="1"/>
  <c r="O45" i="38"/>
  <c r="N45" i="38"/>
  <c r="I59" i="34"/>
  <c r="J59" i="34"/>
  <c r="U56" i="40"/>
  <c r="V56" i="40"/>
  <c r="W56" i="40" s="1"/>
  <c r="AB54" i="17" s="1"/>
  <c r="K54" i="32"/>
  <c r="F52" i="17" s="1"/>
  <c r="L52" i="17" s="1"/>
  <c r="J47" i="38"/>
  <c r="E46" i="28"/>
  <c r="M46" i="38" s="1"/>
  <c r="O51" i="17"/>
  <c r="I56" i="18"/>
  <c r="J56" i="18"/>
  <c r="K56" i="18" s="1"/>
  <c r="C54" i="17" s="1"/>
  <c r="J56" i="40"/>
  <c r="K56" i="40" s="1"/>
  <c r="K54" i="17" s="1"/>
  <c r="I56" i="40"/>
  <c r="I55" i="32"/>
  <c r="J55" i="32"/>
  <c r="U56" i="36"/>
  <c r="V56" i="36"/>
  <c r="W56" i="36" s="1"/>
  <c r="Z54" i="17" s="1"/>
  <c r="L51" i="38"/>
  <c r="K58" i="34"/>
  <c r="G56" i="17" s="1"/>
  <c r="I57" i="33"/>
  <c r="J57" i="33"/>
  <c r="K57" i="33" s="1"/>
  <c r="H55" i="17" s="1"/>
  <c r="J59" i="36"/>
  <c r="K59" i="36" s="1"/>
  <c r="I57" i="17" s="1"/>
  <c r="I59" i="36"/>
  <c r="J57" i="37"/>
  <c r="K57" i="37" s="1"/>
  <c r="J55" i="17" s="1"/>
  <c r="I57" i="37"/>
  <c r="V58" i="35"/>
  <c r="W58" i="35" s="1"/>
  <c r="V56" i="17" s="1"/>
  <c r="U58" i="35"/>
  <c r="B59" i="18" l="1"/>
  <c r="B59" i="34"/>
  <c r="O59" i="18"/>
  <c r="O59" i="40"/>
  <c r="B59" i="31"/>
  <c r="O59" i="33"/>
  <c r="O59" i="37"/>
  <c r="O59" i="36"/>
  <c r="O59" i="31"/>
  <c r="O59" i="34"/>
  <c r="B59" i="37"/>
  <c r="B59" i="33"/>
  <c r="O59" i="32"/>
  <c r="B59" i="36"/>
  <c r="B59" i="32"/>
  <c r="B59" i="40"/>
  <c r="B55" i="7"/>
  <c r="B59" i="35"/>
  <c r="O59" i="35"/>
  <c r="V57" i="37"/>
  <c r="W57" i="37" s="1"/>
  <c r="AA55" i="17" s="1"/>
  <c r="U57" i="37"/>
  <c r="AC53" i="17"/>
  <c r="AF53" i="17" s="1"/>
  <c r="U56" i="33"/>
  <c r="V56" i="33"/>
  <c r="W56" i="33" s="1"/>
  <c r="Y54" i="17" s="1"/>
  <c r="V58" i="31"/>
  <c r="W58" i="31" s="1"/>
  <c r="U56" i="17" s="1"/>
  <c r="U58" i="31"/>
  <c r="J58" i="31"/>
  <c r="I58" i="31"/>
  <c r="K57" i="31"/>
  <c r="D55" i="17" s="1"/>
  <c r="K50" i="38"/>
  <c r="U56" i="32"/>
  <c r="V56" i="32"/>
  <c r="W56" i="32" s="1"/>
  <c r="W54" i="17" s="1"/>
  <c r="U58" i="18"/>
  <c r="V58" i="18"/>
  <c r="W58" i="18" s="1"/>
  <c r="T56" i="17" s="1"/>
  <c r="J56" i="32"/>
  <c r="I56" i="32"/>
  <c r="I57" i="40"/>
  <c r="J57" i="40"/>
  <c r="K57" i="40" s="1"/>
  <c r="K55" i="17" s="1"/>
  <c r="K55" i="32"/>
  <c r="F53" i="17" s="1"/>
  <c r="L53" i="17" s="1"/>
  <c r="J48" i="38"/>
  <c r="J57" i="18"/>
  <c r="K57" i="18" s="1"/>
  <c r="C55" i="17" s="1"/>
  <c r="I57" i="18"/>
  <c r="O52" i="17"/>
  <c r="E47" i="28"/>
  <c r="M47" i="38" s="1"/>
  <c r="I60" i="34"/>
  <c r="J60" i="34"/>
  <c r="I58" i="33"/>
  <c r="J58" i="33"/>
  <c r="K58" i="33" s="1"/>
  <c r="H56" i="17" s="1"/>
  <c r="V57" i="36"/>
  <c r="W57" i="36" s="1"/>
  <c r="Z55" i="17" s="1"/>
  <c r="U57" i="36"/>
  <c r="K59" i="34"/>
  <c r="G57" i="17" s="1"/>
  <c r="L52" i="38"/>
  <c r="I58" i="35"/>
  <c r="J58" i="35"/>
  <c r="K58" i="35" s="1"/>
  <c r="E56" i="17" s="1"/>
  <c r="O46" i="38"/>
  <c r="N46" i="38"/>
  <c r="V57" i="40"/>
  <c r="W57" i="40" s="1"/>
  <c r="AB55" i="17" s="1"/>
  <c r="U57" i="40"/>
  <c r="V58" i="34"/>
  <c r="W58" i="34" s="1"/>
  <c r="X56" i="17" s="1"/>
  <c r="U58" i="34"/>
  <c r="V59" i="35"/>
  <c r="W59" i="35" s="1"/>
  <c r="V57" i="17" s="1"/>
  <c r="U59" i="35"/>
  <c r="J58" i="37"/>
  <c r="K58" i="37" s="1"/>
  <c r="J56" i="17" s="1"/>
  <c r="I58" i="37"/>
  <c r="J60" i="36"/>
  <c r="K60" i="36" s="1"/>
  <c r="I58" i="17" s="1"/>
  <c r="I60" i="36"/>
  <c r="B60" i="34" l="1"/>
  <c r="B60" i="33"/>
  <c r="B60" i="37"/>
  <c r="O60" i="18"/>
  <c r="B60" i="32"/>
  <c r="O60" i="37"/>
  <c r="O60" i="32"/>
  <c r="O60" i="31"/>
  <c r="O60" i="35"/>
  <c r="O60" i="34"/>
  <c r="B60" i="35"/>
  <c r="O60" i="36"/>
  <c r="B60" i="18"/>
  <c r="B60" i="36"/>
  <c r="B60" i="40"/>
  <c r="O60" i="40"/>
  <c r="B60" i="31"/>
  <c r="B56" i="7"/>
  <c r="O60" i="33"/>
  <c r="V58" i="37"/>
  <c r="W58" i="37" s="1"/>
  <c r="AA56" i="17" s="1"/>
  <c r="U58" i="37"/>
  <c r="AC54" i="17"/>
  <c r="AF54" i="17" s="1"/>
  <c r="U57" i="33"/>
  <c r="V57" i="33"/>
  <c r="W57" i="33" s="1"/>
  <c r="Y55" i="17" s="1"/>
  <c r="V59" i="31"/>
  <c r="W59" i="31" s="1"/>
  <c r="U57" i="17" s="1"/>
  <c r="U59" i="31"/>
  <c r="K51" i="38"/>
  <c r="K58" i="31"/>
  <c r="D56" i="17" s="1"/>
  <c r="I59" i="31"/>
  <c r="J59" i="31"/>
  <c r="U59" i="18"/>
  <c r="V59" i="18"/>
  <c r="W59" i="18" s="1"/>
  <c r="T57" i="17" s="1"/>
  <c r="V57" i="32"/>
  <c r="W57" i="32" s="1"/>
  <c r="W55" i="17" s="1"/>
  <c r="U57" i="32"/>
  <c r="U58" i="36"/>
  <c r="V58" i="36"/>
  <c r="W58" i="36" s="1"/>
  <c r="Z56" i="17" s="1"/>
  <c r="E48" i="28"/>
  <c r="M48" i="38" s="1"/>
  <c r="O53" i="17"/>
  <c r="N47" i="38"/>
  <c r="O47" i="38"/>
  <c r="I57" i="32"/>
  <c r="J57" i="32"/>
  <c r="K60" i="34"/>
  <c r="G58" i="17" s="1"/>
  <c r="L53" i="38"/>
  <c r="I58" i="18"/>
  <c r="J58" i="18"/>
  <c r="K58" i="18" s="1"/>
  <c r="C56" i="17" s="1"/>
  <c r="J59" i="33"/>
  <c r="K59" i="33" s="1"/>
  <c r="H57" i="17" s="1"/>
  <c r="I59" i="33"/>
  <c r="K56" i="32"/>
  <c r="F54" i="17" s="1"/>
  <c r="L54" i="17" s="1"/>
  <c r="J49" i="38"/>
  <c r="U59" i="34"/>
  <c r="V59" i="34"/>
  <c r="W59" i="34" s="1"/>
  <c r="X57" i="17" s="1"/>
  <c r="U58" i="40"/>
  <c r="V58" i="40"/>
  <c r="W58" i="40" s="1"/>
  <c r="AB56" i="17" s="1"/>
  <c r="I59" i="35"/>
  <c r="J59" i="35"/>
  <c r="K59" i="35" s="1"/>
  <c r="E57" i="17" s="1"/>
  <c r="I61" i="34"/>
  <c r="J61" i="34"/>
  <c r="J58" i="40"/>
  <c r="K58" i="40" s="1"/>
  <c r="K56" i="17" s="1"/>
  <c r="I58" i="40"/>
  <c r="J61" i="36"/>
  <c r="K61" i="36" s="1"/>
  <c r="I59" i="17" s="1"/>
  <c r="I61" i="36"/>
  <c r="U60" i="35"/>
  <c r="V60" i="35"/>
  <c r="W60" i="35" s="1"/>
  <c r="V58" i="17" s="1"/>
  <c r="J59" i="37"/>
  <c r="K59" i="37" s="1"/>
  <c r="J57" i="17" s="1"/>
  <c r="I59" i="37"/>
  <c r="AC55" i="17" l="1"/>
  <c r="AF55" i="17" s="1"/>
  <c r="B61" i="33"/>
  <c r="O61" i="32"/>
  <c r="O61" i="34"/>
  <c r="O61" i="36"/>
  <c r="B61" i="36"/>
  <c r="B61" i="31"/>
  <c r="B61" i="32"/>
  <c r="B61" i="35"/>
  <c r="O61" i="33"/>
  <c r="B57" i="7"/>
  <c r="O61" i="18"/>
  <c r="B61" i="40"/>
  <c r="B61" i="37"/>
  <c r="B61" i="34"/>
  <c r="O61" i="40"/>
  <c r="B61" i="18"/>
  <c r="O61" i="37"/>
  <c r="O61" i="31"/>
  <c r="O61" i="35"/>
  <c r="U59" i="37"/>
  <c r="V59" i="37"/>
  <c r="W59" i="37" s="1"/>
  <c r="AA57" i="17" s="1"/>
  <c r="U58" i="33"/>
  <c r="V58" i="33"/>
  <c r="W58" i="33" s="1"/>
  <c r="Y56" i="17" s="1"/>
  <c r="V60" i="31"/>
  <c r="W60" i="31" s="1"/>
  <c r="U58" i="17" s="1"/>
  <c r="U60" i="31"/>
  <c r="K52" i="38"/>
  <c r="K59" i="31"/>
  <c r="D57" i="17" s="1"/>
  <c r="J60" i="31"/>
  <c r="I60" i="31"/>
  <c r="V58" i="32"/>
  <c r="W58" i="32" s="1"/>
  <c r="W56" i="17" s="1"/>
  <c r="U58" i="32"/>
  <c r="V60" i="18"/>
  <c r="W60" i="18" s="1"/>
  <c r="T58" i="17" s="1"/>
  <c r="U60" i="18"/>
  <c r="J59" i="40"/>
  <c r="K59" i="40" s="1"/>
  <c r="K57" i="17" s="1"/>
  <c r="I59" i="40"/>
  <c r="J60" i="33"/>
  <c r="K60" i="33" s="1"/>
  <c r="H58" i="17" s="1"/>
  <c r="I60" i="33"/>
  <c r="K57" i="32"/>
  <c r="F55" i="17" s="1"/>
  <c r="L55" i="17" s="1"/>
  <c r="J50" i="38"/>
  <c r="L54" i="38"/>
  <c r="K61" i="34"/>
  <c r="G59" i="17" s="1"/>
  <c r="J60" i="35"/>
  <c r="K60" i="35" s="1"/>
  <c r="E58" i="17" s="1"/>
  <c r="I60" i="35"/>
  <c r="U60" i="34"/>
  <c r="V60" i="34"/>
  <c r="W60" i="34" s="1"/>
  <c r="X58" i="17" s="1"/>
  <c r="I58" i="32"/>
  <c r="J58" i="32"/>
  <c r="N48" i="38"/>
  <c r="O48" i="38"/>
  <c r="I62" i="34"/>
  <c r="J62" i="34"/>
  <c r="U59" i="40"/>
  <c r="V59" i="40"/>
  <c r="W59" i="40" s="1"/>
  <c r="AB57" i="17" s="1"/>
  <c r="O54" i="17"/>
  <c r="E49" i="28"/>
  <c r="M49" i="38" s="1"/>
  <c r="J59" i="18"/>
  <c r="K59" i="18" s="1"/>
  <c r="C57" i="17" s="1"/>
  <c r="I59" i="18"/>
  <c r="U59" i="36"/>
  <c r="V59" i="36"/>
  <c r="W59" i="36" s="1"/>
  <c r="Z57" i="17" s="1"/>
  <c r="J62" i="36"/>
  <c r="K62" i="36" s="1"/>
  <c r="I60" i="17" s="1"/>
  <c r="I62" i="36"/>
  <c r="V61" i="35"/>
  <c r="W61" i="35" s="1"/>
  <c r="V59" i="17" s="1"/>
  <c r="U61" i="35"/>
  <c r="I60" i="37"/>
  <c r="J60" i="37"/>
  <c r="K60" i="37" s="1"/>
  <c r="J58" i="17" s="1"/>
  <c r="O62" i="36" l="1"/>
  <c r="O62" i="31"/>
  <c r="O62" i="18"/>
  <c r="B62" i="34"/>
  <c r="B62" i="35"/>
  <c r="O62" i="35"/>
  <c r="B58" i="7"/>
  <c r="B62" i="37"/>
  <c r="O62" i="40"/>
  <c r="B62" i="33"/>
  <c r="B62" i="40"/>
  <c r="B62" i="36"/>
  <c r="O62" i="33"/>
  <c r="B62" i="31"/>
  <c r="O62" i="37"/>
  <c r="O62" i="34"/>
  <c r="O62" i="32"/>
  <c r="B62" i="32"/>
  <c r="B62" i="18"/>
  <c r="U60" i="37"/>
  <c r="V60" i="37"/>
  <c r="W60" i="37" s="1"/>
  <c r="AA58" i="17" s="1"/>
  <c r="AC56" i="17"/>
  <c r="AF56" i="17" s="1"/>
  <c r="U59" i="33"/>
  <c r="V59" i="33"/>
  <c r="W59" i="33" s="1"/>
  <c r="Y57" i="17" s="1"/>
  <c r="U61" i="31"/>
  <c r="V61" i="31"/>
  <c r="W61" i="31" s="1"/>
  <c r="U59" i="17" s="1"/>
  <c r="I61" i="31"/>
  <c r="J61" i="31"/>
  <c r="K53" i="38"/>
  <c r="K60" i="31"/>
  <c r="D58" i="17" s="1"/>
  <c r="U61" i="18"/>
  <c r="V61" i="18"/>
  <c r="W61" i="18" s="1"/>
  <c r="T59" i="17" s="1"/>
  <c r="V59" i="32"/>
  <c r="W59" i="32" s="1"/>
  <c r="W57" i="17" s="1"/>
  <c r="U59" i="32"/>
  <c r="N49" i="38"/>
  <c r="O49" i="38"/>
  <c r="L55" i="38"/>
  <c r="K62" i="34"/>
  <c r="G60" i="17" s="1"/>
  <c r="J59" i="32"/>
  <c r="I59" i="32"/>
  <c r="V60" i="40"/>
  <c r="W60" i="40" s="1"/>
  <c r="AB58" i="17" s="1"/>
  <c r="U60" i="40"/>
  <c r="K58" i="32"/>
  <c r="F56" i="17" s="1"/>
  <c r="L56" i="17" s="1"/>
  <c r="J51" i="38"/>
  <c r="I61" i="35"/>
  <c r="J61" i="35"/>
  <c r="K61" i="35" s="1"/>
  <c r="E59" i="17" s="1"/>
  <c r="J61" i="33"/>
  <c r="K61" i="33" s="1"/>
  <c r="H59" i="17" s="1"/>
  <c r="I61" i="33"/>
  <c r="J60" i="18"/>
  <c r="K60" i="18" s="1"/>
  <c r="C58" i="17" s="1"/>
  <c r="I60" i="18"/>
  <c r="U61" i="34"/>
  <c r="V61" i="34"/>
  <c r="W61" i="34" s="1"/>
  <c r="X59" i="17" s="1"/>
  <c r="O55" i="17"/>
  <c r="E50" i="28"/>
  <c r="M50" i="38" s="1"/>
  <c r="U60" i="36"/>
  <c r="V60" i="36"/>
  <c r="W60" i="36" s="1"/>
  <c r="Z58" i="17" s="1"/>
  <c r="I63" i="34"/>
  <c r="J63" i="34"/>
  <c r="I60" i="40"/>
  <c r="J60" i="40"/>
  <c r="K60" i="40" s="1"/>
  <c r="K58" i="17" s="1"/>
  <c r="J61" i="37"/>
  <c r="K61" i="37" s="1"/>
  <c r="J59" i="17" s="1"/>
  <c r="I61" i="37"/>
  <c r="I63" i="36"/>
  <c r="J63" i="36"/>
  <c r="K63" i="36" s="1"/>
  <c r="I61" i="17" s="1"/>
  <c r="V62" i="35"/>
  <c r="W62" i="35" s="1"/>
  <c r="V60" i="17" s="1"/>
  <c r="U62" i="35"/>
  <c r="AC57" i="17" l="1"/>
  <c r="AF57" i="17" s="1"/>
  <c r="B63" i="40"/>
  <c r="B63" i="31"/>
  <c r="B63" i="34"/>
  <c r="B63" i="32"/>
  <c r="B63" i="36"/>
  <c r="B63" i="35"/>
  <c r="O63" i="36"/>
  <c r="O63" i="35"/>
  <c r="B59" i="7"/>
  <c r="O63" i="40"/>
  <c r="B63" i="18"/>
  <c r="O63" i="37"/>
  <c r="O63" i="18"/>
  <c r="O63" i="34"/>
  <c r="B63" i="37"/>
  <c r="O63" i="33"/>
  <c r="O63" i="32"/>
  <c r="B63" i="33"/>
  <c r="O63" i="31"/>
  <c r="V61" i="37"/>
  <c r="W61" i="37" s="1"/>
  <c r="AA59" i="17" s="1"/>
  <c r="U61" i="37"/>
  <c r="U60" i="33"/>
  <c r="V60" i="33"/>
  <c r="W60" i="33" s="1"/>
  <c r="Y58" i="17" s="1"/>
  <c r="V62" i="31"/>
  <c r="W62" i="31" s="1"/>
  <c r="U60" i="17" s="1"/>
  <c r="U62" i="31"/>
  <c r="K61" i="31"/>
  <c r="D59" i="17" s="1"/>
  <c r="K54" i="38"/>
  <c r="I62" i="31"/>
  <c r="J62" i="31"/>
  <c r="U62" i="18"/>
  <c r="V62" i="18"/>
  <c r="W62" i="18" s="1"/>
  <c r="T60" i="17" s="1"/>
  <c r="U60" i="32"/>
  <c r="V60" i="32"/>
  <c r="W60" i="32" s="1"/>
  <c r="W58" i="17" s="1"/>
  <c r="I61" i="40"/>
  <c r="J61" i="40"/>
  <c r="K61" i="40" s="1"/>
  <c r="K59" i="17" s="1"/>
  <c r="U61" i="36"/>
  <c r="V61" i="36"/>
  <c r="W61" i="36" s="1"/>
  <c r="Z59" i="17" s="1"/>
  <c r="U62" i="34"/>
  <c r="V62" i="34"/>
  <c r="W62" i="34" s="1"/>
  <c r="X60" i="17" s="1"/>
  <c r="I62" i="33"/>
  <c r="J62" i="33"/>
  <c r="K62" i="33" s="1"/>
  <c r="H60" i="17" s="1"/>
  <c r="O56" i="17"/>
  <c r="E51" i="28"/>
  <c r="M51" i="38" s="1"/>
  <c r="J52" i="38"/>
  <c r="K59" i="32"/>
  <c r="F57" i="17" s="1"/>
  <c r="L57" i="17" s="1"/>
  <c r="J64" i="34"/>
  <c r="I64" i="34"/>
  <c r="J60" i="32"/>
  <c r="I60" i="32"/>
  <c r="U61" i="40"/>
  <c r="V61" i="40"/>
  <c r="W61" i="40" s="1"/>
  <c r="AB59" i="17" s="1"/>
  <c r="L56" i="38"/>
  <c r="K63" i="34"/>
  <c r="G61" i="17" s="1"/>
  <c r="O50" i="38"/>
  <c r="N50" i="38"/>
  <c r="I61" i="18"/>
  <c r="J61" i="18"/>
  <c r="K61" i="18" s="1"/>
  <c r="C59" i="17" s="1"/>
  <c r="I62" i="35"/>
  <c r="J62" i="35"/>
  <c r="K62" i="35" s="1"/>
  <c r="E60" i="17" s="1"/>
  <c r="J62" i="37"/>
  <c r="K62" i="37" s="1"/>
  <c r="J60" i="17" s="1"/>
  <c r="I62" i="37"/>
  <c r="J64" i="36"/>
  <c r="K64" i="36" s="1"/>
  <c r="I62" i="17" s="1"/>
  <c r="I64" i="36"/>
  <c r="V63" i="35"/>
  <c r="W63" i="35" s="1"/>
  <c r="V61" i="17" s="1"/>
  <c r="U63" i="35"/>
  <c r="O64" i="34" l="1"/>
  <c r="B64" i="36"/>
  <c r="B64" i="31"/>
  <c r="B64" i="18"/>
  <c r="O64" i="36"/>
  <c r="O64" i="40"/>
  <c r="O64" i="37"/>
  <c r="B64" i="32"/>
  <c r="O64" i="35"/>
  <c r="B64" i="37"/>
  <c r="B64" i="34"/>
  <c r="B64" i="33"/>
  <c r="O64" i="31"/>
  <c r="O64" i="18"/>
  <c r="B64" i="35"/>
  <c r="B64" i="40"/>
  <c r="O64" i="32"/>
  <c r="B60" i="7"/>
  <c r="O64" i="33"/>
  <c r="AC58" i="17"/>
  <c r="AF58" i="17" s="1"/>
  <c r="U62" i="37"/>
  <c r="V62" i="37"/>
  <c r="W62" i="37" s="1"/>
  <c r="AA60" i="17" s="1"/>
  <c r="V61" i="33"/>
  <c r="W61" i="33" s="1"/>
  <c r="Y59" i="17" s="1"/>
  <c r="U61" i="33"/>
  <c r="V63" i="31"/>
  <c r="W63" i="31" s="1"/>
  <c r="U61" i="17" s="1"/>
  <c r="U63" i="31"/>
  <c r="I63" i="31"/>
  <c r="J63" i="31"/>
  <c r="K62" i="31"/>
  <c r="D60" i="17" s="1"/>
  <c r="K55" i="38"/>
  <c r="V61" i="32"/>
  <c r="W61" i="32" s="1"/>
  <c r="W59" i="17" s="1"/>
  <c r="U61" i="32"/>
  <c r="V63" i="18"/>
  <c r="W63" i="18" s="1"/>
  <c r="T61" i="17" s="1"/>
  <c r="U63" i="18"/>
  <c r="I61" i="32"/>
  <c r="J61" i="32"/>
  <c r="O57" i="17"/>
  <c r="E52" i="28"/>
  <c r="M52" i="38" s="1"/>
  <c r="I63" i="35"/>
  <c r="J63" i="35"/>
  <c r="K63" i="35" s="1"/>
  <c r="E61" i="17" s="1"/>
  <c r="L57" i="38"/>
  <c r="K64" i="34"/>
  <c r="G62" i="17" s="1"/>
  <c r="V63" i="34"/>
  <c r="W63" i="34" s="1"/>
  <c r="X61" i="17" s="1"/>
  <c r="U63" i="34"/>
  <c r="J62" i="40"/>
  <c r="K62" i="40" s="1"/>
  <c r="K60" i="17" s="1"/>
  <c r="I62" i="40"/>
  <c r="I65" i="34"/>
  <c r="J65" i="34"/>
  <c r="N51" i="38"/>
  <c r="O51" i="38"/>
  <c r="I62" i="18"/>
  <c r="J62" i="18"/>
  <c r="K62" i="18" s="1"/>
  <c r="C60" i="17" s="1"/>
  <c r="U62" i="40"/>
  <c r="V62" i="40"/>
  <c r="W62" i="40" s="1"/>
  <c r="AB60" i="17" s="1"/>
  <c r="J53" i="38"/>
  <c r="K60" i="32"/>
  <c r="F58" i="17" s="1"/>
  <c r="L58" i="17" s="1"/>
  <c r="I63" i="33"/>
  <c r="J63" i="33"/>
  <c r="K63" i="33" s="1"/>
  <c r="H61" i="17" s="1"/>
  <c r="V62" i="36"/>
  <c r="W62" i="36" s="1"/>
  <c r="Z60" i="17" s="1"/>
  <c r="U62" i="36"/>
  <c r="J65" i="36"/>
  <c r="K65" i="36" s="1"/>
  <c r="I63" i="17" s="1"/>
  <c r="I65" i="36"/>
  <c r="V64" i="35"/>
  <c r="W64" i="35" s="1"/>
  <c r="V62" i="17" s="1"/>
  <c r="U64" i="35"/>
  <c r="J63" i="37"/>
  <c r="K63" i="37" s="1"/>
  <c r="J61" i="17" s="1"/>
  <c r="I63" i="37"/>
  <c r="B65" i="36" l="1"/>
  <c r="B65" i="34"/>
  <c r="O65" i="31"/>
  <c r="B65" i="37"/>
  <c r="O65" i="36"/>
  <c r="O65" i="37"/>
  <c r="B61" i="7"/>
  <c r="O65" i="33"/>
  <c r="O65" i="35"/>
  <c r="B65" i="35"/>
  <c r="B65" i="31"/>
  <c r="B65" i="18"/>
  <c r="O65" i="34"/>
  <c r="B65" i="32"/>
  <c r="O65" i="40"/>
  <c r="B65" i="40"/>
  <c r="B65" i="33"/>
  <c r="O65" i="18"/>
  <c r="O65" i="32"/>
  <c r="U63" i="37"/>
  <c r="V63" i="37"/>
  <c r="W63" i="37" s="1"/>
  <c r="AA61" i="17" s="1"/>
  <c r="AC59" i="17"/>
  <c r="AF59" i="17" s="1"/>
  <c r="V62" i="33"/>
  <c r="W62" i="33" s="1"/>
  <c r="Y60" i="17" s="1"/>
  <c r="U62" i="33"/>
  <c r="V64" i="31"/>
  <c r="W64" i="31" s="1"/>
  <c r="U62" i="17" s="1"/>
  <c r="U64" i="31"/>
  <c r="K63" i="31"/>
  <c r="D61" i="17" s="1"/>
  <c r="K56" i="38"/>
  <c r="I64" i="31"/>
  <c r="J64" i="31"/>
  <c r="U62" i="32"/>
  <c r="V62" i="32"/>
  <c r="W62" i="32" s="1"/>
  <c r="W60" i="17" s="1"/>
  <c r="V64" i="18"/>
  <c r="W64" i="18" s="1"/>
  <c r="T62" i="17" s="1"/>
  <c r="U64" i="18"/>
  <c r="I63" i="18"/>
  <c r="J63" i="18"/>
  <c r="K63" i="18" s="1"/>
  <c r="C61" i="17" s="1"/>
  <c r="I66" i="34"/>
  <c r="J66" i="34"/>
  <c r="U63" i="36"/>
  <c r="V63" i="36"/>
  <c r="W63" i="36" s="1"/>
  <c r="Z61" i="17" s="1"/>
  <c r="O58" i="17"/>
  <c r="E53" i="28"/>
  <c r="M53" i="38" s="1"/>
  <c r="L58" i="38"/>
  <c r="K65" i="34"/>
  <c r="G63" i="17" s="1"/>
  <c r="U64" i="34"/>
  <c r="V64" i="34"/>
  <c r="W64" i="34" s="1"/>
  <c r="X62" i="17" s="1"/>
  <c r="N52" i="38"/>
  <c r="O52" i="38"/>
  <c r="J64" i="33"/>
  <c r="K64" i="33" s="1"/>
  <c r="H62" i="17" s="1"/>
  <c r="I64" i="33"/>
  <c r="U63" i="40"/>
  <c r="V63" i="40"/>
  <c r="W63" i="40" s="1"/>
  <c r="AB61" i="17" s="1"/>
  <c r="I64" i="35"/>
  <c r="J64" i="35"/>
  <c r="K64" i="35" s="1"/>
  <c r="E62" i="17" s="1"/>
  <c r="J62" i="32"/>
  <c r="I62" i="32"/>
  <c r="J63" i="40"/>
  <c r="K63" i="40" s="1"/>
  <c r="K61" i="17" s="1"/>
  <c r="I63" i="40"/>
  <c r="J54" i="38"/>
  <c r="K61" i="32"/>
  <c r="F59" i="17" s="1"/>
  <c r="L59" i="17" s="1"/>
  <c r="J64" i="37"/>
  <c r="K64" i="37" s="1"/>
  <c r="J62" i="17" s="1"/>
  <c r="I64" i="37"/>
  <c r="V65" i="35"/>
  <c r="W65" i="35" s="1"/>
  <c r="V63" i="17" s="1"/>
  <c r="U65" i="35"/>
  <c r="J66" i="36"/>
  <c r="K66" i="36" s="1"/>
  <c r="I64" i="17" s="1"/>
  <c r="I66" i="36"/>
  <c r="AC60" i="17" l="1"/>
  <c r="AF60" i="17" s="1"/>
  <c r="B66" i="36"/>
  <c r="B62" i="7"/>
  <c r="B66" i="34"/>
  <c r="O66" i="36"/>
  <c r="B66" i="33"/>
  <c r="O66" i="32"/>
  <c r="O66" i="35"/>
  <c r="O66" i="33"/>
  <c r="B66" i="31"/>
  <c r="O66" i="40"/>
  <c r="O66" i="31"/>
  <c r="B66" i="40"/>
  <c r="O66" i="18"/>
  <c r="B66" i="18"/>
  <c r="B66" i="37"/>
  <c r="B66" i="35"/>
  <c r="O66" i="34"/>
  <c r="O66" i="37"/>
  <c r="B66" i="32"/>
  <c r="V64" i="37"/>
  <c r="W64" i="37" s="1"/>
  <c r="AA62" i="17" s="1"/>
  <c r="U64" i="37"/>
  <c r="V63" i="33"/>
  <c r="W63" i="33" s="1"/>
  <c r="Y61" i="17" s="1"/>
  <c r="U63" i="33"/>
  <c r="V65" i="31"/>
  <c r="W65" i="31" s="1"/>
  <c r="U63" i="17" s="1"/>
  <c r="U65" i="31"/>
  <c r="K64" i="31"/>
  <c r="D62" i="17" s="1"/>
  <c r="K57" i="38"/>
  <c r="J65" i="31"/>
  <c r="I65" i="31"/>
  <c r="V63" i="32"/>
  <c r="W63" i="32" s="1"/>
  <c r="W61" i="17" s="1"/>
  <c r="U63" i="32"/>
  <c r="U65" i="18"/>
  <c r="V65" i="18"/>
  <c r="W65" i="18" s="1"/>
  <c r="T63" i="17" s="1"/>
  <c r="I64" i="40"/>
  <c r="J64" i="40"/>
  <c r="K64" i="40" s="1"/>
  <c r="K62" i="17" s="1"/>
  <c r="I65" i="33"/>
  <c r="J65" i="33"/>
  <c r="K65" i="33" s="1"/>
  <c r="H63" i="17" s="1"/>
  <c r="K66" i="34"/>
  <c r="G64" i="17" s="1"/>
  <c r="L59" i="38"/>
  <c r="K62" i="32"/>
  <c r="F60" i="17" s="1"/>
  <c r="L60" i="17" s="1"/>
  <c r="J55" i="38"/>
  <c r="U64" i="40"/>
  <c r="V64" i="40"/>
  <c r="W64" i="40" s="1"/>
  <c r="AB62" i="17" s="1"/>
  <c r="U65" i="34"/>
  <c r="V65" i="34"/>
  <c r="W65" i="34" s="1"/>
  <c r="X63" i="17" s="1"/>
  <c r="J64" i="18"/>
  <c r="K64" i="18" s="1"/>
  <c r="C62" i="17" s="1"/>
  <c r="I64" i="18"/>
  <c r="O59" i="17"/>
  <c r="E54" i="28"/>
  <c r="I63" i="32"/>
  <c r="J63" i="32"/>
  <c r="N53" i="38"/>
  <c r="O53" i="38"/>
  <c r="I65" i="35"/>
  <c r="J65" i="35"/>
  <c r="K65" i="35" s="1"/>
  <c r="E63" i="17" s="1"/>
  <c r="U64" i="36"/>
  <c r="V64" i="36"/>
  <c r="W64" i="36" s="1"/>
  <c r="Z62" i="17" s="1"/>
  <c r="I67" i="34"/>
  <c r="J67" i="34"/>
  <c r="V66" i="35"/>
  <c r="W66" i="35" s="1"/>
  <c r="V64" i="17" s="1"/>
  <c r="U66" i="35"/>
  <c r="J65" i="37"/>
  <c r="K65" i="37" s="1"/>
  <c r="J63" i="17" s="1"/>
  <c r="I65" i="37"/>
  <c r="J67" i="36"/>
  <c r="K67" i="36" s="1"/>
  <c r="I65" i="17" s="1"/>
  <c r="I67" i="36"/>
  <c r="O67" i="40" l="1"/>
  <c r="O67" i="36"/>
  <c r="B67" i="36"/>
  <c r="B67" i="34"/>
  <c r="O67" i="34"/>
  <c r="B67" i="31"/>
  <c r="B63" i="7"/>
  <c r="B67" i="33"/>
  <c r="O67" i="35"/>
  <c r="B67" i="32"/>
  <c r="B67" i="40"/>
  <c r="O67" i="31"/>
  <c r="O67" i="32"/>
  <c r="O67" i="37"/>
  <c r="B67" i="35"/>
  <c r="B67" i="18"/>
  <c r="B67" i="37"/>
  <c r="O67" i="33"/>
  <c r="O67" i="18"/>
  <c r="V65" i="37"/>
  <c r="W65" i="37" s="1"/>
  <c r="AA63" i="17" s="1"/>
  <c r="U65" i="37"/>
  <c r="AC61" i="17"/>
  <c r="AF61" i="17" s="1"/>
  <c r="V64" i="33"/>
  <c r="W64" i="33" s="1"/>
  <c r="Y62" i="17" s="1"/>
  <c r="U64" i="33"/>
  <c r="V66" i="31"/>
  <c r="W66" i="31" s="1"/>
  <c r="U64" i="17" s="1"/>
  <c r="U66" i="31"/>
  <c r="K65" i="31"/>
  <c r="D63" i="17" s="1"/>
  <c r="K58" i="38"/>
  <c r="I66" i="31"/>
  <c r="J66" i="31"/>
  <c r="U66" i="18"/>
  <c r="V66" i="18"/>
  <c r="W66" i="18" s="1"/>
  <c r="T64" i="17" s="1"/>
  <c r="V64" i="32"/>
  <c r="W64" i="32" s="1"/>
  <c r="W62" i="17" s="1"/>
  <c r="U64" i="32"/>
  <c r="V65" i="36"/>
  <c r="W65" i="36" s="1"/>
  <c r="Z63" i="17" s="1"/>
  <c r="U65" i="36"/>
  <c r="U66" i="34"/>
  <c r="V66" i="34"/>
  <c r="W66" i="34" s="1"/>
  <c r="X64" i="17" s="1"/>
  <c r="O60" i="17"/>
  <c r="E55" i="28"/>
  <c r="M55" i="38" s="1"/>
  <c r="I66" i="33"/>
  <c r="J66" i="33"/>
  <c r="K66" i="33" s="1"/>
  <c r="H64" i="17" s="1"/>
  <c r="N54" i="38"/>
  <c r="O54" i="38"/>
  <c r="I65" i="18"/>
  <c r="J65" i="18"/>
  <c r="K65" i="18" s="1"/>
  <c r="C63" i="17" s="1"/>
  <c r="I68" i="34"/>
  <c r="J68" i="34"/>
  <c r="I66" i="35"/>
  <c r="J66" i="35"/>
  <c r="K66" i="35" s="1"/>
  <c r="E64" i="17" s="1"/>
  <c r="I64" i="32"/>
  <c r="J64" i="32"/>
  <c r="V65" i="40"/>
  <c r="W65" i="40" s="1"/>
  <c r="AB63" i="17" s="1"/>
  <c r="U65" i="40"/>
  <c r="I65" i="40"/>
  <c r="J65" i="40"/>
  <c r="K65" i="40" s="1"/>
  <c r="K63" i="17" s="1"/>
  <c r="K67" i="34"/>
  <c r="G65" i="17" s="1"/>
  <c r="L60" i="38"/>
  <c r="J56" i="38"/>
  <c r="K63" i="32"/>
  <c r="F61" i="17" s="1"/>
  <c r="L61" i="17" s="1"/>
  <c r="M54" i="38"/>
  <c r="V67" i="35"/>
  <c r="W67" i="35" s="1"/>
  <c r="V65" i="17" s="1"/>
  <c r="U67" i="35"/>
  <c r="J68" i="36"/>
  <c r="K68" i="36" s="1"/>
  <c r="I66" i="17" s="1"/>
  <c r="I68" i="36"/>
  <c r="J66" i="37"/>
  <c r="K66" i="37" s="1"/>
  <c r="J64" i="17" s="1"/>
  <c r="I66" i="37"/>
  <c r="AC62" i="17" l="1"/>
  <c r="AF62" i="17" s="1"/>
  <c r="O68" i="31"/>
  <c r="O68" i="32"/>
  <c r="O68" i="37"/>
  <c r="O68" i="33"/>
  <c r="B68" i="18"/>
  <c r="B68" i="37"/>
  <c r="O68" i="35"/>
  <c r="B68" i="35"/>
  <c r="B68" i="40"/>
  <c r="O68" i="40"/>
  <c r="O68" i="18"/>
  <c r="B68" i="33"/>
  <c r="O68" i="34"/>
  <c r="B68" i="34"/>
  <c r="B68" i="32"/>
  <c r="B64" i="7"/>
  <c r="O68" i="36"/>
  <c r="B68" i="31"/>
  <c r="B68" i="36"/>
  <c r="V66" i="37"/>
  <c r="W66" i="37" s="1"/>
  <c r="AA64" i="17" s="1"/>
  <c r="U66" i="37"/>
  <c r="V65" i="33"/>
  <c r="W65" i="33" s="1"/>
  <c r="Y63" i="17" s="1"/>
  <c r="U65" i="33"/>
  <c r="V67" i="31"/>
  <c r="W67" i="31" s="1"/>
  <c r="U65" i="17" s="1"/>
  <c r="U67" i="31"/>
  <c r="K66" i="31"/>
  <c r="D64" i="17" s="1"/>
  <c r="K59" i="38"/>
  <c r="J67" i="31"/>
  <c r="I67" i="31"/>
  <c r="U65" i="32"/>
  <c r="V65" i="32"/>
  <c r="W65" i="32" s="1"/>
  <c r="W63" i="17" s="1"/>
  <c r="U67" i="18"/>
  <c r="V67" i="18"/>
  <c r="W67" i="18" s="1"/>
  <c r="T65" i="17" s="1"/>
  <c r="V66" i="40"/>
  <c r="W66" i="40" s="1"/>
  <c r="AB64" i="17" s="1"/>
  <c r="U66" i="40"/>
  <c r="J57" i="38"/>
  <c r="K64" i="32"/>
  <c r="F62" i="17" s="1"/>
  <c r="L62" i="17" s="1"/>
  <c r="L61" i="38"/>
  <c r="K68" i="34"/>
  <c r="G66" i="17" s="1"/>
  <c r="I66" i="18"/>
  <c r="J66" i="18"/>
  <c r="K66" i="18" s="1"/>
  <c r="C64" i="17" s="1"/>
  <c r="I67" i="33"/>
  <c r="J67" i="33"/>
  <c r="K67" i="33" s="1"/>
  <c r="H65" i="17" s="1"/>
  <c r="U67" i="34"/>
  <c r="V67" i="34"/>
  <c r="W67" i="34" s="1"/>
  <c r="X65" i="17" s="1"/>
  <c r="I66" i="40"/>
  <c r="J66" i="40"/>
  <c r="K66" i="40" s="1"/>
  <c r="K64" i="17" s="1"/>
  <c r="I67" i="35"/>
  <c r="J67" i="35"/>
  <c r="K67" i="35" s="1"/>
  <c r="E65" i="17" s="1"/>
  <c r="E56" i="28"/>
  <c r="M56" i="38" s="1"/>
  <c r="O61" i="17"/>
  <c r="I65" i="32"/>
  <c r="J65" i="32"/>
  <c r="J69" i="34"/>
  <c r="I69" i="34"/>
  <c r="N55" i="38"/>
  <c r="O55" i="38"/>
  <c r="V66" i="36"/>
  <c r="W66" i="36" s="1"/>
  <c r="Z64" i="17" s="1"/>
  <c r="U66" i="36"/>
  <c r="J69" i="36"/>
  <c r="K69" i="36" s="1"/>
  <c r="I67" i="17" s="1"/>
  <c r="I69" i="36"/>
  <c r="V68" i="35"/>
  <c r="W68" i="35" s="1"/>
  <c r="V66" i="17" s="1"/>
  <c r="U68" i="35"/>
  <c r="J67" i="37"/>
  <c r="K67" i="37" s="1"/>
  <c r="J65" i="17" s="1"/>
  <c r="I67" i="37"/>
  <c r="AC63" i="17" l="1"/>
  <c r="AF63" i="17" s="1"/>
  <c r="O69" i="33"/>
  <c r="B69" i="40"/>
  <c r="B69" i="36"/>
  <c r="O69" i="31"/>
  <c r="B69" i="32"/>
  <c r="O69" i="37"/>
  <c r="B65" i="7"/>
  <c r="B69" i="35"/>
  <c r="B69" i="31"/>
  <c r="O69" i="36"/>
  <c r="O69" i="34"/>
  <c r="O69" i="40"/>
  <c r="B69" i="37"/>
  <c r="B69" i="34"/>
  <c r="O69" i="18"/>
  <c r="O69" i="32"/>
  <c r="O69" i="35"/>
  <c r="B69" i="18"/>
  <c r="B69" i="33"/>
  <c r="V67" i="37"/>
  <c r="W67" i="37" s="1"/>
  <c r="AA65" i="17" s="1"/>
  <c r="U67" i="37"/>
  <c r="V66" i="33"/>
  <c r="W66" i="33" s="1"/>
  <c r="Y64" i="17" s="1"/>
  <c r="U66" i="33"/>
  <c r="V68" i="31"/>
  <c r="W68" i="31" s="1"/>
  <c r="U66" i="17" s="1"/>
  <c r="U68" i="31"/>
  <c r="I68" i="31"/>
  <c r="J68" i="31"/>
  <c r="K67" i="31"/>
  <c r="D65" i="17" s="1"/>
  <c r="K60" i="38"/>
  <c r="U68" i="18"/>
  <c r="V68" i="18"/>
  <c r="W68" i="18" s="1"/>
  <c r="T66" i="17" s="1"/>
  <c r="U66" i="32"/>
  <c r="V66" i="32"/>
  <c r="W66" i="32" s="1"/>
  <c r="W64" i="17" s="1"/>
  <c r="J58" i="38"/>
  <c r="K65" i="32"/>
  <c r="F63" i="17" s="1"/>
  <c r="L63" i="17" s="1"/>
  <c r="E57" i="28"/>
  <c r="M57" i="38" s="1"/>
  <c r="O62" i="17"/>
  <c r="L62" i="38"/>
  <c r="K69" i="34"/>
  <c r="G67" i="17" s="1"/>
  <c r="N56" i="38"/>
  <c r="O56" i="38"/>
  <c r="I68" i="35"/>
  <c r="J68" i="35"/>
  <c r="K68" i="35" s="1"/>
  <c r="E66" i="17" s="1"/>
  <c r="J67" i="40"/>
  <c r="K67" i="40" s="1"/>
  <c r="K65" i="17" s="1"/>
  <c r="I67" i="40"/>
  <c r="I68" i="33"/>
  <c r="J68" i="33"/>
  <c r="K68" i="33" s="1"/>
  <c r="H66" i="17" s="1"/>
  <c r="U67" i="36"/>
  <c r="V67" i="36"/>
  <c r="W67" i="36" s="1"/>
  <c r="Z65" i="17" s="1"/>
  <c r="I70" i="34"/>
  <c r="J70" i="34"/>
  <c r="V67" i="40"/>
  <c r="W67" i="40" s="1"/>
  <c r="AB65" i="17" s="1"/>
  <c r="U67" i="40"/>
  <c r="I66" i="32"/>
  <c r="J66" i="32"/>
  <c r="U68" i="34"/>
  <c r="V68" i="34"/>
  <c r="W68" i="34" s="1"/>
  <c r="X66" i="17" s="1"/>
  <c r="I67" i="18"/>
  <c r="J67" i="18"/>
  <c r="K67" i="18" s="1"/>
  <c r="C65" i="17" s="1"/>
  <c r="V69" i="35"/>
  <c r="W69" i="35" s="1"/>
  <c r="V67" i="17" s="1"/>
  <c r="U69" i="35"/>
  <c r="J68" i="37"/>
  <c r="K68" i="37" s="1"/>
  <c r="J66" i="17" s="1"/>
  <c r="I68" i="37"/>
  <c r="J70" i="36"/>
  <c r="K70" i="36" s="1"/>
  <c r="I68" i="17" s="1"/>
  <c r="I70" i="36"/>
  <c r="O70" i="35" l="1"/>
  <c r="B70" i="32"/>
  <c r="B70" i="40"/>
  <c r="B70" i="18"/>
  <c r="O70" i="36"/>
  <c r="O70" i="33"/>
  <c r="B70" i="37"/>
  <c r="O70" i="34"/>
  <c r="B66" i="7"/>
  <c r="B70" i="34"/>
  <c r="B70" i="35"/>
  <c r="B70" i="31"/>
  <c r="O70" i="40"/>
  <c r="O70" i="31"/>
  <c r="O70" i="37"/>
  <c r="O70" i="32"/>
  <c r="B70" i="36"/>
  <c r="B70" i="33"/>
  <c r="O70" i="18"/>
  <c r="U68" i="37"/>
  <c r="V68" i="37"/>
  <c r="W68" i="37" s="1"/>
  <c r="AA66" i="17" s="1"/>
  <c r="AC64" i="17"/>
  <c r="AF64" i="17" s="1"/>
  <c r="V67" i="33"/>
  <c r="W67" i="33" s="1"/>
  <c r="Y65" i="17" s="1"/>
  <c r="U67" i="33"/>
  <c r="V69" i="31"/>
  <c r="W69" i="31" s="1"/>
  <c r="U67" i="17" s="1"/>
  <c r="U69" i="31"/>
  <c r="K61" i="38"/>
  <c r="K68" i="31"/>
  <c r="D66" i="17" s="1"/>
  <c r="I69" i="31"/>
  <c r="J69" i="31"/>
  <c r="V67" i="32"/>
  <c r="W67" i="32" s="1"/>
  <c r="W65" i="17" s="1"/>
  <c r="U67" i="32"/>
  <c r="U69" i="18"/>
  <c r="V69" i="18"/>
  <c r="W69" i="18" s="1"/>
  <c r="T67" i="17" s="1"/>
  <c r="I68" i="18"/>
  <c r="J68" i="18"/>
  <c r="K68" i="18" s="1"/>
  <c r="C66" i="17" s="1"/>
  <c r="V68" i="36"/>
  <c r="W68" i="36" s="1"/>
  <c r="Z66" i="17" s="1"/>
  <c r="U68" i="36"/>
  <c r="I69" i="35"/>
  <c r="J69" i="35"/>
  <c r="K69" i="35" s="1"/>
  <c r="E67" i="17" s="1"/>
  <c r="U69" i="34"/>
  <c r="V69" i="34"/>
  <c r="W69" i="34" s="1"/>
  <c r="X67" i="17" s="1"/>
  <c r="J67" i="32"/>
  <c r="I67" i="32"/>
  <c r="J71" i="34"/>
  <c r="I71" i="34"/>
  <c r="N57" i="38"/>
  <c r="O57" i="38"/>
  <c r="K66" i="32"/>
  <c r="F64" i="17" s="1"/>
  <c r="L64" i="17" s="1"/>
  <c r="J59" i="38"/>
  <c r="L63" i="38"/>
  <c r="K70" i="34"/>
  <c r="G68" i="17" s="1"/>
  <c r="J68" i="40"/>
  <c r="K68" i="40" s="1"/>
  <c r="K66" i="17" s="1"/>
  <c r="I68" i="40"/>
  <c r="I69" i="33"/>
  <c r="J69" i="33"/>
  <c r="K69" i="33" s="1"/>
  <c r="H67" i="17" s="1"/>
  <c r="U68" i="40"/>
  <c r="V68" i="40"/>
  <c r="W68" i="40" s="1"/>
  <c r="AB66" i="17" s="1"/>
  <c r="O63" i="17"/>
  <c r="E58" i="28"/>
  <c r="J69" i="37"/>
  <c r="K69" i="37" s="1"/>
  <c r="J67" i="17" s="1"/>
  <c r="I69" i="37"/>
  <c r="V70" i="35"/>
  <c r="W70" i="35" s="1"/>
  <c r="V68" i="17" s="1"/>
  <c r="U70" i="35"/>
  <c r="J71" i="36"/>
  <c r="K71" i="36" s="1"/>
  <c r="I69" i="17" s="1"/>
  <c r="I71" i="36"/>
  <c r="B71" i="37" l="1"/>
  <c r="O71" i="33"/>
  <c r="O71" i="18"/>
  <c r="O71" i="35"/>
  <c r="B67" i="7"/>
  <c r="B71" i="18"/>
  <c r="O71" i="36"/>
  <c r="O71" i="37"/>
  <c r="B71" i="31"/>
  <c r="B71" i="40"/>
  <c r="O71" i="40"/>
  <c r="B71" i="34"/>
  <c r="O71" i="32"/>
  <c r="O71" i="34"/>
  <c r="B71" i="35"/>
  <c r="B71" i="36"/>
  <c r="B71" i="32"/>
  <c r="O71" i="31"/>
  <c r="B71" i="33"/>
  <c r="AC65" i="17"/>
  <c r="AF65" i="17" s="1"/>
  <c r="U69" i="37"/>
  <c r="V69" i="37"/>
  <c r="W69" i="37" s="1"/>
  <c r="AA67" i="17" s="1"/>
  <c r="V68" i="33"/>
  <c r="W68" i="33" s="1"/>
  <c r="Y66" i="17" s="1"/>
  <c r="U68" i="33"/>
  <c r="U70" i="31"/>
  <c r="V70" i="31"/>
  <c r="W70" i="31" s="1"/>
  <c r="U68" i="17" s="1"/>
  <c r="K62" i="38"/>
  <c r="K69" i="31"/>
  <c r="D67" i="17" s="1"/>
  <c r="I70" i="31"/>
  <c r="J70" i="31"/>
  <c r="U70" i="18"/>
  <c r="V70" i="18"/>
  <c r="W70" i="18" s="1"/>
  <c r="T68" i="17" s="1"/>
  <c r="V68" i="32"/>
  <c r="W68" i="32" s="1"/>
  <c r="W66" i="17" s="1"/>
  <c r="U68" i="32"/>
  <c r="J69" i="40"/>
  <c r="K69" i="40" s="1"/>
  <c r="K67" i="17" s="1"/>
  <c r="I69" i="40"/>
  <c r="U69" i="36"/>
  <c r="V69" i="36"/>
  <c r="W69" i="36" s="1"/>
  <c r="Z67" i="17" s="1"/>
  <c r="O58" i="38"/>
  <c r="N58" i="38"/>
  <c r="K67" i="32"/>
  <c r="F65" i="17" s="1"/>
  <c r="L65" i="17" s="1"/>
  <c r="J60" i="38"/>
  <c r="I70" i="35"/>
  <c r="J70" i="35"/>
  <c r="K70" i="35" s="1"/>
  <c r="E68" i="17" s="1"/>
  <c r="I69" i="18"/>
  <c r="J69" i="18"/>
  <c r="K69" i="18" s="1"/>
  <c r="C67" i="17" s="1"/>
  <c r="U69" i="40"/>
  <c r="V69" i="40"/>
  <c r="W69" i="40" s="1"/>
  <c r="AB67" i="17" s="1"/>
  <c r="I70" i="33"/>
  <c r="J70" i="33"/>
  <c r="K70" i="33" s="1"/>
  <c r="H68" i="17" s="1"/>
  <c r="I68" i="32"/>
  <c r="J68" i="32"/>
  <c r="M58" i="38"/>
  <c r="J72" i="34"/>
  <c r="I72" i="34"/>
  <c r="O64" i="17"/>
  <c r="E59" i="28"/>
  <c r="M59" i="38" s="1"/>
  <c r="K71" i="34"/>
  <c r="G69" i="17" s="1"/>
  <c r="L64" i="38"/>
  <c r="V70" i="34"/>
  <c r="W70" i="34" s="1"/>
  <c r="X68" i="17" s="1"/>
  <c r="U70" i="34"/>
  <c r="J70" i="37"/>
  <c r="K70" i="37" s="1"/>
  <c r="J68" i="17" s="1"/>
  <c r="I70" i="37"/>
  <c r="J72" i="36"/>
  <c r="K72" i="36" s="1"/>
  <c r="I70" i="17" s="1"/>
  <c r="I72" i="36"/>
  <c r="V71" i="35"/>
  <c r="W71" i="35" s="1"/>
  <c r="V69" i="17" s="1"/>
  <c r="U71" i="35"/>
  <c r="B72" i="36" l="1"/>
  <c r="B72" i="37"/>
  <c r="O72" i="35"/>
  <c r="B68" i="7"/>
  <c r="O72" i="31"/>
  <c r="O72" i="32"/>
  <c r="B72" i="40"/>
  <c r="B72" i="32"/>
  <c r="O72" i="18"/>
  <c r="O72" i="36"/>
  <c r="B72" i="33"/>
  <c r="B72" i="31"/>
  <c r="O72" i="33"/>
  <c r="O72" i="37"/>
  <c r="O72" i="40"/>
  <c r="B72" i="34"/>
  <c r="O72" i="34"/>
  <c r="B72" i="18"/>
  <c r="B72" i="35"/>
  <c r="V70" i="37"/>
  <c r="W70" i="37" s="1"/>
  <c r="AA68" i="17" s="1"/>
  <c r="U70" i="37"/>
  <c r="AC66" i="17"/>
  <c r="AF66" i="17" s="1"/>
  <c r="U69" i="33"/>
  <c r="V69" i="33"/>
  <c r="W69" i="33" s="1"/>
  <c r="Y67" i="17" s="1"/>
  <c r="V71" i="31"/>
  <c r="W71" i="31" s="1"/>
  <c r="U69" i="17" s="1"/>
  <c r="U71" i="31"/>
  <c r="K63" i="38"/>
  <c r="K70" i="31"/>
  <c r="D68" i="17" s="1"/>
  <c r="I71" i="31"/>
  <c r="J71" i="31"/>
  <c r="V69" i="32"/>
  <c r="W69" i="32" s="1"/>
  <c r="W67" i="17" s="1"/>
  <c r="U69" i="32"/>
  <c r="U71" i="18"/>
  <c r="V71" i="18"/>
  <c r="W71" i="18" s="1"/>
  <c r="T69" i="17" s="1"/>
  <c r="K68" i="32"/>
  <c r="F66" i="17" s="1"/>
  <c r="L66" i="17" s="1"/>
  <c r="J61" i="38"/>
  <c r="U71" i="34"/>
  <c r="V71" i="34"/>
  <c r="W71" i="34" s="1"/>
  <c r="X69" i="17" s="1"/>
  <c r="N59" i="38"/>
  <c r="O59" i="38"/>
  <c r="I71" i="33"/>
  <c r="J71" i="33"/>
  <c r="K71" i="33" s="1"/>
  <c r="H69" i="17" s="1"/>
  <c r="I70" i="18"/>
  <c r="J70" i="18"/>
  <c r="K70" i="18" s="1"/>
  <c r="C68" i="17" s="1"/>
  <c r="O65" i="17"/>
  <c r="E60" i="28"/>
  <c r="M60" i="38" s="1"/>
  <c r="L65" i="38"/>
  <c r="K72" i="34"/>
  <c r="G70" i="17" s="1"/>
  <c r="J70" i="40"/>
  <c r="K70" i="40" s="1"/>
  <c r="K68" i="17" s="1"/>
  <c r="I70" i="40"/>
  <c r="I73" i="34"/>
  <c r="J73" i="34"/>
  <c r="I69" i="32"/>
  <c r="J69" i="32"/>
  <c r="V70" i="40"/>
  <c r="W70" i="40" s="1"/>
  <c r="AB68" i="17" s="1"/>
  <c r="U70" i="40"/>
  <c r="I71" i="35"/>
  <c r="J71" i="35"/>
  <c r="K71" i="35" s="1"/>
  <c r="E69" i="17" s="1"/>
  <c r="V70" i="36"/>
  <c r="W70" i="36" s="1"/>
  <c r="Z68" i="17" s="1"/>
  <c r="U70" i="36"/>
  <c r="V72" i="35"/>
  <c r="W72" i="35" s="1"/>
  <c r="V70" i="17" s="1"/>
  <c r="U72" i="35"/>
  <c r="J73" i="36"/>
  <c r="K73" i="36" s="1"/>
  <c r="I71" i="17" s="1"/>
  <c r="I73" i="36"/>
  <c r="J71" i="37"/>
  <c r="K71" i="37" s="1"/>
  <c r="J69" i="17" s="1"/>
  <c r="I71" i="37"/>
  <c r="O73" i="31" l="1"/>
  <c r="B73" i="33"/>
  <c r="O73" i="34"/>
  <c r="B73" i="34"/>
  <c r="B73" i="37"/>
  <c r="O73" i="37"/>
  <c r="B73" i="32"/>
  <c r="O73" i="18"/>
  <c r="B73" i="36"/>
  <c r="O73" i="40"/>
  <c r="B73" i="18"/>
  <c r="B73" i="35"/>
  <c r="B69" i="7"/>
  <c r="O73" i="33"/>
  <c r="O73" i="35"/>
  <c r="O73" i="36"/>
  <c r="O73" i="32"/>
  <c r="B73" i="31"/>
  <c r="B73" i="40"/>
  <c r="U71" i="37"/>
  <c r="V71" i="37"/>
  <c r="W71" i="37" s="1"/>
  <c r="AA69" i="17" s="1"/>
  <c r="AC67" i="17"/>
  <c r="AF67" i="17" s="1"/>
  <c r="U70" i="33"/>
  <c r="V70" i="33"/>
  <c r="W70" i="33" s="1"/>
  <c r="Y68" i="17" s="1"/>
  <c r="V72" i="31"/>
  <c r="W72" i="31" s="1"/>
  <c r="U70" i="17" s="1"/>
  <c r="U72" i="31"/>
  <c r="I72" i="31"/>
  <c r="J72" i="31"/>
  <c r="K71" i="31"/>
  <c r="D69" i="17" s="1"/>
  <c r="K64" i="38"/>
  <c r="U72" i="18"/>
  <c r="V72" i="18"/>
  <c r="W72" i="18" s="1"/>
  <c r="T70" i="17" s="1"/>
  <c r="V70" i="32"/>
  <c r="W70" i="32" s="1"/>
  <c r="W68" i="17" s="1"/>
  <c r="U70" i="32"/>
  <c r="K69" i="32"/>
  <c r="F67" i="17" s="1"/>
  <c r="L67" i="17" s="1"/>
  <c r="J62" i="38"/>
  <c r="J71" i="40"/>
  <c r="K71" i="40" s="1"/>
  <c r="K69" i="17" s="1"/>
  <c r="I71" i="40"/>
  <c r="J71" i="18"/>
  <c r="K71" i="18" s="1"/>
  <c r="C69" i="17" s="1"/>
  <c r="I71" i="18"/>
  <c r="I74" i="34"/>
  <c r="J74" i="34"/>
  <c r="U71" i="36"/>
  <c r="V71" i="36"/>
  <c r="W71" i="36" s="1"/>
  <c r="Z69" i="17" s="1"/>
  <c r="V71" i="40"/>
  <c r="W71" i="40" s="1"/>
  <c r="AB69" i="17" s="1"/>
  <c r="U71" i="40"/>
  <c r="K73" i="34"/>
  <c r="G71" i="17" s="1"/>
  <c r="L66" i="38"/>
  <c r="J72" i="33"/>
  <c r="K72" i="33" s="1"/>
  <c r="H70" i="17" s="1"/>
  <c r="I72" i="33"/>
  <c r="U72" i="34"/>
  <c r="V72" i="34"/>
  <c r="W72" i="34" s="1"/>
  <c r="X70" i="17" s="1"/>
  <c r="E61" i="28"/>
  <c r="M61" i="38" s="1"/>
  <c r="O66" i="17"/>
  <c r="I72" i="35"/>
  <c r="J72" i="35"/>
  <c r="K72" i="35" s="1"/>
  <c r="E70" i="17" s="1"/>
  <c r="I70" i="32"/>
  <c r="J70" i="32"/>
  <c r="N60" i="38"/>
  <c r="O60" i="38"/>
  <c r="J74" i="36"/>
  <c r="K74" i="36" s="1"/>
  <c r="I72" i="17" s="1"/>
  <c r="I74" i="36"/>
  <c r="J72" i="37"/>
  <c r="K72" i="37" s="1"/>
  <c r="J70" i="17" s="1"/>
  <c r="I72" i="37"/>
  <c r="V73" i="35"/>
  <c r="W73" i="35" s="1"/>
  <c r="V71" i="17" s="1"/>
  <c r="U73" i="35"/>
  <c r="AC68" i="17" l="1"/>
  <c r="AF68" i="17" s="1"/>
  <c r="O74" i="18"/>
  <c r="B74" i="37"/>
  <c r="O74" i="40"/>
  <c r="B74" i="36"/>
  <c r="B74" i="40"/>
  <c r="B74" i="18"/>
  <c r="B74" i="35"/>
  <c r="B74" i="32"/>
  <c r="O74" i="34"/>
  <c r="O74" i="36"/>
  <c r="B70" i="7"/>
  <c r="B74" i="31"/>
  <c r="O74" i="35"/>
  <c r="B74" i="33"/>
  <c r="O74" i="31"/>
  <c r="O74" i="32"/>
  <c r="B74" i="34"/>
  <c r="O74" i="37"/>
  <c r="O74" i="33"/>
  <c r="V72" i="37"/>
  <c r="W72" i="37" s="1"/>
  <c r="AA70" i="17" s="1"/>
  <c r="U72" i="37"/>
  <c r="V71" i="33"/>
  <c r="W71" i="33" s="1"/>
  <c r="Y69" i="17" s="1"/>
  <c r="U71" i="33"/>
  <c r="V73" i="31"/>
  <c r="W73" i="31" s="1"/>
  <c r="U71" i="17" s="1"/>
  <c r="U73" i="31"/>
  <c r="K72" i="31"/>
  <c r="D70" i="17" s="1"/>
  <c r="K65" i="38"/>
  <c r="J73" i="31"/>
  <c r="I73" i="31"/>
  <c r="V73" i="18"/>
  <c r="W73" i="18" s="1"/>
  <c r="T71" i="17" s="1"/>
  <c r="U73" i="18"/>
  <c r="V71" i="32"/>
  <c r="W71" i="32" s="1"/>
  <c r="W69" i="17" s="1"/>
  <c r="U71" i="32"/>
  <c r="J73" i="35"/>
  <c r="K73" i="35" s="1"/>
  <c r="E71" i="17" s="1"/>
  <c r="I73" i="35"/>
  <c r="U73" i="34"/>
  <c r="V73" i="34"/>
  <c r="W73" i="34" s="1"/>
  <c r="X71" i="17" s="1"/>
  <c r="V72" i="36"/>
  <c r="W72" i="36" s="1"/>
  <c r="Z70" i="17" s="1"/>
  <c r="U72" i="36"/>
  <c r="I75" i="34"/>
  <c r="J75" i="34"/>
  <c r="E62" i="28"/>
  <c r="O67" i="17"/>
  <c r="L67" i="38"/>
  <c r="K74" i="34"/>
  <c r="G72" i="17" s="1"/>
  <c r="J72" i="18"/>
  <c r="K72" i="18" s="1"/>
  <c r="C70" i="17" s="1"/>
  <c r="I72" i="18"/>
  <c r="I71" i="32"/>
  <c r="J71" i="32"/>
  <c r="N61" i="38"/>
  <c r="O61" i="38"/>
  <c r="K70" i="32"/>
  <c r="F68" i="17" s="1"/>
  <c r="L68" i="17" s="1"/>
  <c r="J63" i="38"/>
  <c r="J73" i="33"/>
  <c r="K73" i="33" s="1"/>
  <c r="H71" i="17" s="1"/>
  <c r="I73" i="33"/>
  <c r="U72" i="40"/>
  <c r="V72" i="40"/>
  <c r="W72" i="40" s="1"/>
  <c r="AB70" i="17" s="1"/>
  <c r="I72" i="40"/>
  <c r="J72" i="40"/>
  <c r="K72" i="40" s="1"/>
  <c r="K70" i="17" s="1"/>
  <c r="J73" i="37"/>
  <c r="K73" i="37" s="1"/>
  <c r="J71" i="17" s="1"/>
  <c r="I73" i="37"/>
  <c r="U74" i="35"/>
  <c r="V74" i="35"/>
  <c r="W74" i="35" s="1"/>
  <c r="V72" i="17" s="1"/>
  <c r="J75" i="36"/>
  <c r="K75" i="36" s="1"/>
  <c r="I73" i="17" s="1"/>
  <c r="I75" i="36"/>
  <c r="B75" i="32" l="1"/>
  <c r="O75" i="31"/>
  <c r="O75" i="18"/>
  <c r="B71" i="7"/>
  <c r="O75" i="36"/>
  <c r="B75" i="33"/>
  <c r="B75" i="34"/>
  <c r="B75" i="31"/>
  <c r="B75" i="37"/>
  <c r="O75" i="35"/>
  <c r="O75" i="33"/>
  <c r="B75" i="40"/>
  <c r="B75" i="36"/>
  <c r="B75" i="18"/>
  <c r="O75" i="40"/>
  <c r="B75" i="35"/>
  <c r="O75" i="34"/>
  <c r="O75" i="32"/>
  <c r="O75" i="37"/>
  <c r="U73" i="37"/>
  <c r="V73" i="37"/>
  <c r="W73" i="37" s="1"/>
  <c r="AA71" i="17" s="1"/>
  <c r="AC69" i="17"/>
  <c r="AF69" i="17" s="1"/>
  <c r="V72" i="33"/>
  <c r="W72" i="33" s="1"/>
  <c r="Y70" i="17" s="1"/>
  <c r="U72" i="33"/>
  <c r="U74" i="31"/>
  <c r="V74" i="31"/>
  <c r="W74" i="31" s="1"/>
  <c r="U72" i="17" s="1"/>
  <c r="J74" i="31"/>
  <c r="I74" i="31"/>
  <c r="K66" i="38"/>
  <c r="K73" i="31"/>
  <c r="D71" i="17" s="1"/>
  <c r="V74" i="18"/>
  <c r="W74" i="18" s="1"/>
  <c r="T72" i="17" s="1"/>
  <c r="U74" i="18"/>
  <c r="V72" i="32"/>
  <c r="W72" i="32" s="1"/>
  <c r="W70" i="17" s="1"/>
  <c r="U72" i="32"/>
  <c r="J73" i="40"/>
  <c r="K73" i="40" s="1"/>
  <c r="K71" i="17" s="1"/>
  <c r="I73" i="40"/>
  <c r="J72" i="32"/>
  <c r="I72" i="32"/>
  <c r="J76" i="34"/>
  <c r="I76" i="34"/>
  <c r="V74" i="34"/>
  <c r="W74" i="34" s="1"/>
  <c r="X72" i="17" s="1"/>
  <c r="U74" i="34"/>
  <c r="I74" i="33"/>
  <c r="J74" i="33"/>
  <c r="K74" i="33" s="1"/>
  <c r="H72" i="17" s="1"/>
  <c r="K71" i="32"/>
  <c r="F69" i="17" s="1"/>
  <c r="L69" i="17" s="1"/>
  <c r="J64" i="38"/>
  <c r="L68" i="38"/>
  <c r="K75" i="34"/>
  <c r="G73" i="17" s="1"/>
  <c r="U73" i="40"/>
  <c r="V73" i="40"/>
  <c r="W73" i="40" s="1"/>
  <c r="AB71" i="17" s="1"/>
  <c r="O68" i="17"/>
  <c r="E63" i="28"/>
  <c r="M63" i="38" s="1"/>
  <c r="M62" i="38"/>
  <c r="N62" i="38"/>
  <c r="O62" i="38"/>
  <c r="I73" i="18"/>
  <c r="J73" i="18"/>
  <c r="K73" i="18" s="1"/>
  <c r="C71" i="17" s="1"/>
  <c r="U73" i="36"/>
  <c r="V73" i="36"/>
  <c r="W73" i="36" s="1"/>
  <c r="Z71" i="17" s="1"/>
  <c r="I74" i="35"/>
  <c r="J74" i="35"/>
  <c r="K74" i="35" s="1"/>
  <c r="E72" i="17" s="1"/>
  <c r="V75" i="35"/>
  <c r="W75" i="35" s="1"/>
  <c r="V73" i="17" s="1"/>
  <c r="U75" i="35"/>
  <c r="J74" i="37"/>
  <c r="K74" i="37" s="1"/>
  <c r="J72" i="17" s="1"/>
  <c r="I74" i="37"/>
  <c r="J76" i="36"/>
  <c r="K76" i="36" s="1"/>
  <c r="I74" i="17" s="1"/>
  <c r="I76" i="36"/>
  <c r="O76" i="32" l="1"/>
  <c r="O76" i="33"/>
  <c r="B76" i="40"/>
  <c r="O76" i="36"/>
  <c r="B76" i="31"/>
  <c r="B76" i="37"/>
  <c r="B76" i="36"/>
  <c r="O76" i="18"/>
  <c r="B76" i="18"/>
  <c r="O76" i="34"/>
  <c r="B72" i="7"/>
  <c r="O76" i="37"/>
  <c r="O76" i="40"/>
  <c r="O76" i="35"/>
  <c r="B76" i="34"/>
  <c r="B76" i="32"/>
  <c r="B76" i="33"/>
  <c r="O76" i="31"/>
  <c r="B76" i="35"/>
  <c r="AC70" i="17"/>
  <c r="AF70" i="17" s="1"/>
  <c r="V74" i="37"/>
  <c r="W74" i="37" s="1"/>
  <c r="AA72" i="17" s="1"/>
  <c r="U74" i="37"/>
  <c r="V73" i="33"/>
  <c r="W73" i="33" s="1"/>
  <c r="Y71" i="17" s="1"/>
  <c r="U73" i="33"/>
  <c r="V75" i="31"/>
  <c r="W75" i="31" s="1"/>
  <c r="U73" i="17" s="1"/>
  <c r="U75" i="31"/>
  <c r="I75" i="31"/>
  <c r="J75" i="31"/>
  <c r="K74" i="31"/>
  <c r="D72" i="17" s="1"/>
  <c r="K67" i="38"/>
  <c r="V73" i="32"/>
  <c r="W73" i="32" s="1"/>
  <c r="W71" i="17" s="1"/>
  <c r="U73" i="32"/>
  <c r="U75" i="18"/>
  <c r="V75" i="18"/>
  <c r="W75" i="18" s="1"/>
  <c r="T73" i="17" s="1"/>
  <c r="V74" i="40"/>
  <c r="W74" i="40" s="1"/>
  <c r="AB72" i="17" s="1"/>
  <c r="U74" i="40"/>
  <c r="I75" i="33"/>
  <c r="J75" i="33"/>
  <c r="K75" i="33" s="1"/>
  <c r="H73" i="17" s="1"/>
  <c r="L69" i="38"/>
  <c r="K76" i="34"/>
  <c r="G74" i="17" s="1"/>
  <c r="U74" i="36"/>
  <c r="V74" i="36"/>
  <c r="W74" i="36" s="1"/>
  <c r="Z72" i="17" s="1"/>
  <c r="O69" i="17"/>
  <c r="E64" i="28"/>
  <c r="M64" i="38" s="1"/>
  <c r="J65" i="38"/>
  <c r="K72" i="32"/>
  <c r="F70" i="17" s="1"/>
  <c r="L70" i="17" s="1"/>
  <c r="I77" i="34"/>
  <c r="J77" i="34"/>
  <c r="I75" i="35"/>
  <c r="J75" i="35"/>
  <c r="K75" i="35" s="1"/>
  <c r="E73" i="17" s="1"/>
  <c r="J74" i="18"/>
  <c r="K74" i="18" s="1"/>
  <c r="C72" i="17" s="1"/>
  <c r="I74" i="18"/>
  <c r="N63" i="38"/>
  <c r="O63" i="38"/>
  <c r="U75" i="34"/>
  <c r="V75" i="34"/>
  <c r="W75" i="34" s="1"/>
  <c r="X73" i="17" s="1"/>
  <c r="I73" i="32"/>
  <c r="J73" i="32"/>
  <c r="J74" i="40"/>
  <c r="K74" i="40" s="1"/>
  <c r="K72" i="17" s="1"/>
  <c r="I74" i="40"/>
  <c r="J75" i="37"/>
  <c r="K75" i="37" s="1"/>
  <c r="J73" i="17" s="1"/>
  <c r="I75" i="37"/>
  <c r="J77" i="36"/>
  <c r="K77" i="36" s="1"/>
  <c r="I75" i="17" s="1"/>
  <c r="I77" i="36"/>
  <c r="V76" i="35"/>
  <c r="W76" i="35" s="1"/>
  <c r="V74" i="17" s="1"/>
  <c r="U76" i="35"/>
  <c r="B77" i="31" l="1"/>
  <c r="O77" i="32"/>
  <c r="B77" i="35"/>
  <c r="B77" i="37"/>
  <c r="B77" i="36"/>
  <c r="O77" i="33"/>
  <c r="B77" i="18"/>
  <c r="B73" i="7"/>
  <c r="O77" i="36"/>
  <c r="B77" i="33"/>
  <c r="O77" i="34"/>
  <c r="B77" i="34"/>
  <c r="O77" i="35"/>
  <c r="B77" i="32"/>
  <c r="O77" i="37"/>
  <c r="O77" i="31"/>
  <c r="O77" i="40"/>
  <c r="O77" i="18"/>
  <c r="B77" i="40"/>
  <c r="V75" i="37"/>
  <c r="W75" i="37" s="1"/>
  <c r="AA73" i="17" s="1"/>
  <c r="U75" i="37"/>
  <c r="AC71" i="17"/>
  <c r="AF71" i="17" s="1"/>
  <c r="U74" i="33"/>
  <c r="V74" i="33"/>
  <c r="W74" i="33" s="1"/>
  <c r="Y72" i="17" s="1"/>
  <c r="U76" i="31"/>
  <c r="V76" i="31"/>
  <c r="W76" i="31" s="1"/>
  <c r="U74" i="17" s="1"/>
  <c r="I76" i="31"/>
  <c r="J76" i="31"/>
  <c r="K68" i="38"/>
  <c r="K75" i="31"/>
  <c r="D73" i="17" s="1"/>
  <c r="U74" i="32"/>
  <c r="V74" i="32"/>
  <c r="W74" i="32" s="1"/>
  <c r="W72" i="17" s="1"/>
  <c r="U76" i="18"/>
  <c r="V76" i="18"/>
  <c r="W76" i="18" s="1"/>
  <c r="T74" i="17" s="1"/>
  <c r="J66" i="38"/>
  <c r="K73" i="32"/>
  <c r="F71" i="17" s="1"/>
  <c r="L71" i="17" s="1"/>
  <c r="V76" i="34"/>
  <c r="W76" i="34" s="1"/>
  <c r="X74" i="17" s="1"/>
  <c r="U76" i="34"/>
  <c r="E65" i="28"/>
  <c r="M65" i="38" s="1"/>
  <c r="O70" i="17"/>
  <c r="J75" i="40"/>
  <c r="K75" i="40" s="1"/>
  <c r="K73" i="17" s="1"/>
  <c r="I75" i="40"/>
  <c r="J75" i="18"/>
  <c r="K75" i="18" s="1"/>
  <c r="C73" i="17" s="1"/>
  <c r="I75" i="18"/>
  <c r="L70" i="38"/>
  <c r="K77" i="34"/>
  <c r="G75" i="17" s="1"/>
  <c r="U75" i="36"/>
  <c r="V75" i="36"/>
  <c r="W75" i="36" s="1"/>
  <c r="Z73" i="17" s="1"/>
  <c r="I76" i="33"/>
  <c r="J76" i="33"/>
  <c r="K76" i="33" s="1"/>
  <c r="H74" i="17" s="1"/>
  <c r="I78" i="34"/>
  <c r="J78" i="34"/>
  <c r="J74" i="32"/>
  <c r="I74" i="32"/>
  <c r="J76" i="35"/>
  <c r="K76" i="35" s="1"/>
  <c r="E74" i="17" s="1"/>
  <c r="I76" i="35"/>
  <c r="N64" i="38"/>
  <c r="O64" i="38"/>
  <c r="U75" i="40"/>
  <c r="V75" i="40"/>
  <c r="W75" i="40" s="1"/>
  <c r="AB73" i="17" s="1"/>
  <c r="J76" i="37"/>
  <c r="K76" i="37" s="1"/>
  <c r="J74" i="17" s="1"/>
  <c r="I76" i="37"/>
  <c r="V77" i="35"/>
  <c r="W77" i="35" s="1"/>
  <c r="V75" i="17" s="1"/>
  <c r="U77" i="35"/>
  <c r="J78" i="36"/>
  <c r="K78" i="36" s="1"/>
  <c r="I76" i="17" s="1"/>
  <c r="I78" i="36"/>
  <c r="B78" i="34" l="1"/>
  <c r="B78" i="32"/>
  <c r="B78" i="36"/>
  <c r="B74" i="7"/>
  <c r="B78" i="35"/>
  <c r="O78" i="34"/>
  <c r="B78" i="40"/>
  <c r="O78" i="40"/>
  <c r="O78" i="31"/>
  <c r="O78" i="33"/>
  <c r="B78" i="31"/>
  <c r="O78" i="36"/>
  <c r="B78" i="33"/>
  <c r="O78" i="32"/>
  <c r="O78" i="35"/>
  <c r="B78" i="18"/>
  <c r="B78" i="37"/>
  <c r="O78" i="37"/>
  <c r="O78" i="18"/>
  <c r="U76" i="37"/>
  <c r="V76" i="37"/>
  <c r="W76" i="37" s="1"/>
  <c r="AA74" i="17" s="1"/>
  <c r="AC72" i="17"/>
  <c r="AF72" i="17" s="1"/>
  <c r="U75" i="33"/>
  <c r="V75" i="33"/>
  <c r="W75" i="33" s="1"/>
  <c r="Y73" i="17" s="1"/>
  <c r="V77" i="31"/>
  <c r="W77" i="31" s="1"/>
  <c r="U75" i="17" s="1"/>
  <c r="U77" i="31"/>
  <c r="K69" i="38"/>
  <c r="K76" i="31"/>
  <c r="D74" i="17" s="1"/>
  <c r="J77" i="31"/>
  <c r="I77" i="31"/>
  <c r="V77" i="18"/>
  <c r="W77" i="18" s="1"/>
  <c r="T75" i="17" s="1"/>
  <c r="U77" i="18"/>
  <c r="U75" i="32"/>
  <c r="V75" i="32"/>
  <c r="W75" i="32" s="1"/>
  <c r="W73" i="17" s="1"/>
  <c r="J67" i="38"/>
  <c r="K74" i="32"/>
  <c r="F72" i="17" s="1"/>
  <c r="L72" i="17" s="1"/>
  <c r="J77" i="33"/>
  <c r="K77" i="33" s="1"/>
  <c r="H75" i="17" s="1"/>
  <c r="I77" i="33"/>
  <c r="I75" i="32"/>
  <c r="J75" i="32"/>
  <c r="I76" i="40"/>
  <c r="J76" i="40"/>
  <c r="K76" i="40" s="1"/>
  <c r="K74" i="17" s="1"/>
  <c r="U77" i="34"/>
  <c r="V77" i="34"/>
  <c r="W77" i="34" s="1"/>
  <c r="X75" i="17" s="1"/>
  <c r="U76" i="40"/>
  <c r="V76" i="40"/>
  <c r="W76" i="40" s="1"/>
  <c r="AB74" i="17" s="1"/>
  <c r="J79" i="34"/>
  <c r="I79" i="34"/>
  <c r="V76" i="36"/>
  <c r="W76" i="36" s="1"/>
  <c r="Z74" i="17" s="1"/>
  <c r="U76" i="36"/>
  <c r="O65" i="38"/>
  <c r="N65" i="38"/>
  <c r="J77" i="35"/>
  <c r="K77" i="35" s="1"/>
  <c r="E75" i="17" s="1"/>
  <c r="I77" i="35"/>
  <c r="K78" i="34"/>
  <c r="G76" i="17" s="1"/>
  <c r="L71" i="38"/>
  <c r="I76" i="18"/>
  <c r="J76" i="18"/>
  <c r="K76" i="18" s="1"/>
  <c r="C74" i="17" s="1"/>
  <c r="O71" i="17"/>
  <c r="E66" i="28"/>
  <c r="M66" i="38" s="1"/>
  <c r="V78" i="35"/>
  <c r="W78" i="35" s="1"/>
  <c r="V76" i="17" s="1"/>
  <c r="U78" i="35"/>
  <c r="J79" i="36"/>
  <c r="K79" i="36" s="1"/>
  <c r="I77" i="17" s="1"/>
  <c r="I79" i="36"/>
  <c r="J77" i="37"/>
  <c r="K77" i="37" s="1"/>
  <c r="J75" i="17" s="1"/>
  <c r="I77" i="37"/>
  <c r="O79" i="37" l="1"/>
  <c r="B79" i="31"/>
  <c r="O79" i="18"/>
  <c r="B79" i="37"/>
  <c r="B79" i="36"/>
  <c r="O79" i="32"/>
  <c r="B79" i="40"/>
  <c r="B79" i="35"/>
  <c r="O79" i="34"/>
  <c r="O79" i="33"/>
  <c r="O79" i="35"/>
  <c r="B75" i="7"/>
  <c r="B79" i="32"/>
  <c r="B79" i="33"/>
  <c r="O79" i="31"/>
  <c r="B79" i="34"/>
  <c r="O79" i="40"/>
  <c r="O79" i="36"/>
  <c r="B79" i="18"/>
  <c r="V77" i="37"/>
  <c r="W77" i="37" s="1"/>
  <c r="AA75" i="17" s="1"/>
  <c r="U77" i="37"/>
  <c r="AC73" i="17"/>
  <c r="AF73" i="17" s="1"/>
  <c r="U76" i="33"/>
  <c r="V76" i="33"/>
  <c r="W76" i="33" s="1"/>
  <c r="Y74" i="17" s="1"/>
  <c r="U78" i="31"/>
  <c r="V78" i="31"/>
  <c r="W78" i="31" s="1"/>
  <c r="U76" i="17" s="1"/>
  <c r="J78" i="31"/>
  <c r="I78" i="31"/>
  <c r="K77" i="31"/>
  <c r="D75" i="17" s="1"/>
  <c r="K70" i="38"/>
  <c r="U78" i="18"/>
  <c r="V78" i="18"/>
  <c r="W78" i="18" s="1"/>
  <c r="T76" i="17" s="1"/>
  <c r="V76" i="32"/>
  <c r="W76" i="32" s="1"/>
  <c r="W74" i="17" s="1"/>
  <c r="U76" i="32"/>
  <c r="L72" i="38"/>
  <c r="K79" i="34"/>
  <c r="G77" i="17" s="1"/>
  <c r="J78" i="33"/>
  <c r="K78" i="33" s="1"/>
  <c r="H76" i="17" s="1"/>
  <c r="I78" i="33"/>
  <c r="O66" i="38"/>
  <c r="N66" i="38"/>
  <c r="I80" i="34"/>
  <c r="J80" i="34"/>
  <c r="I77" i="40"/>
  <c r="J77" i="40"/>
  <c r="K77" i="40" s="1"/>
  <c r="K75" i="17" s="1"/>
  <c r="I76" i="32"/>
  <c r="J76" i="32"/>
  <c r="I77" i="18"/>
  <c r="J77" i="18"/>
  <c r="K77" i="18" s="1"/>
  <c r="C75" i="17" s="1"/>
  <c r="V77" i="40"/>
  <c r="W77" i="40" s="1"/>
  <c r="AB75" i="17" s="1"/>
  <c r="U77" i="40"/>
  <c r="J68" i="38"/>
  <c r="K75" i="32"/>
  <c r="F73" i="17" s="1"/>
  <c r="L73" i="17" s="1"/>
  <c r="O72" i="17"/>
  <c r="E67" i="28"/>
  <c r="I78" i="35"/>
  <c r="J78" i="35"/>
  <c r="K78" i="35" s="1"/>
  <c r="E76" i="17" s="1"/>
  <c r="V77" i="36"/>
  <c r="W77" i="36" s="1"/>
  <c r="Z75" i="17" s="1"/>
  <c r="U77" i="36"/>
  <c r="U78" i="34"/>
  <c r="V78" i="34"/>
  <c r="W78" i="34" s="1"/>
  <c r="X76" i="17" s="1"/>
  <c r="U79" i="35"/>
  <c r="V79" i="35"/>
  <c r="W79" i="35" s="1"/>
  <c r="V77" i="17" s="1"/>
  <c r="I80" i="36"/>
  <c r="J80" i="36"/>
  <c r="K80" i="36" s="1"/>
  <c r="I78" i="17" s="1"/>
  <c r="J78" i="37"/>
  <c r="K78" i="37" s="1"/>
  <c r="J76" i="17" s="1"/>
  <c r="I78" i="37"/>
  <c r="O80" i="32" l="1"/>
  <c r="B76" i="7"/>
  <c r="O80" i="18"/>
  <c r="O80" i="31"/>
  <c r="O80" i="36"/>
  <c r="B80" i="37"/>
  <c r="O80" i="35"/>
  <c r="B80" i="18"/>
  <c r="O80" i="40"/>
  <c r="O80" i="33"/>
  <c r="B80" i="40"/>
  <c r="B80" i="35"/>
  <c r="B80" i="36"/>
  <c r="B80" i="34"/>
  <c r="O80" i="37"/>
  <c r="B80" i="32"/>
  <c r="B80" i="33"/>
  <c r="O80" i="34"/>
  <c r="B80" i="31"/>
  <c r="V78" i="37"/>
  <c r="W78" i="37" s="1"/>
  <c r="AA76" i="17" s="1"/>
  <c r="U78" i="37"/>
  <c r="AC74" i="17"/>
  <c r="AF74" i="17" s="1"/>
  <c r="U77" i="33"/>
  <c r="V77" i="33"/>
  <c r="W77" i="33" s="1"/>
  <c r="Y75" i="17" s="1"/>
  <c r="V79" i="31"/>
  <c r="W79" i="31" s="1"/>
  <c r="U77" i="17" s="1"/>
  <c r="U79" i="31"/>
  <c r="I79" i="31"/>
  <c r="J79" i="31"/>
  <c r="K71" i="38"/>
  <c r="K78" i="31"/>
  <c r="D76" i="17" s="1"/>
  <c r="V77" i="32"/>
  <c r="W77" i="32" s="1"/>
  <c r="W75" i="17" s="1"/>
  <c r="U77" i="32"/>
  <c r="U79" i="18"/>
  <c r="V79" i="18"/>
  <c r="W79" i="18" s="1"/>
  <c r="T77" i="17" s="1"/>
  <c r="U79" i="34"/>
  <c r="V79" i="34"/>
  <c r="W79" i="34" s="1"/>
  <c r="X77" i="17" s="1"/>
  <c r="I79" i="35"/>
  <c r="J79" i="35"/>
  <c r="K79" i="35" s="1"/>
  <c r="E77" i="17" s="1"/>
  <c r="I78" i="18"/>
  <c r="J78" i="18"/>
  <c r="K78" i="18" s="1"/>
  <c r="C76" i="17" s="1"/>
  <c r="O73" i="17"/>
  <c r="E68" i="28"/>
  <c r="M68" i="38" s="1"/>
  <c r="I77" i="32"/>
  <c r="J77" i="32"/>
  <c r="I81" i="34"/>
  <c r="J81" i="34"/>
  <c r="J69" i="38"/>
  <c r="K76" i="32"/>
  <c r="F74" i="17" s="1"/>
  <c r="L74" i="17" s="1"/>
  <c r="K80" i="34"/>
  <c r="G78" i="17" s="1"/>
  <c r="L73" i="38"/>
  <c r="J79" i="33"/>
  <c r="K79" i="33" s="1"/>
  <c r="H77" i="17" s="1"/>
  <c r="I79" i="33"/>
  <c r="V78" i="36"/>
  <c r="W78" i="36" s="1"/>
  <c r="Z76" i="17" s="1"/>
  <c r="U78" i="36"/>
  <c r="N67" i="38"/>
  <c r="O67" i="38"/>
  <c r="U78" i="40"/>
  <c r="V78" i="40"/>
  <c r="W78" i="40" s="1"/>
  <c r="AB76" i="17" s="1"/>
  <c r="I78" i="40"/>
  <c r="J78" i="40"/>
  <c r="K78" i="40" s="1"/>
  <c r="K76" i="17" s="1"/>
  <c r="M67" i="38"/>
  <c r="J79" i="37"/>
  <c r="K79" i="37" s="1"/>
  <c r="J77" i="17" s="1"/>
  <c r="I79" i="37"/>
  <c r="J81" i="36"/>
  <c r="K81" i="36" s="1"/>
  <c r="I79" i="17" s="1"/>
  <c r="I81" i="36"/>
  <c r="V80" i="35"/>
  <c r="W80" i="35" s="1"/>
  <c r="V78" i="17" s="1"/>
  <c r="U80" i="35"/>
  <c r="O81" i="18" l="1"/>
  <c r="O81" i="33"/>
  <c r="B81" i="31"/>
  <c r="O81" i="34"/>
  <c r="B77" i="7"/>
  <c r="O81" i="35"/>
  <c r="O81" i="32"/>
  <c r="O81" i="37"/>
  <c r="B81" i="32"/>
  <c r="B81" i="36"/>
  <c r="B81" i="33"/>
  <c r="B81" i="35"/>
  <c r="O81" i="31"/>
  <c r="B81" i="40"/>
  <c r="O81" i="40"/>
  <c r="B81" i="34"/>
  <c r="O81" i="36"/>
  <c r="B81" i="18"/>
  <c r="B81" i="37"/>
  <c r="V79" i="37"/>
  <c r="W79" i="37" s="1"/>
  <c r="AA77" i="17" s="1"/>
  <c r="U79" i="37"/>
  <c r="AC75" i="17"/>
  <c r="AF75" i="17" s="1"/>
  <c r="U78" i="33"/>
  <c r="V78" i="33"/>
  <c r="W78" i="33" s="1"/>
  <c r="Y76" i="17" s="1"/>
  <c r="V80" i="31"/>
  <c r="W80" i="31" s="1"/>
  <c r="U78" i="17" s="1"/>
  <c r="U80" i="31"/>
  <c r="K72" i="38"/>
  <c r="K79" i="31"/>
  <c r="D77" i="17" s="1"/>
  <c r="J80" i="31"/>
  <c r="I80" i="31"/>
  <c r="V80" i="18"/>
  <c r="W80" i="18" s="1"/>
  <c r="T78" i="17" s="1"/>
  <c r="U80" i="18"/>
  <c r="U78" i="32"/>
  <c r="V78" i="32"/>
  <c r="W78" i="32" s="1"/>
  <c r="W76" i="17" s="1"/>
  <c r="U79" i="36"/>
  <c r="V79" i="36"/>
  <c r="W79" i="36" s="1"/>
  <c r="Z77" i="17" s="1"/>
  <c r="I78" i="32"/>
  <c r="J78" i="32"/>
  <c r="J80" i="35"/>
  <c r="K80" i="35" s="1"/>
  <c r="E78" i="17" s="1"/>
  <c r="I80" i="35"/>
  <c r="I79" i="40"/>
  <c r="J79" i="40"/>
  <c r="K79" i="40" s="1"/>
  <c r="K77" i="17" s="1"/>
  <c r="K77" i="32"/>
  <c r="F75" i="17" s="1"/>
  <c r="L75" i="17" s="1"/>
  <c r="J70" i="38"/>
  <c r="I80" i="33"/>
  <c r="J80" i="33"/>
  <c r="K80" i="33" s="1"/>
  <c r="H78" i="17" s="1"/>
  <c r="E69" i="28"/>
  <c r="M69" i="38" s="1"/>
  <c r="O74" i="17"/>
  <c r="I82" i="34"/>
  <c r="J82" i="34"/>
  <c r="J79" i="18"/>
  <c r="K79" i="18" s="1"/>
  <c r="C77" i="17" s="1"/>
  <c r="I79" i="18"/>
  <c r="U80" i="34"/>
  <c r="V80" i="34"/>
  <c r="W80" i="34" s="1"/>
  <c r="X78" i="17" s="1"/>
  <c r="U79" i="40"/>
  <c r="V79" i="40"/>
  <c r="W79" i="40" s="1"/>
  <c r="AB77" i="17" s="1"/>
  <c r="K81" i="34"/>
  <c r="G79" i="17" s="1"/>
  <c r="L74" i="38"/>
  <c r="N68" i="38"/>
  <c r="O68" i="38"/>
  <c r="J82" i="36"/>
  <c r="K82" i="36" s="1"/>
  <c r="I80" i="17" s="1"/>
  <c r="I82" i="36"/>
  <c r="V81" i="35"/>
  <c r="W81" i="35" s="1"/>
  <c r="V79" i="17" s="1"/>
  <c r="U81" i="35"/>
  <c r="J80" i="37"/>
  <c r="K80" i="37" s="1"/>
  <c r="J78" i="17" s="1"/>
  <c r="I80" i="37"/>
  <c r="B82" i="37" l="1"/>
  <c r="B82" i="40"/>
  <c r="O82" i="33"/>
  <c r="O82" i="35"/>
  <c r="O82" i="18"/>
  <c r="B82" i="31"/>
  <c r="B82" i="32"/>
  <c r="O82" i="31"/>
  <c r="O82" i="37"/>
  <c r="B78" i="7"/>
  <c r="O82" i="40"/>
  <c r="O82" i="32"/>
  <c r="B82" i="36"/>
  <c r="B82" i="33"/>
  <c r="O82" i="34"/>
  <c r="O82" i="36"/>
  <c r="B82" i="35"/>
  <c r="B82" i="34"/>
  <c r="B82" i="18"/>
  <c r="V80" i="37"/>
  <c r="W80" i="37" s="1"/>
  <c r="AA78" i="17" s="1"/>
  <c r="U80" i="37"/>
  <c r="AC76" i="17"/>
  <c r="AF76" i="17" s="1"/>
  <c r="V79" i="33"/>
  <c r="W79" i="33" s="1"/>
  <c r="Y77" i="17" s="1"/>
  <c r="U79" i="33"/>
  <c r="V81" i="31"/>
  <c r="W81" i="31" s="1"/>
  <c r="U79" i="17" s="1"/>
  <c r="U81" i="31"/>
  <c r="J81" i="31"/>
  <c r="I81" i="31"/>
  <c r="K80" i="31"/>
  <c r="D78" i="17" s="1"/>
  <c r="K73" i="38"/>
  <c r="U81" i="18"/>
  <c r="V81" i="18"/>
  <c r="W81" i="18" s="1"/>
  <c r="T79" i="17" s="1"/>
  <c r="V79" i="32"/>
  <c r="W79" i="32" s="1"/>
  <c r="W77" i="17" s="1"/>
  <c r="U79" i="32"/>
  <c r="L75" i="38"/>
  <c r="K82" i="34"/>
  <c r="G80" i="17" s="1"/>
  <c r="J71" i="38"/>
  <c r="K78" i="32"/>
  <c r="F76" i="17" s="1"/>
  <c r="L76" i="17" s="1"/>
  <c r="U80" i="40"/>
  <c r="V80" i="40"/>
  <c r="W80" i="40" s="1"/>
  <c r="AB78" i="17" s="1"/>
  <c r="N69" i="38"/>
  <c r="O69" i="38"/>
  <c r="O75" i="17"/>
  <c r="E70" i="28"/>
  <c r="M70" i="38" s="1"/>
  <c r="V80" i="36"/>
  <c r="W80" i="36" s="1"/>
  <c r="Z78" i="17" s="1"/>
  <c r="U80" i="36"/>
  <c r="J80" i="18"/>
  <c r="K80" i="18" s="1"/>
  <c r="C78" i="17" s="1"/>
  <c r="I80" i="18"/>
  <c r="J81" i="35"/>
  <c r="K81" i="35" s="1"/>
  <c r="E79" i="17" s="1"/>
  <c r="I81" i="35"/>
  <c r="U81" i="34"/>
  <c r="V81" i="34"/>
  <c r="W81" i="34" s="1"/>
  <c r="X79" i="17" s="1"/>
  <c r="I83" i="34"/>
  <c r="J83" i="34"/>
  <c r="J81" i="33"/>
  <c r="K81" i="33" s="1"/>
  <c r="H79" i="17" s="1"/>
  <c r="I81" i="33"/>
  <c r="J80" i="40"/>
  <c r="K80" i="40" s="1"/>
  <c r="K78" i="17" s="1"/>
  <c r="I80" i="40"/>
  <c r="J79" i="32"/>
  <c r="I79" i="32"/>
  <c r="J81" i="37"/>
  <c r="K81" i="37" s="1"/>
  <c r="J79" i="17" s="1"/>
  <c r="I81" i="37"/>
  <c r="U82" i="35"/>
  <c r="V82" i="35"/>
  <c r="W82" i="35" s="1"/>
  <c r="V80" i="17" s="1"/>
  <c r="J83" i="36"/>
  <c r="K83" i="36" s="1"/>
  <c r="I81" i="17" s="1"/>
  <c r="I83" i="36"/>
  <c r="AC77" i="17" l="1"/>
  <c r="AF77" i="17" s="1"/>
  <c r="B83" i="33"/>
  <c r="O83" i="40"/>
  <c r="B79" i="7"/>
  <c r="B83" i="40"/>
  <c r="B83" i="35"/>
  <c r="O83" i="31"/>
  <c r="B83" i="31"/>
  <c r="O83" i="36"/>
  <c r="B83" i="37"/>
  <c r="O83" i="18"/>
  <c r="B83" i="18"/>
  <c r="B83" i="34"/>
  <c r="B83" i="36"/>
  <c r="O83" i="34"/>
  <c r="O83" i="33"/>
  <c r="O83" i="35"/>
  <c r="O83" i="37"/>
  <c r="O83" i="32"/>
  <c r="B83" i="32"/>
  <c r="V81" i="37"/>
  <c r="W81" i="37" s="1"/>
  <c r="AA79" i="17" s="1"/>
  <c r="U81" i="37"/>
  <c r="V80" i="33"/>
  <c r="W80" i="33" s="1"/>
  <c r="Y78" i="17" s="1"/>
  <c r="U80" i="33"/>
  <c r="V82" i="31"/>
  <c r="W82" i="31" s="1"/>
  <c r="U80" i="17" s="1"/>
  <c r="U82" i="31"/>
  <c r="I82" i="31"/>
  <c r="J82" i="31"/>
  <c r="K81" i="31"/>
  <c r="D79" i="17" s="1"/>
  <c r="K74" i="38"/>
  <c r="V80" i="32"/>
  <c r="W80" i="32" s="1"/>
  <c r="W78" i="17" s="1"/>
  <c r="U80" i="32"/>
  <c r="U82" i="18"/>
  <c r="V82" i="18"/>
  <c r="W82" i="18" s="1"/>
  <c r="T80" i="17" s="1"/>
  <c r="J72" i="38"/>
  <c r="K79" i="32"/>
  <c r="F77" i="17" s="1"/>
  <c r="L77" i="17" s="1"/>
  <c r="J84" i="34"/>
  <c r="I84" i="34"/>
  <c r="L76" i="38"/>
  <c r="K83" i="34"/>
  <c r="G81" i="17" s="1"/>
  <c r="I82" i="35"/>
  <c r="J82" i="35"/>
  <c r="K82" i="35" s="1"/>
  <c r="E80" i="17" s="1"/>
  <c r="V81" i="36"/>
  <c r="W81" i="36" s="1"/>
  <c r="Z79" i="17" s="1"/>
  <c r="U81" i="36"/>
  <c r="V82" i="34"/>
  <c r="W82" i="34" s="1"/>
  <c r="X80" i="17" s="1"/>
  <c r="U82" i="34"/>
  <c r="V81" i="40"/>
  <c r="W81" i="40" s="1"/>
  <c r="AB79" i="17" s="1"/>
  <c r="U81" i="40"/>
  <c r="I80" i="32"/>
  <c r="J80" i="32"/>
  <c r="E71" i="28"/>
  <c r="O76" i="17"/>
  <c r="I81" i="40"/>
  <c r="J81" i="40"/>
  <c r="K81" i="40" s="1"/>
  <c r="K79" i="17" s="1"/>
  <c r="J82" i="33"/>
  <c r="K82" i="33" s="1"/>
  <c r="H80" i="17" s="1"/>
  <c r="I82" i="33"/>
  <c r="I81" i="18"/>
  <c r="J81" i="18"/>
  <c r="K81" i="18" s="1"/>
  <c r="C79" i="17" s="1"/>
  <c r="N70" i="38"/>
  <c r="O70" i="38"/>
  <c r="V83" i="35"/>
  <c r="W83" i="35" s="1"/>
  <c r="V81" i="17" s="1"/>
  <c r="U83" i="35"/>
  <c r="J82" i="37"/>
  <c r="K82" i="37" s="1"/>
  <c r="J80" i="17" s="1"/>
  <c r="I82" i="37"/>
  <c r="J84" i="36"/>
  <c r="K84" i="36" s="1"/>
  <c r="I82" i="17" s="1"/>
  <c r="I84" i="36"/>
  <c r="B84" i="32" l="1"/>
  <c r="O84" i="37"/>
  <c r="B84" i="18"/>
  <c r="B84" i="34"/>
  <c r="O84" i="32"/>
  <c r="O84" i="18"/>
  <c r="B84" i="37"/>
  <c r="O84" i="34"/>
  <c r="O84" i="36"/>
  <c r="O84" i="40"/>
  <c r="O84" i="31"/>
  <c r="B80" i="7"/>
  <c r="B84" i="36"/>
  <c r="B84" i="33"/>
  <c r="O84" i="33"/>
  <c r="O84" i="35"/>
  <c r="B84" i="35"/>
  <c r="B84" i="31"/>
  <c r="B84" i="40"/>
  <c r="U82" i="37"/>
  <c r="V82" i="37"/>
  <c r="W82" i="37" s="1"/>
  <c r="AA80" i="17" s="1"/>
  <c r="AC78" i="17"/>
  <c r="AF78" i="17" s="1"/>
  <c r="V81" i="33"/>
  <c r="W81" i="33" s="1"/>
  <c r="Y79" i="17" s="1"/>
  <c r="U81" i="33"/>
  <c r="V83" i="31"/>
  <c r="W83" i="31" s="1"/>
  <c r="U81" i="17" s="1"/>
  <c r="U83" i="31"/>
  <c r="K75" i="38"/>
  <c r="K82" i="31"/>
  <c r="D80" i="17" s="1"/>
  <c r="J83" i="31"/>
  <c r="I83" i="31"/>
  <c r="V83" i="18"/>
  <c r="W83" i="18" s="1"/>
  <c r="T81" i="17" s="1"/>
  <c r="U83" i="18"/>
  <c r="U81" i="32"/>
  <c r="V81" i="32"/>
  <c r="W81" i="32" s="1"/>
  <c r="W79" i="17" s="1"/>
  <c r="U82" i="40"/>
  <c r="V82" i="40"/>
  <c r="W82" i="40" s="1"/>
  <c r="AB80" i="17" s="1"/>
  <c r="U82" i="36"/>
  <c r="V82" i="36"/>
  <c r="W82" i="36" s="1"/>
  <c r="Z80" i="17" s="1"/>
  <c r="N71" i="38"/>
  <c r="O71" i="38"/>
  <c r="I83" i="35"/>
  <c r="J83" i="35"/>
  <c r="K83" i="35" s="1"/>
  <c r="E81" i="17" s="1"/>
  <c r="K84" i="34"/>
  <c r="G82" i="17" s="1"/>
  <c r="L77" i="38"/>
  <c r="I83" i="33"/>
  <c r="J83" i="33"/>
  <c r="K83" i="33" s="1"/>
  <c r="H81" i="17" s="1"/>
  <c r="V83" i="34"/>
  <c r="W83" i="34" s="1"/>
  <c r="X81" i="17" s="1"/>
  <c r="U83" i="34"/>
  <c r="J85" i="34"/>
  <c r="I85" i="34"/>
  <c r="E72" i="28"/>
  <c r="M72" i="38" s="1"/>
  <c r="O77" i="17"/>
  <c r="M71" i="38"/>
  <c r="J73" i="38"/>
  <c r="K80" i="32"/>
  <c r="F78" i="17" s="1"/>
  <c r="L78" i="17" s="1"/>
  <c r="J82" i="18"/>
  <c r="K82" i="18" s="1"/>
  <c r="C80" i="17" s="1"/>
  <c r="I82" i="18"/>
  <c r="J82" i="40"/>
  <c r="K82" i="40" s="1"/>
  <c r="K80" i="17" s="1"/>
  <c r="I82" i="40"/>
  <c r="I81" i="32"/>
  <c r="J81" i="32"/>
  <c r="I85" i="36"/>
  <c r="J85" i="36"/>
  <c r="K85" i="36" s="1"/>
  <c r="I83" i="17" s="1"/>
  <c r="J83" i="37"/>
  <c r="K83" i="37" s="1"/>
  <c r="J81" i="17" s="1"/>
  <c r="I83" i="37"/>
  <c r="V84" i="35"/>
  <c r="W84" i="35" s="1"/>
  <c r="V82" i="17" s="1"/>
  <c r="U84" i="35"/>
  <c r="B81" i="7" l="1"/>
  <c r="B85" i="32"/>
  <c r="B85" i="35"/>
  <c r="B85" i="36"/>
  <c r="O85" i="35"/>
  <c r="O85" i="36"/>
  <c r="O85" i="34"/>
  <c r="O85" i="37"/>
  <c r="B85" i="18"/>
  <c r="B85" i="31"/>
  <c r="O85" i="31"/>
  <c r="O85" i="32"/>
  <c r="O85" i="18"/>
  <c r="B85" i="33"/>
  <c r="B85" i="37"/>
  <c r="O85" i="40"/>
  <c r="B85" i="34"/>
  <c r="O85" i="33"/>
  <c r="B85" i="40"/>
  <c r="U83" i="37"/>
  <c r="V83" i="37"/>
  <c r="W83" i="37" s="1"/>
  <c r="AA81" i="17" s="1"/>
  <c r="AC79" i="17"/>
  <c r="AF79" i="17" s="1"/>
  <c r="U82" i="33"/>
  <c r="V82" i="33"/>
  <c r="W82" i="33" s="1"/>
  <c r="Y80" i="17" s="1"/>
  <c r="V84" i="31"/>
  <c r="W84" i="31" s="1"/>
  <c r="U82" i="17" s="1"/>
  <c r="U84" i="31"/>
  <c r="I84" i="31"/>
  <c r="J84" i="31"/>
  <c r="K76" i="38"/>
  <c r="K83" i="31"/>
  <c r="D81" i="17" s="1"/>
  <c r="V84" i="18"/>
  <c r="W84" i="18" s="1"/>
  <c r="T82" i="17" s="1"/>
  <c r="U84" i="18"/>
  <c r="U82" i="32"/>
  <c r="V82" i="32"/>
  <c r="W82" i="32" s="1"/>
  <c r="W80" i="17" s="1"/>
  <c r="J82" i="32"/>
  <c r="I82" i="32"/>
  <c r="I84" i="33"/>
  <c r="J84" i="33"/>
  <c r="K84" i="33" s="1"/>
  <c r="H82" i="17" s="1"/>
  <c r="U83" i="36"/>
  <c r="V83" i="36"/>
  <c r="W83" i="36" s="1"/>
  <c r="Z81" i="17" s="1"/>
  <c r="J74" i="38"/>
  <c r="K81" i="32"/>
  <c r="F79" i="17" s="1"/>
  <c r="L79" i="17" s="1"/>
  <c r="I83" i="18"/>
  <c r="J83" i="18"/>
  <c r="K83" i="18" s="1"/>
  <c r="C81" i="17" s="1"/>
  <c r="J86" i="34"/>
  <c r="I86" i="34"/>
  <c r="O72" i="38"/>
  <c r="N72" i="38"/>
  <c r="V83" i="40"/>
  <c r="W83" i="40" s="1"/>
  <c r="AB81" i="17" s="1"/>
  <c r="U83" i="40"/>
  <c r="L78" i="38"/>
  <c r="K85" i="34"/>
  <c r="G83" i="17" s="1"/>
  <c r="I84" i="35"/>
  <c r="J84" i="35"/>
  <c r="K84" i="35" s="1"/>
  <c r="E82" i="17" s="1"/>
  <c r="J83" i="40"/>
  <c r="K83" i="40" s="1"/>
  <c r="K81" i="17" s="1"/>
  <c r="I83" i="40"/>
  <c r="E73" i="28"/>
  <c r="M73" i="38" s="1"/>
  <c r="O78" i="17"/>
  <c r="U84" i="34"/>
  <c r="V84" i="34"/>
  <c r="W84" i="34" s="1"/>
  <c r="X82" i="17" s="1"/>
  <c r="J86" i="36"/>
  <c r="K86" i="36" s="1"/>
  <c r="I84" i="17" s="1"/>
  <c r="I86" i="36"/>
  <c r="U85" i="35"/>
  <c r="V85" i="35"/>
  <c r="W85" i="35" s="1"/>
  <c r="V83" i="17" s="1"/>
  <c r="J84" i="37"/>
  <c r="K84" i="37" s="1"/>
  <c r="J82" i="17" s="1"/>
  <c r="I84" i="37"/>
  <c r="B86" i="37" l="1"/>
  <c r="B86" i="31"/>
  <c r="O86" i="40"/>
  <c r="O86" i="31"/>
  <c r="O86" i="37"/>
  <c r="O86" i="35"/>
  <c r="B86" i="35"/>
  <c r="B86" i="36"/>
  <c r="B86" i="32"/>
  <c r="B86" i="33"/>
  <c r="O86" i="36"/>
  <c r="O86" i="32"/>
  <c r="O86" i="34"/>
  <c r="O86" i="33"/>
  <c r="B86" i="40"/>
  <c r="O86" i="18"/>
  <c r="B82" i="7"/>
  <c r="B86" i="34"/>
  <c r="B86" i="18"/>
  <c r="V84" i="37"/>
  <c r="W84" i="37" s="1"/>
  <c r="AA82" i="17" s="1"/>
  <c r="U84" i="37"/>
  <c r="AC80" i="17"/>
  <c r="AF80" i="17" s="1"/>
  <c r="V83" i="33"/>
  <c r="W83" i="33" s="1"/>
  <c r="Y81" i="17" s="1"/>
  <c r="U83" i="33"/>
  <c r="V85" i="31"/>
  <c r="W85" i="31" s="1"/>
  <c r="U83" i="17" s="1"/>
  <c r="U85" i="31"/>
  <c r="K84" i="31"/>
  <c r="D82" i="17" s="1"/>
  <c r="K77" i="38"/>
  <c r="J85" i="31"/>
  <c r="I85" i="31"/>
  <c r="U83" i="32"/>
  <c r="V83" i="32"/>
  <c r="W83" i="32" s="1"/>
  <c r="W81" i="17" s="1"/>
  <c r="V85" i="18"/>
  <c r="W85" i="18" s="1"/>
  <c r="T83" i="17" s="1"/>
  <c r="U85" i="18"/>
  <c r="V84" i="40"/>
  <c r="W84" i="40" s="1"/>
  <c r="AB82" i="17" s="1"/>
  <c r="U84" i="40"/>
  <c r="I87" i="34"/>
  <c r="J87" i="34"/>
  <c r="E74" i="28"/>
  <c r="M74" i="38" s="1"/>
  <c r="O79" i="17"/>
  <c r="U85" i="34"/>
  <c r="V85" i="34"/>
  <c r="W85" i="34" s="1"/>
  <c r="X83" i="17" s="1"/>
  <c r="I85" i="35"/>
  <c r="J85" i="35"/>
  <c r="K85" i="35" s="1"/>
  <c r="E83" i="17" s="1"/>
  <c r="J84" i="18"/>
  <c r="K84" i="18" s="1"/>
  <c r="C82" i="17" s="1"/>
  <c r="I84" i="18"/>
  <c r="U84" i="36"/>
  <c r="V84" i="36"/>
  <c r="W84" i="36" s="1"/>
  <c r="Z82" i="17" s="1"/>
  <c r="J75" i="38"/>
  <c r="K82" i="32"/>
  <c r="F80" i="17" s="1"/>
  <c r="L80" i="17" s="1"/>
  <c r="I84" i="40"/>
  <c r="J84" i="40"/>
  <c r="K84" i="40" s="1"/>
  <c r="K82" i="17" s="1"/>
  <c r="I83" i="32"/>
  <c r="J83" i="32"/>
  <c r="N73" i="38"/>
  <c r="O73" i="38"/>
  <c r="L79" i="38"/>
  <c r="K86" i="34"/>
  <c r="G84" i="17" s="1"/>
  <c r="I85" i="33"/>
  <c r="J85" i="33"/>
  <c r="K85" i="33" s="1"/>
  <c r="H83" i="17" s="1"/>
  <c r="J85" i="37"/>
  <c r="K85" i="37" s="1"/>
  <c r="J83" i="17" s="1"/>
  <c r="I85" i="37"/>
  <c r="U86" i="35"/>
  <c r="V86" i="35"/>
  <c r="W86" i="35" s="1"/>
  <c r="V84" i="17" s="1"/>
  <c r="I87" i="36"/>
  <c r="J87" i="36"/>
  <c r="K87" i="36" s="1"/>
  <c r="I85" i="17" s="1"/>
  <c r="AC81" i="17" l="1"/>
  <c r="AF81" i="17" s="1"/>
  <c r="O87" i="32"/>
  <c r="B87" i="18"/>
  <c r="O87" i="18"/>
  <c r="B87" i="33"/>
  <c r="B87" i="31"/>
  <c r="O87" i="34"/>
  <c r="B87" i="32"/>
  <c r="O87" i="35"/>
  <c r="B87" i="34"/>
  <c r="O87" i="36"/>
  <c r="O87" i="31"/>
  <c r="O87" i="37"/>
  <c r="O87" i="40"/>
  <c r="B83" i="7"/>
  <c r="B87" i="40"/>
  <c r="O87" i="33"/>
  <c r="B87" i="37"/>
  <c r="B87" i="35"/>
  <c r="B87" i="36"/>
  <c r="V85" i="37"/>
  <c r="W85" i="37" s="1"/>
  <c r="AA83" i="17" s="1"/>
  <c r="U85" i="37"/>
  <c r="V84" i="33"/>
  <c r="W84" i="33" s="1"/>
  <c r="Y82" i="17" s="1"/>
  <c r="U84" i="33"/>
  <c r="V86" i="31"/>
  <c r="W86" i="31" s="1"/>
  <c r="U84" i="17" s="1"/>
  <c r="U86" i="31"/>
  <c r="I86" i="31"/>
  <c r="J86" i="31"/>
  <c r="K85" i="31"/>
  <c r="D83" i="17" s="1"/>
  <c r="K78" i="38"/>
  <c r="U86" i="18"/>
  <c r="V86" i="18"/>
  <c r="W86" i="18" s="1"/>
  <c r="T84" i="17" s="1"/>
  <c r="U84" i="32"/>
  <c r="V84" i="32"/>
  <c r="W84" i="32" s="1"/>
  <c r="W82" i="17" s="1"/>
  <c r="J86" i="33"/>
  <c r="K86" i="33" s="1"/>
  <c r="H84" i="17" s="1"/>
  <c r="I86" i="33"/>
  <c r="O80" i="17"/>
  <c r="E75" i="28"/>
  <c r="M75" i="38" s="1"/>
  <c r="J85" i="18"/>
  <c r="K85" i="18" s="1"/>
  <c r="C83" i="17" s="1"/>
  <c r="I85" i="18"/>
  <c r="K87" i="34"/>
  <c r="G85" i="17" s="1"/>
  <c r="L80" i="38"/>
  <c r="K83" i="32"/>
  <c r="F81" i="17" s="1"/>
  <c r="L81" i="17" s="1"/>
  <c r="J76" i="38"/>
  <c r="V85" i="36"/>
  <c r="W85" i="36" s="1"/>
  <c r="Z83" i="17" s="1"/>
  <c r="U85" i="36"/>
  <c r="I86" i="35"/>
  <c r="J86" i="35"/>
  <c r="K86" i="35" s="1"/>
  <c r="E84" i="17" s="1"/>
  <c r="N74" i="38"/>
  <c r="O74" i="38"/>
  <c r="V86" i="34"/>
  <c r="W86" i="34" s="1"/>
  <c r="X84" i="17" s="1"/>
  <c r="U86" i="34"/>
  <c r="J88" i="34"/>
  <c r="I88" i="34"/>
  <c r="J84" i="32"/>
  <c r="I84" i="32"/>
  <c r="I85" i="40"/>
  <c r="J85" i="40"/>
  <c r="K85" i="40" s="1"/>
  <c r="K83" i="17" s="1"/>
  <c r="U85" i="40"/>
  <c r="V85" i="40"/>
  <c r="W85" i="40" s="1"/>
  <c r="AB83" i="17" s="1"/>
  <c r="V87" i="35"/>
  <c r="W87" i="35" s="1"/>
  <c r="V85" i="17" s="1"/>
  <c r="U87" i="35"/>
  <c r="I88" i="36"/>
  <c r="J88" i="36"/>
  <c r="K88" i="36" s="1"/>
  <c r="I86" i="17" s="1"/>
  <c r="J86" i="37"/>
  <c r="K86" i="37" s="1"/>
  <c r="J84" i="17" s="1"/>
  <c r="I86" i="37"/>
  <c r="B88" i="34" l="1"/>
  <c r="O88" i="33"/>
  <c r="B88" i="18"/>
  <c r="B88" i="31"/>
  <c r="B88" i="37"/>
  <c r="O88" i="36"/>
  <c r="O88" i="31"/>
  <c r="O88" i="34"/>
  <c r="B84" i="7"/>
  <c r="O88" i="37"/>
  <c r="B88" i="32"/>
  <c r="O88" i="40"/>
  <c r="O88" i="35"/>
  <c r="B88" i="40"/>
  <c r="B88" i="33"/>
  <c r="B88" i="35"/>
  <c r="O88" i="32"/>
  <c r="O88" i="18"/>
  <c r="B88" i="36"/>
  <c r="V86" i="37"/>
  <c r="W86" i="37" s="1"/>
  <c r="AA84" i="17" s="1"/>
  <c r="U86" i="37"/>
  <c r="AC82" i="17"/>
  <c r="AF82" i="17" s="1"/>
  <c r="V85" i="33"/>
  <c r="W85" i="33" s="1"/>
  <c r="Y83" i="17" s="1"/>
  <c r="U85" i="33"/>
  <c r="V87" i="31"/>
  <c r="W87" i="31" s="1"/>
  <c r="U85" i="17" s="1"/>
  <c r="U87" i="31"/>
  <c r="K79" i="38"/>
  <c r="K86" i="31"/>
  <c r="D84" i="17" s="1"/>
  <c r="J87" i="31"/>
  <c r="I87" i="31"/>
  <c r="V85" i="32"/>
  <c r="W85" i="32" s="1"/>
  <c r="W83" i="17" s="1"/>
  <c r="U85" i="32"/>
  <c r="U87" i="18"/>
  <c r="V87" i="18"/>
  <c r="W87" i="18" s="1"/>
  <c r="T85" i="17" s="1"/>
  <c r="I89" i="34"/>
  <c r="J89" i="34"/>
  <c r="J87" i="35"/>
  <c r="K87" i="35" s="1"/>
  <c r="E85" i="17" s="1"/>
  <c r="I87" i="35"/>
  <c r="E76" i="28"/>
  <c r="M76" i="38" s="1"/>
  <c r="O81" i="17"/>
  <c r="U86" i="40"/>
  <c r="V86" i="40"/>
  <c r="W86" i="40" s="1"/>
  <c r="AB84" i="17" s="1"/>
  <c r="J77" i="38"/>
  <c r="K84" i="32"/>
  <c r="F82" i="17" s="1"/>
  <c r="L82" i="17" s="1"/>
  <c r="N75" i="38"/>
  <c r="O75" i="38"/>
  <c r="J85" i="32"/>
  <c r="I85" i="32"/>
  <c r="U87" i="34"/>
  <c r="V87" i="34"/>
  <c r="W87" i="34" s="1"/>
  <c r="X85" i="17" s="1"/>
  <c r="I86" i="40"/>
  <c r="J86" i="40"/>
  <c r="K86" i="40" s="1"/>
  <c r="K84" i="17" s="1"/>
  <c r="L81" i="38"/>
  <c r="K88" i="34"/>
  <c r="G86" i="17" s="1"/>
  <c r="U86" i="36"/>
  <c r="V86" i="36"/>
  <c r="W86" i="36" s="1"/>
  <c r="Z84" i="17" s="1"/>
  <c r="J86" i="18"/>
  <c r="K86" i="18" s="1"/>
  <c r="C84" i="17" s="1"/>
  <c r="I86" i="18"/>
  <c r="J87" i="33"/>
  <c r="K87" i="33" s="1"/>
  <c r="H85" i="17" s="1"/>
  <c r="I87" i="33"/>
  <c r="I87" i="37"/>
  <c r="J87" i="37"/>
  <c r="K87" i="37" s="1"/>
  <c r="J85" i="17" s="1"/>
  <c r="V88" i="35"/>
  <c r="W88" i="35" s="1"/>
  <c r="V86" i="17" s="1"/>
  <c r="U88" i="35"/>
  <c r="I89" i="36"/>
  <c r="J89" i="36"/>
  <c r="K89" i="36" s="1"/>
  <c r="I87" i="17" s="1"/>
  <c r="B85" i="7" l="1"/>
  <c r="O89" i="34"/>
  <c r="B89" i="40"/>
  <c r="B89" i="32"/>
  <c r="B89" i="18"/>
  <c r="B89" i="36"/>
  <c r="O89" i="36"/>
  <c r="O89" i="33"/>
  <c r="B89" i="35"/>
  <c r="O89" i="35"/>
  <c r="B89" i="33"/>
  <c r="O89" i="40"/>
  <c r="O89" i="32"/>
  <c r="O89" i="18"/>
  <c r="B89" i="31"/>
  <c r="O89" i="31"/>
  <c r="B89" i="37"/>
  <c r="B89" i="34"/>
  <c r="O89" i="37"/>
  <c r="U87" i="37"/>
  <c r="V87" i="37"/>
  <c r="W87" i="37" s="1"/>
  <c r="AA85" i="17" s="1"/>
  <c r="AC83" i="17"/>
  <c r="AF83" i="17" s="1"/>
  <c r="V86" i="33"/>
  <c r="W86" i="33" s="1"/>
  <c r="Y84" i="17" s="1"/>
  <c r="U86" i="33"/>
  <c r="V88" i="31"/>
  <c r="W88" i="31" s="1"/>
  <c r="U86" i="17" s="1"/>
  <c r="U88" i="31"/>
  <c r="J88" i="31"/>
  <c r="I88" i="31"/>
  <c r="K80" i="38"/>
  <c r="K87" i="31"/>
  <c r="D85" i="17" s="1"/>
  <c r="V88" i="18"/>
  <c r="W88" i="18" s="1"/>
  <c r="T86" i="17" s="1"/>
  <c r="U88" i="18"/>
  <c r="V86" i="32"/>
  <c r="W86" i="32" s="1"/>
  <c r="W84" i="17" s="1"/>
  <c r="U86" i="32"/>
  <c r="U88" i="34"/>
  <c r="V88" i="34"/>
  <c r="W88" i="34" s="1"/>
  <c r="X86" i="17" s="1"/>
  <c r="J88" i="35"/>
  <c r="K88" i="35" s="1"/>
  <c r="E86" i="17" s="1"/>
  <c r="I88" i="35"/>
  <c r="J88" i="33"/>
  <c r="K88" i="33" s="1"/>
  <c r="H86" i="17" s="1"/>
  <c r="I88" i="33"/>
  <c r="O76" i="38"/>
  <c r="N76" i="38"/>
  <c r="J90" i="34"/>
  <c r="I90" i="34"/>
  <c r="U87" i="36"/>
  <c r="V87" i="36"/>
  <c r="W87" i="36" s="1"/>
  <c r="Z85" i="17" s="1"/>
  <c r="J87" i="40"/>
  <c r="K87" i="40" s="1"/>
  <c r="K85" i="17" s="1"/>
  <c r="I87" i="40"/>
  <c r="K85" i="32"/>
  <c r="F83" i="17" s="1"/>
  <c r="L83" i="17" s="1"/>
  <c r="J78" i="38"/>
  <c r="E77" i="28"/>
  <c r="O82" i="17"/>
  <c r="L82" i="38"/>
  <c r="K89" i="34"/>
  <c r="G87" i="17" s="1"/>
  <c r="J87" i="18"/>
  <c r="K87" i="18" s="1"/>
  <c r="C85" i="17" s="1"/>
  <c r="I87" i="18"/>
  <c r="I86" i="32"/>
  <c r="J86" i="32"/>
  <c r="U87" i="40"/>
  <c r="V87" i="40"/>
  <c r="W87" i="40" s="1"/>
  <c r="AB85" i="17" s="1"/>
  <c r="V89" i="35"/>
  <c r="W89" i="35" s="1"/>
  <c r="V87" i="17" s="1"/>
  <c r="U89" i="35"/>
  <c r="J88" i="37"/>
  <c r="K88" i="37" s="1"/>
  <c r="J86" i="17" s="1"/>
  <c r="I88" i="37"/>
  <c r="I90" i="36"/>
  <c r="J90" i="36"/>
  <c r="K90" i="36" s="1"/>
  <c r="I88" i="17" s="1"/>
  <c r="O90" i="31" l="1"/>
  <c r="O90" i="18"/>
  <c r="O90" i="40"/>
  <c r="O90" i="34"/>
  <c r="B90" i="34"/>
  <c r="O90" i="36"/>
  <c r="O90" i="33"/>
  <c r="B90" i="36"/>
  <c r="B90" i="37"/>
  <c r="B90" i="40"/>
  <c r="B90" i="32"/>
  <c r="B86" i="7"/>
  <c r="B90" i="18"/>
  <c r="B90" i="35"/>
  <c r="O90" i="37"/>
  <c r="B90" i="33"/>
  <c r="O90" i="32"/>
  <c r="B90" i="31"/>
  <c r="O90" i="35"/>
  <c r="AC84" i="17"/>
  <c r="AF84" i="17" s="1"/>
  <c r="U88" i="37"/>
  <c r="V88" i="37"/>
  <c r="W88" i="37" s="1"/>
  <c r="AA86" i="17" s="1"/>
  <c r="U87" i="33"/>
  <c r="V87" i="33"/>
  <c r="W87" i="33" s="1"/>
  <c r="Y85" i="17" s="1"/>
  <c r="V89" i="31"/>
  <c r="W89" i="31" s="1"/>
  <c r="U87" i="17" s="1"/>
  <c r="U89" i="31"/>
  <c r="J89" i="31"/>
  <c r="I89" i="31"/>
  <c r="K88" i="31"/>
  <c r="D86" i="17" s="1"/>
  <c r="K81" i="38"/>
  <c r="U87" i="32"/>
  <c r="V87" i="32"/>
  <c r="W87" i="32" s="1"/>
  <c r="W85" i="17" s="1"/>
  <c r="V89" i="18"/>
  <c r="W89" i="18" s="1"/>
  <c r="T87" i="17" s="1"/>
  <c r="U89" i="18"/>
  <c r="E78" i="28"/>
  <c r="M78" i="38" s="1"/>
  <c r="O83" i="17"/>
  <c r="U88" i="36"/>
  <c r="V88" i="36"/>
  <c r="W88" i="36" s="1"/>
  <c r="Z86" i="17" s="1"/>
  <c r="I91" i="34"/>
  <c r="J91" i="34"/>
  <c r="J79" i="38"/>
  <c r="K86" i="32"/>
  <c r="F84" i="17" s="1"/>
  <c r="L84" i="17" s="1"/>
  <c r="U88" i="40"/>
  <c r="V88" i="40"/>
  <c r="W88" i="40" s="1"/>
  <c r="AB86" i="17" s="1"/>
  <c r="O77" i="38"/>
  <c r="N77" i="38"/>
  <c r="J89" i="33"/>
  <c r="K89" i="33" s="1"/>
  <c r="H87" i="17" s="1"/>
  <c r="I89" i="33"/>
  <c r="I87" i="32"/>
  <c r="J87" i="32"/>
  <c r="J89" i="35"/>
  <c r="K89" i="35" s="1"/>
  <c r="E87" i="17" s="1"/>
  <c r="I89" i="35"/>
  <c r="U89" i="34"/>
  <c r="V89" i="34"/>
  <c r="W89" i="34" s="1"/>
  <c r="X87" i="17" s="1"/>
  <c r="J88" i="18"/>
  <c r="K88" i="18" s="1"/>
  <c r="C86" i="17" s="1"/>
  <c r="I88" i="18"/>
  <c r="J88" i="40"/>
  <c r="K88" i="40" s="1"/>
  <c r="K86" i="17" s="1"/>
  <c r="I88" i="40"/>
  <c r="K90" i="34"/>
  <c r="G88" i="17" s="1"/>
  <c r="L83" i="38"/>
  <c r="M77" i="38"/>
  <c r="J91" i="36"/>
  <c r="K91" i="36" s="1"/>
  <c r="I89" i="17" s="1"/>
  <c r="I91" i="36"/>
  <c r="J89" i="37"/>
  <c r="K89" i="37" s="1"/>
  <c r="J87" i="17" s="1"/>
  <c r="I89" i="37"/>
  <c r="V90" i="35"/>
  <c r="W90" i="35" s="1"/>
  <c r="V88" i="17" s="1"/>
  <c r="U90" i="35"/>
  <c r="B91" i="35" l="1"/>
  <c r="O91" i="33"/>
  <c r="B87" i="7"/>
  <c r="O91" i="40"/>
  <c r="O91" i="36"/>
  <c r="B91" i="33"/>
  <c r="O91" i="35"/>
  <c r="B91" i="31"/>
  <c r="O91" i="37"/>
  <c r="O91" i="32"/>
  <c r="O91" i="34"/>
  <c r="B91" i="37"/>
  <c r="O91" i="31"/>
  <c r="B91" i="40"/>
  <c r="O91" i="18"/>
  <c r="B91" i="32"/>
  <c r="B91" i="18"/>
  <c r="B91" i="36"/>
  <c r="B91" i="34"/>
  <c r="V89" i="37"/>
  <c r="W89" i="37" s="1"/>
  <c r="AA87" i="17" s="1"/>
  <c r="U89" i="37"/>
  <c r="AC85" i="17"/>
  <c r="AF85" i="17" s="1"/>
  <c r="U88" i="33"/>
  <c r="V88" i="33"/>
  <c r="W88" i="33" s="1"/>
  <c r="Y86" i="17" s="1"/>
  <c r="U90" i="31"/>
  <c r="V90" i="31"/>
  <c r="W90" i="31" s="1"/>
  <c r="U88" i="17" s="1"/>
  <c r="J90" i="31"/>
  <c r="I90" i="31"/>
  <c r="K89" i="31"/>
  <c r="D87" i="17" s="1"/>
  <c r="K82" i="38"/>
  <c r="U90" i="18"/>
  <c r="V90" i="18"/>
  <c r="W90" i="18" s="1"/>
  <c r="T88" i="17" s="1"/>
  <c r="V88" i="32"/>
  <c r="W88" i="32" s="1"/>
  <c r="W86" i="17" s="1"/>
  <c r="U88" i="32"/>
  <c r="V89" i="36"/>
  <c r="W89" i="36" s="1"/>
  <c r="Z87" i="17" s="1"/>
  <c r="U89" i="36"/>
  <c r="I89" i="18"/>
  <c r="J89" i="18"/>
  <c r="K89" i="18" s="1"/>
  <c r="C87" i="17" s="1"/>
  <c r="J90" i="35"/>
  <c r="K90" i="35" s="1"/>
  <c r="E88" i="17" s="1"/>
  <c r="I90" i="35"/>
  <c r="E79" i="28"/>
  <c r="O84" i="17"/>
  <c r="U90" i="34"/>
  <c r="V90" i="34"/>
  <c r="W90" i="34" s="1"/>
  <c r="X88" i="17" s="1"/>
  <c r="I88" i="32"/>
  <c r="J88" i="32"/>
  <c r="V89" i="40"/>
  <c r="W89" i="40" s="1"/>
  <c r="AB87" i="17" s="1"/>
  <c r="U89" i="40"/>
  <c r="I92" i="34"/>
  <c r="J92" i="34"/>
  <c r="N78" i="38"/>
  <c r="O78" i="38"/>
  <c r="J89" i="40"/>
  <c r="K89" i="40" s="1"/>
  <c r="K87" i="17" s="1"/>
  <c r="I89" i="40"/>
  <c r="J80" i="38"/>
  <c r="K87" i="32"/>
  <c r="F85" i="17" s="1"/>
  <c r="L85" i="17" s="1"/>
  <c r="I90" i="33"/>
  <c r="J90" i="33"/>
  <c r="K90" i="33" s="1"/>
  <c r="H88" i="17" s="1"/>
  <c r="L84" i="38"/>
  <c r="K91" i="34"/>
  <c r="G89" i="17" s="1"/>
  <c r="V91" i="35"/>
  <c r="W91" i="35" s="1"/>
  <c r="V89" i="17" s="1"/>
  <c r="U91" i="35"/>
  <c r="J90" i="37"/>
  <c r="K90" i="37" s="1"/>
  <c r="J88" i="17" s="1"/>
  <c r="I90" i="37"/>
  <c r="J92" i="36"/>
  <c r="K92" i="36" s="1"/>
  <c r="I90" i="17" s="1"/>
  <c r="I92" i="36"/>
  <c r="AC86" i="17" l="1"/>
  <c r="AF86" i="17" s="1"/>
  <c r="O92" i="33"/>
  <c r="B92" i="33"/>
  <c r="B88" i="7"/>
  <c r="O92" i="31"/>
  <c r="B92" i="37"/>
  <c r="O92" i="18"/>
  <c r="O92" i="35"/>
  <c r="B92" i="36"/>
  <c r="B92" i="31"/>
  <c r="B92" i="32"/>
  <c r="O92" i="40"/>
  <c r="B92" i="40"/>
  <c r="B92" i="35"/>
  <c r="B92" i="34"/>
  <c r="O92" i="36"/>
  <c r="B92" i="18"/>
  <c r="O92" i="37"/>
  <c r="O92" i="32"/>
  <c r="O92" i="34"/>
  <c r="U90" i="37"/>
  <c r="V90" i="37"/>
  <c r="W90" i="37" s="1"/>
  <c r="AA88" i="17" s="1"/>
  <c r="V89" i="33"/>
  <c r="W89" i="33" s="1"/>
  <c r="Y87" i="17" s="1"/>
  <c r="U89" i="33"/>
  <c r="U91" i="31"/>
  <c r="V91" i="31"/>
  <c r="W91" i="31" s="1"/>
  <c r="U89" i="17" s="1"/>
  <c r="J91" i="31"/>
  <c r="I91" i="31"/>
  <c r="K90" i="31"/>
  <c r="D88" i="17" s="1"/>
  <c r="K83" i="38"/>
  <c r="U89" i="32"/>
  <c r="V89" i="32"/>
  <c r="W89" i="32" s="1"/>
  <c r="W87" i="17" s="1"/>
  <c r="V91" i="18"/>
  <c r="W91" i="18" s="1"/>
  <c r="T89" i="17" s="1"/>
  <c r="U91" i="18"/>
  <c r="I91" i="33"/>
  <c r="J91" i="33"/>
  <c r="K91" i="33" s="1"/>
  <c r="H89" i="17" s="1"/>
  <c r="U91" i="34"/>
  <c r="V91" i="34"/>
  <c r="W91" i="34" s="1"/>
  <c r="X89" i="17" s="1"/>
  <c r="N79" i="38"/>
  <c r="O79" i="38"/>
  <c r="J90" i="18"/>
  <c r="K90" i="18" s="1"/>
  <c r="C88" i="17" s="1"/>
  <c r="I90" i="18"/>
  <c r="J90" i="40"/>
  <c r="K90" i="40" s="1"/>
  <c r="K88" i="17" s="1"/>
  <c r="I90" i="40"/>
  <c r="U90" i="40"/>
  <c r="V90" i="40"/>
  <c r="W90" i="40" s="1"/>
  <c r="AB88" i="17" s="1"/>
  <c r="J93" i="34"/>
  <c r="I93" i="34"/>
  <c r="J89" i="32"/>
  <c r="I89" i="32"/>
  <c r="E80" i="28"/>
  <c r="O85" i="17"/>
  <c r="L85" i="38"/>
  <c r="K92" i="34"/>
  <c r="G90" i="17" s="1"/>
  <c r="J81" i="38"/>
  <c r="K88" i="32"/>
  <c r="F86" i="17" s="1"/>
  <c r="L86" i="17" s="1"/>
  <c r="J91" i="35"/>
  <c r="K91" i="35" s="1"/>
  <c r="E89" i="17" s="1"/>
  <c r="I91" i="35"/>
  <c r="V90" i="36"/>
  <c r="W90" i="36" s="1"/>
  <c r="Z88" i="17" s="1"/>
  <c r="U90" i="36"/>
  <c r="M79" i="38"/>
  <c r="J93" i="36"/>
  <c r="K93" i="36" s="1"/>
  <c r="I91" i="17" s="1"/>
  <c r="I93" i="36"/>
  <c r="V92" i="35"/>
  <c r="W92" i="35" s="1"/>
  <c r="V90" i="17" s="1"/>
  <c r="U92" i="35"/>
  <c r="J91" i="37"/>
  <c r="K91" i="37" s="1"/>
  <c r="J89" i="17" s="1"/>
  <c r="I91" i="37"/>
  <c r="B89" i="7" l="1"/>
  <c r="O93" i="33"/>
  <c r="O93" i="35"/>
  <c r="B93" i="35"/>
  <c r="B93" i="36"/>
  <c r="B93" i="18"/>
  <c r="O93" i="37"/>
  <c r="B93" i="37"/>
  <c r="O93" i="31"/>
  <c r="O93" i="18"/>
  <c r="B93" i="33"/>
  <c r="O93" i="34"/>
  <c r="O93" i="40"/>
  <c r="O93" i="36"/>
  <c r="B93" i="32"/>
  <c r="B93" i="40"/>
  <c r="B93" i="31"/>
  <c r="B93" i="34"/>
  <c r="O93" i="32"/>
  <c r="AC87" i="17"/>
  <c r="AF87" i="17" s="1"/>
  <c r="U91" i="37"/>
  <c r="V91" i="37"/>
  <c r="W91" i="37" s="1"/>
  <c r="AA89" i="17" s="1"/>
  <c r="U90" i="33"/>
  <c r="V90" i="33"/>
  <c r="W90" i="33" s="1"/>
  <c r="Y88" i="17" s="1"/>
  <c r="V92" i="31"/>
  <c r="W92" i="31" s="1"/>
  <c r="U90" i="17" s="1"/>
  <c r="U92" i="31"/>
  <c r="J92" i="31"/>
  <c r="I92" i="31"/>
  <c r="K84" i="38"/>
  <c r="K91" i="31"/>
  <c r="D89" i="17" s="1"/>
  <c r="U92" i="18"/>
  <c r="V92" i="18"/>
  <c r="W92" i="18" s="1"/>
  <c r="T90" i="17" s="1"/>
  <c r="U90" i="32"/>
  <c r="V90" i="32"/>
  <c r="W90" i="32" s="1"/>
  <c r="W88" i="17" s="1"/>
  <c r="N80" i="38"/>
  <c r="O80" i="38"/>
  <c r="K93" i="34"/>
  <c r="G91" i="17" s="1"/>
  <c r="L86" i="38"/>
  <c r="U91" i="40"/>
  <c r="V91" i="40"/>
  <c r="W91" i="40" s="1"/>
  <c r="AB89" i="17" s="1"/>
  <c r="V92" i="34"/>
  <c r="W92" i="34" s="1"/>
  <c r="X90" i="17" s="1"/>
  <c r="U92" i="34"/>
  <c r="U91" i="36"/>
  <c r="V91" i="36"/>
  <c r="W91" i="36" s="1"/>
  <c r="Z89" i="17" s="1"/>
  <c r="O86" i="17"/>
  <c r="E81" i="28"/>
  <c r="J94" i="34"/>
  <c r="I94" i="34"/>
  <c r="I91" i="18"/>
  <c r="J91" i="18"/>
  <c r="K91" i="18" s="1"/>
  <c r="C89" i="17" s="1"/>
  <c r="J82" i="38"/>
  <c r="K89" i="32"/>
  <c r="F87" i="17" s="1"/>
  <c r="L87" i="17" s="1"/>
  <c r="J92" i="33"/>
  <c r="K92" i="33" s="1"/>
  <c r="H90" i="17" s="1"/>
  <c r="I92" i="33"/>
  <c r="M80" i="38"/>
  <c r="I92" i="35"/>
  <c r="J92" i="35"/>
  <c r="K92" i="35" s="1"/>
  <c r="E90" i="17" s="1"/>
  <c r="I90" i="32"/>
  <c r="J90" i="32"/>
  <c r="J91" i="40"/>
  <c r="K91" i="40" s="1"/>
  <c r="K89" i="17" s="1"/>
  <c r="I91" i="40"/>
  <c r="J92" i="37"/>
  <c r="K92" i="37" s="1"/>
  <c r="J90" i="17" s="1"/>
  <c r="I92" i="37"/>
  <c r="V93" i="35"/>
  <c r="W93" i="35" s="1"/>
  <c r="V91" i="17" s="1"/>
  <c r="U93" i="35"/>
  <c r="J94" i="36"/>
  <c r="K94" i="36" s="1"/>
  <c r="I92" i="17" s="1"/>
  <c r="I94" i="36"/>
  <c r="B94" i="34" l="1"/>
  <c r="O94" i="18"/>
  <c r="B94" i="33"/>
  <c r="O94" i="36"/>
  <c r="B94" i="35"/>
  <c r="O94" i="37"/>
  <c r="O94" i="35"/>
  <c r="O94" i="32"/>
  <c r="O94" i="34"/>
  <c r="O94" i="40"/>
  <c r="B94" i="37"/>
  <c r="O94" i="33"/>
  <c r="B94" i="31"/>
  <c r="B90" i="7"/>
  <c r="O94" i="31"/>
  <c r="B94" i="32"/>
  <c r="B94" i="40"/>
  <c r="B94" i="36"/>
  <c r="B94" i="18"/>
  <c r="AC88" i="17"/>
  <c r="AF88" i="17" s="1"/>
  <c r="V92" i="37"/>
  <c r="W92" i="37" s="1"/>
  <c r="AA90" i="17" s="1"/>
  <c r="U92" i="37"/>
  <c r="U91" i="33"/>
  <c r="V91" i="33"/>
  <c r="W91" i="33" s="1"/>
  <c r="Y89" i="17" s="1"/>
  <c r="V93" i="31"/>
  <c r="W93" i="31" s="1"/>
  <c r="U91" i="17" s="1"/>
  <c r="U93" i="31"/>
  <c r="I93" i="31"/>
  <c r="J93" i="31"/>
  <c r="K92" i="31"/>
  <c r="D90" i="17" s="1"/>
  <c r="K85" i="38"/>
  <c r="V91" i="32"/>
  <c r="W91" i="32" s="1"/>
  <c r="W89" i="17" s="1"/>
  <c r="U91" i="32"/>
  <c r="V93" i="18"/>
  <c r="W93" i="18" s="1"/>
  <c r="T91" i="17" s="1"/>
  <c r="U93" i="18"/>
  <c r="J91" i="32"/>
  <c r="I91" i="32"/>
  <c r="I92" i="18"/>
  <c r="J92" i="18"/>
  <c r="K92" i="18" s="1"/>
  <c r="C90" i="17" s="1"/>
  <c r="U92" i="40"/>
  <c r="V92" i="40"/>
  <c r="W92" i="40" s="1"/>
  <c r="AB90" i="17" s="1"/>
  <c r="K90" i="32"/>
  <c r="F88" i="17" s="1"/>
  <c r="L88" i="17" s="1"/>
  <c r="J83" i="38"/>
  <c r="J93" i="33"/>
  <c r="K93" i="33" s="1"/>
  <c r="H91" i="17" s="1"/>
  <c r="I93" i="33"/>
  <c r="N81" i="38"/>
  <c r="O81" i="38"/>
  <c r="I93" i="35"/>
  <c r="J93" i="35"/>
  <c r="K93" i="35" s="1"/>
  <c r="E91" i="17" s="1"/>
  <c r="K94" i="34"/>
  <c r="G92" i="17" s="1"/>
  <c r="L87" i="38"/>
  <c r="U92" i="36"/>
  <c r="V92" i="36"/>
  <c r="W92" i="36" s="1"/>
  <c r="Z90" i="17" s="1"/>
  <c r="J92" i="40"/>
  <c r="K92" i="40" s="1"/>
  <c r="K90" i="17" s="1"/>
  <c r="I92" i="40"/>
  <c r="O87" i="17"/>
  <c r="E82" i="28"/>
  <c r="M82" i="38" s="1"/>
  <c r="J95" i="34"/>
  <c r="I95" i="34"/>
  <c r="V93" i="34"/>
  <c r="W93" i="34" s="1"/>
  <c r="X91" i="17" s="1"/>
  <c r="U93" i="34"/>
  <c r="M81" i="38"/>
  <c r="J93" i="37"/>
  <c r="K93" i="37" s="1"/>
  <c r="J91" i="17" s="1"/>
  <c r="I93" i="37"/>
  <c r="V94" i="35"/>
  <c r="W94" i="35" s="1"/>
  <c r="V92" i="17" s="1"/>
  <c r="U94" i="35"/>
  <c r="I95" i="36"/>
  <c r="J95" i="36"/>
  <c r="K95" i="36" s="1"/>
  <c r="I93" i="17" s="1"/>
  <c r="O95" i="31" l="1"/>
  <c r="B95" i="40"/>
  <c r="B95" i="33"/>
  <c r="B95" i="31"/>
  <c r="B95" i="34"/>
  <c r="O95" i="40"/>
  <c r="O95" i="35"/>
  <c r="O95" i="18"/>
  <c r="O95" i="37"/>
  <c r="B91" i="7"/>
  <c r="O95" i="32"/>
  <c r="O95" i="34"/>
  <c r="B95" i="35"/>
  <c r="B95" i="32"/>
  <c r="B95" i="18"/>
  <c r="B95" i="36"/>
  <c r="O95" i="36"/>
  <c r="B95" i="37"/>
  <c r="O95" i="33"/>
  <c r="V93" i="37"/>
  <c r="W93" i="37" s="1"/>
  <c r="AA91" i="17" s="1"/>
  <c r="U93" i="37"/>
  <c r="AC89" i="17"/>
  <c r="AF89" i="17" s="1"/>
  <c r="U92" i="33"/>
  <c r="V92" i="33"/>
  <c r="W92" i="33" s="1"/>
  <c r="Y90" i="17" s="1"/>
  <c r="U94" i="31"/>
  <c r="V94" i="31"/>
  <c r="W94" i="31" s="1"/>
  <c r="U92" i="17" s="1"/>
  <c r="K93" i="31"/>
  <c r="D91" i="17" s="1"/>
  <c r="K86" i="38"/>
  <c r="I94" i="31"/>
  <c r="J94" i="31"/>
  <c r="U94" i="18"/>
  <c r="V94" i="18"/>
  <c r="W94" i="18" s="1"/>
  <c r="T92" i="17" s="1"/>
  <c r="U92" i="32"/>
  <c r="V92" i="32"/>
  <c r="W92" i="32" s="1"/>
  <c r="W90" i="17" s="1"/>
  <c r="U94" i="34"/>
  <c r="V94" i="34"/>
  <c r="W94" i="34" s="1"/>
  <c r="X92" i="17" s="1"/>
  <c r="O82" i="38"/>
  <c r="N82" i="38"/>
  <c r="I94" i="33"/>
  <c r="J94" i="33"/>
  <c r="K94" i="33" s="1"/>
  <c r="H92" i="17" s="1"/>
  <c r="L88" i="38"/>
  <c r="K95" i="34"/>
  <c r="G93" i="17" s="1"/>
  <c r="O88" i="17"/>
  <c r="E83" i="28"/>
  <c r="M83" i="38" s="1"/>
  <c r="K91" i="32"/>
  <c r="F89" i="17" s="1"/>
  <c r="L89" i="17" s="1"/>
  <c r="J84" i="38"/>
  <c r="J96" i="34"/>
  <c r="I96" i="34"/>
  <c r="J93" i="40"/>
  <c r="K93" i="40" s="1"/>
  <c r="K91" i="17" s="1"/>
  <c r="I93" i="40"/>
  <c r="I92" i="32"/>
  <c r="J92" i="32"/>
  <c r="U93" i="36"/>
  <c r="V93" i="36"/>
  <c r="W93" i="36" s="1"/>
  <c r="Z91" i="17" s="1"/>
  <c r="I94" i="35"/>
  <c r="J94" i="35"/>
  <c r="K94" i="35" s="1"/>
  <c r="E92" i="17" s="1"/>
  <c r="U93" i="40"/>
  <c r="V93" i="40"/>
  <c r="W93" i="40" s="1"/>
  <c r="AB91" i="17" s="1"/>
  <c r="I93" i="18"/>
  <c r="J93" i="18"/>
  <c r="K93" i="18" s="1"/>
  <c r="C91" i="17" s="1"/>
  <c r="V95" i="35"/>
  <c r="W95" i="35" s="1"/>
  <c r="V93" i="17" s="1"/>
  <c r="U95" i="35"/>
  <c r="J94" i="37"/>
  <c r="K94" i="37" s="1"/>
  <c r="J92" i="17" s="1"/>
  <c r="I94" i="37"/>
  <c r="J96" i="36"/>
  <c r="K96" i="36" s="1"/>
  <c r="I94" i="17" s="1"/>
  <c r="I96" i="36"/>
  <c r="B92" i="7" l="1"/>
  <c r="B96" i="36"/>
  <c r="B96" i="35"/>
  <c r="B96" i="32"/>
  <c r="B96" i="37"/>
  <c r="O96" i="40"/>
  <c r="O96" i="32"/>
  <c r="B96" i="40"/>
  <c r="O96" i="33"/>
  <c r="B96" i="18"/>
  <c r="B96" i="33"/>
  <c r="O96" i="36"/>
  <c r="B96" i="31"/>
  <c r="O96" i="35"/>
  <c r="O96" i="18"/>
  <c r="O96" i="37"/>
  <c r="O96" i="34"/>
  <c r="O96" i="31"/>
  <c r="B96" i="34"/>
  <c r="U94" i="37"/>
  <c r="V94" i="37"/>
  <c r="W94" i="37" s="1"/>
  <c r="AA92" i="17" s="1"/>
  <c r="V93" i="33"/>
  <c r="W93" i="33" s="1"/>
  <c r="Y91" i="17" s="1"/>
  <c r="U93" i="33"/>
  <c r="AC90" i="17"/>
  <c r="AF90" i="17" s="1"/>
  <c r="U95" i="31"/>
  <c r="V95" i="31"/>
  <c r="W95" i="31" s="1"/>
  <c r="U93" i="17" s="1"/>
  <c r="K87" i="38"/>
  <c r="K94" i="31"/>
  <c r="D92" i="17" s="1"/>
  <c r="J95" i="31"/>
  <c r="I95" i="31"/>
  <c r="V93" i="32"/>
  <c r="W93" i="32" s="1"/>
  <c r="W91" i="17" s="1"/>
  <c r="U93" i="32"/>
  <c r="V95" i="18"/>
  <c r="W95" i="18" s="1"/>
  <c r="T93" i="17" s="1"/>
  <c r="U95" i="18"/>
  <c r="I94" i="18"/>
  <c r="J94" i="18"/>
  <c r="K94" i="18" s="1"/>
  <c r="C92" i="17" s="1"/>
  <c r="I95" i="33"/>
  <c r="J95" i="33"/>
  <c r="K95" i="33" s="1"/>
  <c r="H93" i="17" s="1"/>
  <c r="J85" i="38"/>
  <c r="K92" i="32"/>
  <c r="F90" i="17" s="1"/>
  <c r="L90" i="17" s="1"/>
  <c r="J94" i="40"/>
  <c r="K94" i="40" s="1"/>
  <c r="K92" i="17" s="1"/>
  <c r="I94" i="40"/>
  <c r="N83" i="38"/>
  <c r="O83" i="38"/>
  <c r="I97" i="34"/>
  <c r="J97" i="34"/>
  <c r="J95" i="35"/>
  <c r="K95" i="35" s="1"/>
  <c r="E93" i="17" s="1"/>
  <c r="I95" i="35"/>
  <c r="I93" i="32"/>
  <c r="J93" i="32"/>
  <c r="V95" i="34"/>
  <c r="W95" i="34" s="1"/>
  <c r="X93" i="17" s="1"/>
  <c r="U95" i="34"/>
  <c r="U94" i="40"/>
  <c r="V94" i="40"/>
  <c r="W94" i="40" s="1"/>
  <c r="AB92" i="17" s="1"/>
  <c r="U94" i="36"/>
  <c r="V94" i="36"/>
  <c r="W94" i="36" s="1"/>
  <c r="Z92" i="17" s="1"/>
  <c r="L89" i="38"/>
  <c r="K96" i="34"/>
  <c r="G94" i="17" s="1"/>
  <c r="O89" i="17"/>
  <c r="E84" i="28"/>
  <c r="M84" i="38" s="1"/>
  <c r="I97" i="36"/>
  <c r="J97" i="36"/>
  <c r="K97" i="36" s="1"/>
  <c r="I95" i="17" s="1"/>
  <c r="V96" i="35"/>
  <c r="W96" i="35" s="1"/>
  <c r="V94" i="17" s="1"/>
  <c r="U96" i="35"/>
  <c r="J95" i="37"/>
  <c r="K95" i="37" s="1"/>
  <c r="J93" i="17" s="1"/>
  <c r="I95" i="37"/>
  <c r="B97" i="32" l="1"/>
  <c r="O97" i="35"/>
  <c r="O97" i="31"/>
  <c r="B97" i="31"/>
  <c r="O97" i="18"/>
  <c r="B97" i="18"/>
  <c r="B97" i="37"/>
  <c r="O97" i="34"/>
  <c r="O97" i="32"/>
  <c r="B97" i="35"/>
  <c r="O97" i="40"/>
  <c r="B97" i="36"/>
  <c r="B97" i="40"/>
  <c r="O97" i="37"/>
  <c r="B93" i="7"/>
  <c r="O97" i="36"/>
  <c r="B97" i="33"/>
  <c r="O97" i="33"/>
  <c r="B97" i="34"/>
  <c r="V95" i="37"/>
  <c r="W95" i="37" s="1"/>
  <c r="AA93" i="17" s="1"/>
  <c r="U95" i="37"/>
  <c r="AC91" i="17"/>
  <c r="AF91" i="17" s="1"/>
  <c r="V94" i="33"/>
  <c r="W94" i="33" s="1"/>
  <c r="Y92" i="17" s="1"/>
  <c r="U94" i="33"/>
  <c r="V96" i="31"/>
  <c r="W96" i="31" s="1"/>
  <c r="U94" i="17" s="1"/>
  <c r="U96" i="31"/>
  <c r="K95" i="31"/>
  <c r="D93" i="17" s="1"/>
  <c r="K88" i="38"/>
  <c r="I96" i="31"/>
  <c r="J96" i="31"/>
  <c r="U96" i="18"/>
  <c r="V96" i="18"/>
  <c r="W96" i="18" s="1"/>
  <c r="T94" i="17" s="1"/>
  <c r="U94" i="32"/>
  <c r="V94" i="32"/>
  <c r="W94" i="32" s="1"/>
  <c r="W92" i="17" s="1"/>
  <c r="J86" i="38"/>
  <c r="K93" i="32"/>
  <c r="F91" i="17" s="1"/>
  <c r="L91" i="17" s="1"/>
  <c r="I96" i="33"/>
  <c r="J96" i="33"/>
  <c r="K96" i="33" s="1"/>
  <c r="H94" i="17" s="1"/>
  <c r="V95" i="36"/>
  <c r="W95" i="36" s="1"/>
  <c r="Z93" i="17" s="1"/>
  <c r="U95" i="36"/>
  <c r="J95" i="40"/>
  <c r="K95" i="40" s="1"/>
  <c r="K93" i="17" s="1"/>
  <c r="I95" i="40"/>
  <c r="O84" i="38"/>
  <c r="N84" i="38"/>
  <c r="V96" i="34"/>
  <c r="W96" i="34" s="1"/>
  <c r="X94" i="17" s="1"/>
  <c r="U96" i="34"/>
  <c r="J96" i="35"/>
  <c r="K96" i="35" s="1"/>
  <c r="E94" i="17" s="1"/>
  <c r="I96" i="35"/>
  <c r="I95" i="18"/>
  <c r="J95" i="18"/>
  <c r="K95" i="18" s="1"/>
  <c r="C93" i="17" s="1"/>
  <c r="K97" i="34"/>
  <c r="G95" i="17" s="1"/>
  <c r="L90" i="38"/>
  <c r="V95" i="40"/>
  <c r="W95" i="40" s="1"/>
  <c r="AB93" i="17" s="1"/>
  <c r="U95" i="40"/>
  <c r="J94" i="32"/>
  <c r="I94" i="32"/>
  <c r="J98" i="34"/>
  <c r="I98" i="34"/>
  <c r="E85" i="28"/>
  <c r="M85" i="38" s="1"/>
  <c r="O90" i="17"/>
  <c r="V97" i="35"/>
  <c r="W97" i="35" s="1"/>
  <c r="V95" i="17" s="1"/>
  <c r="U97" i="35"/>
  <c r="I98" i="36"/>
  <c r="J98" i="36"/>
  <c r="K98" i="36" s="1"/>
  <c r="I96" i="17" s="1"/>
  <c r="J96" i="37"/>
  <c r="K96" i="37" s="1"/>
  <c r="J94" i="17" s="1"/>
  <c r="I96" i="37"/>
  <c r="O98" i="40" l="1"/>
  <c r="O98" i="33"/>
  <c r="O98" i="18"/>
  <c r="B98" i="40"/>
  <c r="O98" i="37"/>
  <c r="B98" i="31"/>
  <c r="O98" i="36"/>
  <c r="O98" i="35"/>
  <c r="O98" i="31"/>
  <c r="B98" i="37"/>
  <c r="O98" i="34"/>
  <c r="B98" i="33"/>
  <c r="B98" i="32"/>
  <c r="O98" i="32"/>
  <c r="B98" i="35"/>
  <c r="B98" i="18"/>
  <c r="B98" i="34"/>
  <c r="B98" i="36"/>
  <c r="B94" i="7"/>
  <c r="U96" i="37"/>
  <c r="V96" i="37"/>
  <c r="W96" i="37" s="1"/>
  <c r="AA94" i="17" s="1"/>
  <c r="AC92" i="17"/>
  <c r="AF92" i="17" s="1"/>
  <c r="V95" i="33"/>
  <c r="W95" i="33" s="1"/>
  <c r="Y93" i="17" s="1"/>
  <c r="U95" i="33"/>
  <c r="V97" i="31"/>
  <c r="W97" i="31" s="1"/>
  <c r="U95" i="17" s="1"/>
  <c r="U97" i="31"/>
  <c r="K96" i="31"/>
  <c r="D94" i="17" s="1"/>
  <c r="K89" i="38"/>
  <c r="J97" i="31"/>
  <c r="I97" i="31"/>
  <c r="V95" i="32"/>
  <c r="W95" i="32" s="1"/>
  <c r="W93" i="17" s="1"/>
  <c r="U95" i="32"/>
  <c r="U97" i="18"/>
  <c r="V97" i="18"/>
  <c r="W97" i="18" s="1"/>
  <c r="T95" i="17" s="1"/>
  <c r="I95" i="32"/>
  <c r="J95" i="32"/>
  <c r="I96" i="18"/>
  <c r="J96" i="18"/>
  <c r="K96" i="18" s="1"/>
  <c r="C94" i="17" s="1"/>
  <c r="L91" i="38"/>
  <c r="K98" i="34"/>
  <c r="G96" i="17" s="1"/>
  <c r="I97" i="35"/>
  <c r="J97" i="35"/>
  <c r="K97" i="35" s="1"/>
  <c r="E95" i="17" s="1"/>
  <c r="E86" i="28"/>
  <c r="O91" i="17"/>
  <c r="J99" i="34"/>
  <c r="I99" i="34"/>
  <c r="V96" i="40"/>
  <c r="W96" i="40" s="1"/>
  <c r="AB94" i="17" s="1"/>
  <c r="U96" i="40"/>
  <c r="I97" i="33"/>
  <c r="J97" i="33"/>
  <c r="K97" i="33" s="1"/>
  <c r="H95" i="17" s="1"/>
  <c r="U96" i="36"/>
  <c r="V96" i="36"/>
  <c r="W96" i="36" s="1"/>
  <c r="Z94" i="17" s="1"/>
  <c r="N85" i="38"/>
  <c r="O85" i="38"/>
  <c r="K94" i="32"/>
  <c r="F92" i="17" s="1"/>
  <c r="L92" i="17" s="1"/>
  <c r="J87" i="38"/>
  <c r="V97" i="34"/>
  <c r="W97" i="34" s="1"/>
  <c r="X95" i="17" s="1"/>
  <c r="U97" i="34"/>
  <c r="I96" i="40"/>
  <c r="J96" i="40"/>
  <c r="K96" i="40" s="1"/>
  <c r="K94" i="17" s="1"/>
  <c r="J97" i="37"/>
  <c r="K97" i="37" s="1"/>
  <c r="J95" i="17" s="1"/>
  <c r="I97" i="37"/>
  <c r="I99" i="36"/>
  <c r="J99" i="36"/>
  <c r="K99" i="36" s="1"/>
  <c r="I97" i="17" s="1"/>
  <c r="V98" i="35"/>
  <c r="W98" i="35" s="1"/>
  <c r="V96" i="17" s="1"/>
  <c r="U98" i="35"/>
  <c r="B99" i="33" l="1"/>
  <c r="O99" i="35"/>
  <c r="B99" i="18"/>
  <c r="B99" i="36"/>
  <c r="B99" i="31"/>
  <c r="B99" i="32"/>
  <c r="B99" i="37"/>
  <c r="B99" i="34"/>
  <c r="O99" i="40"/>
  <c r="O99" i="36"/>
  <c r="O99" i="37"/>
  <c r="O99" i="31"/>
  <c r="B99" i="40"/>
  <c r="O99" i="33"/>
  <c r="O99" i="18"/>
  <c r="O99" i="34"/>
  <c r="B99" i="35"/>
  <c r="O99" i="32"/>
  <c r="AC93" i="17"/>
  <c r="AF93" i="17" s="1"/>
  <c r="V97" i="37"/>
  <c r="W97" i="37" s="1"/>
  <c r="AA95" i="17" s="1"/>
  <c r="U97" i="37"/>
  <c r="V96" i="33"/>
  <c r="W96" i="33" s="1"/>
  <c r="Y94" i="17" s="1"/>
  <c r="U96" i="33"/>
  <c r="U98" i="31"/>
  <c r="V98" i="31"/>
  <c r="W98" i="31" s="1"/>
  <c r="U96" i="17" s="1"/>
  <c r="J98" i="31"/>
  <c r="I98" i="31"/>
  <c r="K97" i="31"/>
  <c r="D95" i="17" s="1"/>
  <c r="K90" i="38"/>
  <c r="U98" i="18"/>
  <c r="V98" i="18"/>
  <c r="W98" i="18" s="1"/>
  <c r="T96" i="17" s="1"/>
  <c r="V96" i="32"/>
  <c r="W96" i="32" s="1"/>
  <c r="W94" i="17" s="1"/>
  <c r="U96" i="32"/>
  <c r="J97" i="40"/>
  <c r="K97" i="40" s="1"/>
  <c r="K95" i="17" s="1"/>
  <c r="I97" i="40"/>
  <c r="N86" i="38"/>
  <c r="O86" i="38"/>
  <c r="I96" i="32"/>
  <c r="J96" i="32"/>
  <c r="U97" i="40"/>
  <c r="V97" i="40"/>
  <c r="W97" i="40" s="1"/>
  <c r="AB95" i="17" s="1"/>
  <c r="K95" i="32"/>
  <c r="F93" i="17" s="1"/>
  <c r="L93" i="17" s="1"/>
  <c r="J88" i="38"/>
  <c r="M86" i="38"/>
  <c r="U98" i="34"/>
  <c r="V98" i="34"/>
  <c r="W98" i="34" s="1"/>
  <c r="X96" i="17" s="1"/>
  <c r="E87" i="28"/>
  <c r="O92" i="17"/>
  <c r="U97" i="36"/>
  <c r="V97" i="36"/>
  <c r="W97" i="36" s="1"/>
  <c r="Z95" i="17" s="1"/>
  <c r="J98" i="33"/>
  <c r="K98" i="33" s="1"/>
  <c r="H96" i="17" s="1"/>
  <c r="I98" i="33"/>
  <c r="K99" i="34"/>
  <c r="G97" i="17" s="1"/>
  <c r="L92" i="38"/>
  <c r="I98" i="35"/>
  <c r="J98" i="35"/>
  <c r="K98" i="35" s="1"/>
  <c r="E96" i="17" s="1"/>
  <c r="I97" i="18"/>
  <c r="J97" i="18"/>
  <c r="K97" i="18" s="1"/>
  <c r="C95" i="17" s="1"/>
  <c r="J98" i="37"/>
  <c r="K98" i="37" s="1"/>
  <c r="J96" i="17" s="1"/>
  <c r="I98" i="37"/>
  <c r="V99" i="35"/>
  <c r="W99" i="35" s="1"/>
  <c r="V97" i="17" s="1"/>
  <c r="U99" i="35"/>
  <c r="U98" i="37" l="1"/>
  <c r="V98" i="37"/>
  <c r="W98" i="37" s="1"/>
  <c r="AA96" i="17" s="1"/>
  <c r="AC94" i="17"/>
  <c r="AF94" i="17" s="1"/>
  <c r="U97" i="33"/>
  <c r="V97" i="33"/>
  <c r="W97" i="33" s="1"/>
  <c r="Y95" i="17" s="1"/>
  <c r="V99" i="31"/>
  <c r="W99" i="31" s="1"/>
  <c r="U97" i="17" s="1"/>
  <c r="U99" i="31"/>
  <c r="I99" i="31"/>
  <c r="J99" i="31"/>
  <c r="K91" i="38"/>
  <c r="K98" i="31"/>
  <c r="D96" i="17" s="1"/>
  <c r="U97" i="32"/>
  <c r="V97" i="32"/>
  <c r="W97" i="32" s="1"/>
  <c r="W95" i="17" s="1"/>
  <c r="V99" i="18"/>
  <c r="W99" i="18" s="1"/>
  <c r="T97" i="17" s="1"/>
  <c r="U99" i="18"/>
  <c r="M87" i="38"/>
  <c r="N87" i="38"/>
  <c r="O87" i="38"/>
  <c r="I99" i="33"/>
  <c r="J99" i="33"/>
  <c r="K99" i="33" s="1"/>
  <c r="H97" i="17" s="1"/>
  <c r="V98" i="40"/>
  <c r="W98" i="40" s="1"/>
  <c r="AB96" i="17" s="1"/>
  <c r="U98" i="40"/>
  <c r="I97" i="32"/>
  <c r="J97" i="32"/>
  <c r="E88" i="28"/>
  <c r="M88" i="38" s="1"/>
  <c r="O93" i="17"/>
  <c r="I99" i="35"/>
  <c r="J99" i="35"/>
  <c r="K99" i="35" s="1"/>
  <c r="E97" i="17" s="1"/>
  <c r="J98" i="18"/>
  <c r="K98" i="18" s="1"/>
  <c r="C96" i="17" s="1"/>
  <c r="I98" i="18"/>
  <c r="U98" i="36"/>
  <c r="V98" i="36"/>
  <c r="W98" i="36" s="1"/>
  <c r="Z96" i="17" s="1"/>
  <c r="V99" i="34"/>
  <c r="W99" i="34" s="1"/>
  <c r="X97" i="17" s="1"/>
  <c r="U99" i="34"/>
  <c r="K96" i="32"/>
  <c r="F94" i="17" s="1"/>
  <c r="L94" i="17" s="1"/>
  <c r="J89" i="38"/>
  <c r="J98" i="40"/>
  <c r="K98" i="40" s="1"/>
  <c r="K96" i="17" s="1"/>
  <c r="I98" i="40"/>
  <c r="J99" i="37"/>
  <c r="K99" i="37" s="1"/>
  <c r="J97" i="17" s="1"/>
  <c r="I99" i="37"/>
  <c r="AC95" i="17" l="1"/>
  <c r="AF95" i="17" s="1"/>
  <c r="V99" i="37"/>
  <c r="W99" i="37" s="1"/>
  <c r="AA97" i="17" s="1"/>
  <c r="U99" i="37"/>
  <c r="V98" i="33"/>
  <c r="W98" i="33" s="1"/>
  <c r="Y96" i="17" s="1"/>
  <c r="U98" i="33"/>
  <c r="K92" i="38"/>
  <c r="K99" i="31"/>
  <c r="D97" i="17" s="1"/>
  <c r="U98" i="32"/>
  <c r="V98" i="32"/>
  <c r="W98" i="32" s="1"/>
  <c r="W96" i="17" s="1"/>
  <c r="J99" i="40"/>
  <c r="K99" i="40" s="1"/>
  <c r="K97" i="17" s="1"/>
  <c r="I99" i="40"/>
  <c r="I99" i="18"/>
  <c r="J99" i="18"/>
  <c r="K99" i="18" s="1"/>
  <c r="C97" i="17" s="1"/>
  <c r="J90" i="38"/>
  <c r="K97" i="32"/>
  <c r="F95" i="17" s="1"/>
  <c r="L95" i="17" s="1"/>
  <c r="O94" i="17"/>
  <c r="E89" i="28"/>
  <c r="U99" i="40"/>
  <c r="V99" i="40"/>
  <c r="W99" i="40" s="1"/>
  <c r="AB97" i="17" s="1"/>
  <c r="U99" i="36"/>
  <c r="V99" i="36"/>
  <c r="W99" i="36" s="1"/>
  <c r="Z97" i="17" s="1"/>
  <c r="N88" i="38"/>
  <c r="O88" i="38"/>
  <c r="I98" i="32"/>
  <c r="J98" i="32"/>
  <c r="AC96" i="17" l="1"/>
  <c r="AF96" i="17" s="1"/>
  <c r="U99" i="33"/>
  <c r="V99" i="33"/>
  <c r="W99" i="33" s="1"/>
  <c r="Y97" i="17" s="1"/>
  <c r="V99" i="32"/>
  <c r="W99" i="32" s="1"/>
  <c r="W97" i="17" s="1"/>
  <c r="U99" i="32"/>
  <c r="J99" i="32"/>
  <c r="I99" i="32"/>
  <c r="O89" i="38"/>
  <c r="N89" i="38"/>
  <c r="K98" i="32"/>
  <c r="F96" i="17" s="1"/>
  <c r="L96" i="17" s="1"/>
  <c r="J91" i="38"/>
  <c r="E90" i="28"/>
  <c r="M90" i="38" s="1"/>
  <c r="O95" i="17"/>
  <c r="M89" i="38"/>
  <c r="AC97" i="17" l="1"/>
  <c r="AF97" i="17" s="1"/>
  <c r="E91" i="28"/>
  <c r="M91" i="38" s="1"/>
  <c r="O96" i="17"/>
  <c r="J92" i="38"/>
  <c r="K99" i="32"/>
  <c r="F97" i="17" s="1"/>
  <c r="L97" i="17" s="1"/>
  <c r="N90" i="38"/>
  <c r="O90" i="38"/>
  <c r="E92" i="28" l="1"/>
  <c r="M92" i="38" s="1"/>
  <c r="O97" i="17"/>
  <c r="O91" i="38"/>
  <c r="N91" i="38"/>
  <c r="O92" i="38" l="1"/>
  <c r="N92" i="38"/>
</calcChain>
</file>

<file path=xl/comments1.xml><?xml version="1.0" encoding="utf-8"?>
<comments xmlns="http://schemas.openxmlformats.org/spreadsheetml/2006/main">
  <authors>
    <author>AEA Technology</author>
    <author>T- Force 6100 AM2</author>
  </authors>
  <commentList>
    <comment ref="N28" authorId="0" shapeId="0">
      <text>
        <r>
          <rPr>
            <sz val="8"/>
            <color indexed="81"/>
            <rFont val="Tahoma"/>
            <family val="2"/>
          </rPr>
          <t>The composition of industrial waste will vary significantly by country. This DOC value should match the amounts entered (see guidelines).</t>
        </r>
      </text>
    </comment>
    <comment ref="Q28" authorId="0" shapeId="0">
      <text>
        <r>
          <rPr>
            <sz val="8"/>
            <color indexed="81"/>
            <rFont val="Tahoma"/>
            <family val="2"/>
          </rPr>
          <t>The composition of industrial waste will vary significantly by country. This DOC value should match the amounts entered (see guidelines).</t>
        </r>
      </text>
    </comment>
    <comment ref="N47" authorId="0" shapeId="0">
      <text>
        <r>
          <rPr>
            <sz val="8"/>
            <color indexed="81"/>
            <rFont val="Tahoma"/>
            <family val="2"/>
          </rPr>
          <t>The composition of industrial waste will vary significantly by country. This DOC value should match the amounts entered (see guidelines).</t>
        </r>
      </text>
    </comment>
    <comment ref="B49" authorId="0" shapeId="0">
      <text>
        <r>
          <rPr>
            <sz val="8"/>
            <color indexed="81"/>
            <rFont val="Tahoma"/>
            <family val="2"/>
          </rPr>
          <t>This is the average time before anaerobic decay begins - usually assumed to be a few months</t>
        </r>
      </text>
    </comment>
    <comment ref="D86" authorId="1" shapeId="0">
      <text>
        <r>
          <rPr>
            <b/>
            <sz val="8"/>
            <color indexed="81"/>
            <rFont val="Tahoma"/>
            <family val="2"/>
          </rPr>
          <t>T- Force 6100 AM2:</t>
        </r>
        <r>
          <rPr>
            <sz val="8"/>
            <color indexed="81"/>
            <rFont val="Tahoma"/>
            <family val="2"/>
          </rPr>
          <t xml:space="preserve">
From Table 2.4, DOC content of wet waste
Volume 5
IPCC 2006</t>
        </r>
      </text>
    </comment>
    <comment ref="D97" authorId="1" shapeId="0">
      <text>
        <r>
          <rPr>
            <b/>
            <sz val="8"/>
            <color indexed="81"/>
            <rFont val="Tahoma"/>
            <family val="2"/>
          </rPr>
          <t>T- Force 6100 AM2:</t>
        </r>
        <r>
          <rPr>
            <sz val="8"/>
            <color indexed="81"/>
            <rFont val="Tahoma"/>
            <family val="2"/>
          </rPr>
          <t xml:space="preserve">
From Table 2.4, DOC content of wet waste
Volume 5
IPCC 2006</t>
        </r>
      </text>
    </comment>
    <comment ref="D108" authorId="1" shapeId="0">
      <text>
        <r>
          <rPr>
            <b/>
            <sz val="8"/>
            <color indexed="81"/>
            <rFont val="Tahoma"/>
            <family val="2"/>
          </rPr>
          <t>T- Force 6100 AM2:</t>
        </r>
        <r>
          <rPr>
            <sz val="8"/>
            <color indexed="81"/>
            <rFont val="Tahoma"/>
            <family val="2"/>
          </rPr>
          <t xml:space="preserve">
From Table 2.4, DOC content of wet waste
Volume 5
IPCC 2006</t>
        </r>
      </text>
    </comment>
  </commentList>
</comments>
</file>

<file path=xl/comments2.xml><?xml version="1.0" encoding="utf-8"?>
<comments xmlns="http://schemas.openxmlformats.org/spreadsheetml/2006/main">
  <authors>
    <author>Jeff Coburn</author>
  </authors>
  <commentList>
    <comment ref="C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3.xml><?xml version="1.0" encoding="utf-8"?>
<comments xmlns="http://schemas.openxmlformats.org/spreadsheetml/2006/main">
  <authors>
    <author>AEA Technology</author>
    <author>user</author>
    <author>Resalto Pradewa</author>
  </authors>
  <commentList>
    <comment ref="E9" authorId="0" shapeId="0">
      <text>
        <r>
          <rPr>
            <sz val="8"/>
            <color indexed="81"/>
            <rFont val="Tahoma"/>
            <family val="2"/>
          </rPr>
          <t>This should be the composition of the waste entering the disposal sites, after any removal of material for recycling etc.
Other categories, e.g. street sweepings, should be re-categorised into the columns below (see guidance).</t>
        </r>
      </text>
    </comment>
    <comment ref="C10" authorId="1" shapeId="0">
      <text>
        <r>
          <rPr>
            <b/>
            <sz val="9"/>
            <color indexed="81"/>
            <rFont val="Tahoma"/>
            <family val="2"/>
          </rPr>
          <t>user:</t>
        </r>
        <r>
          <rPr>
            <sz val="9"/>
            <color indexed="81"/>
            <rFont val="Tahoma"/>
            <family val="2"/>
          </rPr>
          <t xml:space="preserve">
data yg lebih akurat yaitu data berat sampah yang masuk TPA</t>
        </r>
      </text>
    </comment>
    <comment ref="L10" authorId="2" shapeId="0">
      <text>
        <r>
          <rPr>
            <b/>
            <sz val="9"/>
            <color indexed="81"/>
            <rFont val="Tahoma"/>
            <family val="2"/>
          </rPr>
          <t xml:space="preserve">Inert waste are wastes that do not contain degradable organic carbon (i.e., DOC=0).   E.g., plastic, glass, metal etc. 
</t>
        </r>
      </text>
    </comment>
    <comment ref="W11" authorId="0" shapeId="0">
      <text>
        <r>
          <rPr>
            <sz val="8"/>
            <color indexed="81"/>
            <rFont val="Tahoma"/>
            <family val="2"/>
          </rPr>
          <t>Enter the percentage of waste generated which goes to solid waste disposal sites</t>
        </r>
      </text>
    </comment>
    <comment ref="C12" authorId="0" shapeId="0">
      <text>
        <r>
          <rPr>
            <b/>
            <sz val="8"/>
            <color indexed="81"/>
            <rFont val="Tahoma"/>
            <family val="2"/>
          </rPr>
          <t>1 gigagram (Gg) is 1000 tonnes</t>
        </r>
        <r>
          <rPr>
            <sz val="8"/>
            <color indexed="81"/>
            <rFont val="Tahoma"/>
            <family val="2"/>
          </rPr>
          <t xml:space="preserve">
</t>
        </r>
      </text>
    </comment>
    <comment ref="V12" authorId="0" shapeId="0">
      <text>
        <r>
          <rPr>
            <b/>
            <sz val="8"/>
            <color indexed="81"/>
            <rFont val="Tahoma"/>
            <family val="2"/>
          </rPr>
          <t>1 gigagram (Gg) is 1000 tonnes</t>
        </r>
        <r>
          <rPr>
            <sz val="8"/>
            <color indexed="81"/>
            <rFont val="Tahoma"/>
            <family val="2"/>
          </rPr>
          <t xml:space="preserve">
</t>
        </r>
      </text>
    </comment>
  </commentList>
</comments>
</file>

<file path=xl/comments4.xml><?xml version="1.0" encoding="utf-8"?>
<comments xmlns="http://schemas.openxmlformats.org/spreadsheetml/2006/main">
  <authors>
    <author>Resalto Pradewa</author>
    <author>AEA Technology</author>
  </authors>
  <commentList>
    <comment ref="J11" authorId="0" shapeId="0">
      <text>
        <r>
          <rPr>
            <b/>
            <sz val="9"/>
            <color indexed="81"/>
            <rFont val="Tahoma"/>
            <family val="2"/>
          </rPr>
          <t xml:space="preserve">Inert waste are wastes that do not contain degradable organic carbon (i.e., DOC=0).   E.g., plastic, glass, metal etc. 
</t>
        </r>
      </text>
    </comment>
    <comment ref="C13" authorId="1" shapeId="0">
      <text>
        <r>
          <rPr>
            <b/>
            <sz val="8"/>
            <color indexed="81"/>
            <rFont val="Tahoma"/>
            <family val="2"/>
          </rPr>
          <t>1 gigagram (Gg) is 1000 tonnes</t>
        </r>
        <r>
          <rPr>
            <sz val="8"/>
            <color indexed="81"/>
            <rFont val="Tahoma"/>
            <family val="2"/>
          </rPr>
          <t xml:space="preserve">
</t>
        </r>
      </text>
    </comment>
  </commentList>
</comments>
</file>

<file path=xl/comments5.xml><?xml version="1.0" encoding="utf-8"?>
<comments xmlns="http://schemas.openxmlformats.org/spreadsheetml/2006/main">
  <authors>
    <author>AEA Technology</author>
  </authors>
  <commentList>
    <comment ref="C11" authorId="0" shapeId="0">
      <text>
        <r>
          <rPr>
            <b/>
            <sz val="8"/>
            <color indexed="81"/>
            <rFont val="Tahoma"/>
            <family val="2"/>
          </rPr>
          <t>1 gigagram (Gg) is 1000 tonnes</t>
        </r>
        <r>
          <rPr>
            <sz val="8"/>
            <color indexed="81"/>
            <rFont val="Tahoma"/>
            <family val="2"/>
          </rPr>
          <t xml:space="preserve">
</t>
        </r>
      </text>
    </comment>
  </commentList>
</comments>
</file>

<file path=xl/comments6.xml><?xml version="1.0" encoding="utf-8"?>
<comments xmlns="http://schemas.openxmlformats.org/spreadsheetml/2006/main">
  <authors>
    <author>Per Svardal</author>
    <author>AEA Technology</author>
  </authors>
  <commentList>
    <comment ref="O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AF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C15" authorId="1" shapeId="0">
      <text>
        <r>
          <rPr>
            <b/>
            <sz val="8"/>
            <color indexed="81"/>
            <rFont val="Tahoma"/>
            <family val="2"/>
          </rPr>
          <t>1 gigagram (Gg) is 1000 tonnes</t>
        </r>
        <r>
          <rPr>
            <sz val="8"/>
            <color indexed="81"/>
            <rFont val="Tahoma"/>
            <family val="2"/>
          </rPr>
          <t xml:space="preserve">
</t>
        </r>
      </text>
    </comment>
    <comment ref="T15" authorId="1" shapeId="0">
      <text>
        <r>
          <rPr>
            <b/>
            <sz val="8"/>
            <color indexed="81"/>
            <rFont val="Tahoma"/>
            <family val="2"/>
          </rPr>
          <t>1 gigagram (Gg) is 1000 tonnes</t>
        </r>
        <r>
          <rPr>
            <sz val="8"/>
            <color indexed="81"/>
            <rFont val="Tahoma"/>
            <family val="2"/>
          </rPr>
          <t xml:space="preserve">
</t>
        </r>
      </text>
    </comment>
  </commentList>
</comments>
</file>

<file path=xl/comments7.xml><?xml version="1.0" encoding="utf-8"?>
<comments xmlns="http://schemas.openxmlformats.org/spreadsheetml/2006/main">
  <authors>
    <author>AEA Technology</author>
  </authors>
  <commentList>
    <comment ref="C10" authorId="0" shapeId="0">
      <text>
        <r>
          <rPr>
            <b/>
            <sz val="8"/>
            <color indexed="81"/>
            <rFont val="Tahoma"/>
            <family val="2"/>
          </rPr>
          <t>1 gigagram (Gg) is 1000 tonnes</t>
        </r>
        <r>
          <rPr>
            <sz val="8"/>
            <color indexed="81"/>
            <rFont val="Tahoma"/>
            <family val="2"/>
          </rPr>
          <t xml:space="preserve">
</t>
        </r>
      </text>
    </comment>
  </commentList>
</comments>
</file>

<file path=xl/comments8.xml><?xml version="1.0" encoding="utf-8"?>
<comments xmlns="http://schemas.openxmlformats.org/spreadsheetml/2006/main">
  <authors>
    <author>AEA Technology</author>
  </authors>
  <commentList>
    <comment ref="C16" authorId="0" shapeId="0">
      <text>
        <r>
          <rPr>
            <b/>
            <sz val="8"/>
            <color indexed="81"/>
            <rFont val="Tahoma"/>
            <family val="2"/>
          </rPr>
          <t>1 gigagram (Gg) is 1000 tonnes</t>
        </r>
        <r>
          <rPr>
            <sz val="8"/>
            <color indexed="81"/>
            <rFont val="Tahoma"/>
            <family val="2"/>
          </rPr>
          <t xml:space="preserve">
</t>
        </r>
      </text>
    </comment>
  </commentList>
</comments>
</file>

<file path=xl/comments9.xml><?xml version="1.0" encoding="utf-8"?>
<comments xmlns="http://schemas.openxmlformats.org/spreadsheetml/2006/main">
  <authors>
    <author>Jeff Coburn</author>
    <author>WebServerKPPE</author>
    <author>AEA Technology</author>
  </authors>
  <commentList>
    <comment ref="AE7" authorId="0" shapeId="0">
      <text>
        <r>
          <rPr>
            <sz val="8"/>
            <color indexed="81"/>
            <rFont val="Tahoma"/>
            <family val="2"/>
          </rPr>
          <t>Includes plastic, metal, glass, ash, and other inert material (i.e., material with DOC=0).</t>
        </r>
      </text>
    </comment>
    <comment ref="O10" authorId="1" shapeId="0">
      <text>
        <r>
          <rPr>
            <b/>
            <sz val="9"/>
            <color indexed="81"/>
            <rFont val="Tahoma"/>
            <family val="2"/>
          </rPr>
          <t>WebServerKPPE:</t>
        </r>
        <r>
          <rPr>
            <sz val="9"/>
            <color indexed="81"/>
            <rFont val="Tahoma"/>
            <family val="2"/>
          </rPr>
          <t xml:space="preserve">
natural rubbers would likely not degrade under anaerobic condition at SWDS (Tsuchii et al., 1985; Rose and Steinbüchel, 2005)</t>
        </r>
      </text>
    </comment>
    <comment ref="AF11" authorId="0" shapeId="0">
      <text>
        <r>
          <rPr>
            <sz val="8"/>
            <color indexed="81"/>
            <rFont val="Tahoma"/>
            <family val="2"/>
          </rPr>
          <t xml:space="preserve">No data; defulat is average of all available regional data.
</t>
        </r>
      </text>
    </comment>
    <comment ref="AG11" authorId="0" shapeId="0">
      <text>
        <r>
          <rPr>
            <sz val="8"/>
            <color indexed="81"/>
            <rFont val="Tahoma"/>
            <family val="2"/>
          </rPr>
          <t xml:space="preserve">No data; defulat is average of all available regional data.
</t>
        </r>
      </text>
    </comment>
    <comment ref="G16" authorId="2" shapeId="0">
      <text>
        <r>
          <rPr>
            <b/>
            <sz val="8"/>
            <color indexed="81"/>
            <rFont val="Tahoma"/>
            <family val="2"/>
          </rPr>
          <t>This cell records which climate zone is selected in the drop-down box on the parameter sheet.</t>
        </r>
      </text>
    </comment>
    <comment ref="O22" authorId="0" shapeId="0">
      <text>
        <r>
          <rPr>
            <b/>
            <sz val="8"/>
            <color indexed="81"/>
            <rFont val="Tahoma"/>
            <family val="2"/>
          </rPr>
          <t>Cell records waste type DOC selection from parameters worksheet.</t>
        </r>
        <r>
          <rPr>
            <sz val="8"/>
            <color indexed="81"/>
            <rFont val="Tahoma"/>
            <family val="2"/>
          </rPr>
          <t xml:space="preserve">
</t>
        </r>
      </text>
    </comment>
  </commentList>
</comments>
</file>

<file path=xl/comments10.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2.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3.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4.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5.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6.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7.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8.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sharedStrings.xml><?xml version="1.0" encoding="utf-8"?>
<sst xmlns="http://schemas.openxmlformats.org/spreadsheetml/2006/main" count="1446" uniqueCount="343">
  <si>
    <t>Managed</t>
  </si>
  <si>
    <t>Year</t>
  </si>
  <si>
    <t>Wood</t>
  </si>
  <si>
    <t>Textile</t>
  </si>
  <si>
    <t>Methane emission</t>
  </si>
  <si>
    <t>Methane recovery</t>
  </si>
  <si>
    <t>Food waste</t>
  </si>
  <si>
    <t>National values</t>
  </si>
  <si>
    <t>Process start in deposition year. Month M</t>
  </si>
  <si>
    <t>DOC</t>
  </si>
  <si>
    <t>Amount deposited</t>
  </si>
  <si>
    <t>MCF</t>
  </si>
  <si>
    <t>DOCf</t>
  </si>
  <si>
    <t>Value</t>
  </si>
  <si>
    <t>Parameters</t>
  </si>
  <si>
    <t>Gg</t>
  </si>
  <si>
    <t>Textiles</t>
  </si>
  <si>
    <t>IPCC Spreadsheet for Estimating Methane emissions from Solid Waste Disposal Sites</t>
  </si>
  <si>
    <t>IPCC default value</t>
  </si>
  <si>
    <t>Reference and remarks</t>
  </si>
  <si>
    <t>fraction</t>
  </si>
  <si>
    <r>
      <t>Conversion factor</t>
    </r>
    <r>
      <rPr>
        <sz val="10"/>
        <rFont val="Arial"/>
        <family val="2"/>
      </rPr>
      <t>, C to CH</t>
    </r>
    <r>
      <rPr>
        <vertAlign val="subscript"/>
        <sz val="10"/>
        <rFont val="Arial"/>
        <family val="2"/>
      </rPr>
      <t>4</t>
    </r>
  </si>
  <si>
    <r>
      <t xml:space="preserve">Oxidation factor </t>
    </r>
    <r>
      <rPr>
        <sz val="10"/>
        <rFont val="Arial"/>
        <family val="2"/>
      </rPr>
      <t>(OX)</t>
    </r>
  </si>
  <si>
    <t>Industrial waste</t>
  </si>
  <si>
    <t>%</t>
  </si>
  <si>
    <t>IPCC default</t>
  </si>
  <si>
    <t>This worksheet calculates a weighted average MCF from the estimated distribution of site types</t>
  </si>
  <si>
    <t>Total</t>
  </si>
  <si>
    <t>References / remarks</t>
  </si>
  <si>
    <t>Then enter the approximate distribution of waste disposals (by mass) between site types in the columns below.</t>
  </si>
  <si>
    <t>Country</t>
  </si>
  <si>
    <t>Help on parameter selection can be found in the 2006 IPCC guidelines</t>
  </si>
  <si>
    <t>Amounts deposited in SWDS</t>
  </si>
  <si>
    <t>Total MSW</t>
  </si>
  <si>
    <t xml:space="preserve">MSW activity data </t>
  </si>
  <si>
    <t xml:space="preserve">Enter starting year, industrial waste disposal data and methane recovery into the yellow cells. </t>
  </si>
  <si>
    <t>Total (100%)</t>
  </si>
  <si>
    <t>MSW activity data is entered on MSW sheet</t>
  </si>
  <si>
    <t>Help and default regional values are given in the 2006 IPCC Guidelines.</t>
  </si>
  <si>
    <t>(=100%)</t>
  </si>
  <si>
    <t>% to SWDS</t>
  </si>
  <si>
    <t>Composition of waste going to solid waste disposal sites</t>
  </si>
  <si>
    <t>Delay time (months)</t>
  </si>
  <si>
    <t>DOCf (fraction of DOC dissimilated)</t>
  </si>
  <si>
    <t>Dry temperate</t>
  </si>
  <si>
    <t>Dry</t>
  </si>
  <si>
    <t>Wet</t>
  </si>
  <si>
    <t>Temperate</t>
  </si>
  <si>
    <t>Slowly degrading waste</t>
  </si>
  <si>
    <t>Moderately degrading waste</t>
  </si>
  <si>
    <t>Garden and park waste</t>
  </si>
  <si>
    <t>Rapidly degrading waste</t>
  </si>
  <si>
    <t xml:space="preserve">(Derived from k values obtained in experimental measurements, calculated by models, or used in GHG inventories and other studies) </t>
  </si>
  <si>
    <t xml:space="preserve">MAT – Mean annual temperature; </t>
  </si>
  <si>
    <t xml:space="preserve">MAP – Mean annual precipitation; </t>
  </si>
  <si>
    <t xml:space="preserve">PET  – Potential evapotranspiration. </t>
  </si>
  <si>
    <t>Paper/textile waste</t>
  </si>
  <si>
    <t>Tropical</t>
  </si>
  <si>
    <t>IPCC Climate Zone Definitions</t>
  </si>
  <si>
    <t>MAT</t>
  </si>
  <si>
    <t>MAP</t>
  </si>
  <si>
    <t>MAP/PET</t>
  </si>
  <si>
    <t>Selected:</t>
  </si>
  <si>
    <t>0 - 20°C</t>
  </si>
  <si>
    <t>&lt;1</t>
  </si>
  <si>
    <t>Wet temperate</t>
  </si>
  <si>
    <t>&gt;1</t>
  </si>
  <si>
    <t>Dry tropical</t>
  </si>
  <si>
    <t>&gt; 20°C</t>
  </si>
  <si>
    <t>&lt;1000 mm</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</si>
  <si>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</si>
  <si>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</si>
  <si>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</si>
  <si>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</si>
  <si>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</si>
  <si>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r>
      <t>Decay rate constant (y</t>
    </r>
    <r>
      <rPr>
        <b/>
        <vertAlign val="superscript"/>
        <sz val="10"/>
        <rFont val="Arial"/>
        <family val="2"/>
      </rPr>
      <t>-1</t>
    </r>
    <r>
      <rPr>
        <b/>
        <sz val="10"/>
        <rFont val="Arial"/>
        <family val="2"/>
      </rPr>
      <t>)</t>
    </r>
  </si>
  <si>
    <r>
      <t>Decay rate constant  (y</t>
    </r>
    <r>
      <rPr>
        <b/>
        <vertAlign val="superscript"/>
        <sz val="10"/>
        <rFont val="Arial"/>
        <family val="2"/>
      </rPr>
      <t>-1</t>
    </r>
    <r>
      <rPr>
        <b/>
        <sz val="10"/>
        <rFont val="Arial"/>
        <family val="2"/>
      </rPr>
      <t>)</t>
    </r>
  </si>
  <si>
    <t>Half life (years)</t>
  </si>
  <si>
    <t>Mixed composition</t>
  </si>
  <si>
    <t>Food waste/ sewage sludge</t>
  </si>
  <si>
    <t>Parameters for carbon storage</t>
  </si>
  <si>
    <t xml:space="preserve">A </t>
  </si>
  <si>
    <t>F</t>
  </si>
  <si>
    <t>M</t>
  </si>
  <si>
    <t>exp1</t>
  </si>
  <si>
    <t>exp2</t>
  </si>
  <si>
    <t>Fraction to CH4</t>
  </si>
  <si>
    <t>B</t>
  </si>
  <si>
    <t>C</t>
  </si>
  <si>
    <t>E</t>
  </si>
  <si>
    <t>Starting year</t>
  </si>
  <si>
    <t>Methane generated</t>
  </si>
  <si>
    <t>G</t>
  </si>
  <si>
    <t>H</t>
  </si>
  <si>
    <t>Results</t>
  </si>
  <si>
    <t>MSW</t>
  </si>
  <si>
    <t>Enter those data onto this sheet.</t>
  </si>
  <si>
    <t>&gt;1000 mm</t>
  </si>
  <si>
    <t>Moist and wet tropical</t>
  </si>
  <si>
    <t>Moist and Wet</t>
  </si>
  <si>
    <t>Country-specific parameters</t>
  </si>
  <si>
    <t>Countries with good inventory data:</t>
  </si>
  <si>
    <t>Methane calculation from:  Food waste</t>
  </si>
  <si>
    <t>Uncate-gorised</t>
  </si>
  <si>
    <t>Un-managed, shallow</t>
  </si>
  <si>
    <t>Un-managed, deep</t>
  </si>
  <si>
    <t>Methane Correction Factor (MCF)</t>
  </si>
  <si>
    <t>Calculated values for MCF</t>
  </si>
  <si>
    <t>Amount of Methane Recovered from SWDS</t>
  </si>
  <si>
    <t>Totals on each row must add up to 100% (see "distribution check" values)</t>
  </si>
  <si>
    <t xml:space="preserve">Enter the total amount of methane recovered </t>
  </si>
  <si>
    <t xml:space="preserve">from all SWDS. </t>
  </si>
  <si>
    <r>
      <t>IPCC</t>
    </r>
    <r>
      <rPr>
        <b/>
        <sz val="10"/>
        <rFont val="Arial"/>
        <family val="2"/>
      </rPr>
      <t xml:space="preserve"> DEFAULT DOC VALUES</t>
    </r>
  </si>
  <si>
    <t>Range</t>
  </si>
  <si>
    <t>Select2:</t>
  </si>
  <si>
    <t>Default</t>
  </si>
  <si>
    <t>Default Value</t>
  </si>
  <si>
    <t>Region</t>
  </si>
  <si>
    <t>Select3</t>
  </si>
  <si>
    <t>Asia: Eastern</t>
  </si>
  <si>
    <t>Asia- Southeast</t>
  </si>
  <si>
    <t>Asia- Western &amp; Middle East</t>
  </si>
  <si>
    <t>Africa: Southern</t>
  </si>
  <si>
    <t>Europe: Southern</t>
  </si>
  <si>
    <t>Caribbean</t>
  </si>
  <si>
    <t>Percent Waste Composition Data</t>
  </si>
  <si>
    <t>MSW Generation Rate (tonnes/cap/yr)</t>
  </si>
  <si>
    <t>Paper/ card board</t>
  </si>
  <si>
    <r>
      <t>IPCC</t>
    </r>
    <r>
      <rPr>
        <b/>
        <sz val="10"/>
        <rFont val="Arial"/>
        <family val="2"/>
      </rPr>
      <t xml:space="preserve"> REGIONAL DEFAULT VALUES FOR WASTE COMPOSITION, WASTE GENERATION, AND FRACTION DISPOSED</t>
    </r>
  </si>
  <si>
    <t>Fraction MSW disposed to SWDS</t>
  </si>
  <si>
    <t>Selected half-life inputs</t>
  </si>
  <si>
    <t>DOC (Degradable organic carbon)</t>
  </si>
  <si>
    <t>Specified Inputs:  expanded for spreadsheet calculations</t>
  </si>
  <si>
    <t>Type of Waste</t>
  </si>
  <si>
    <t>Wood/ straw/ rubber waste</t>
  </si>
  <si>
    <t>Sewage sludge</t>
  </si>
  <si>
    <t>Bulk MSW or Industrial Waste</t>
  </si>
  <si>
    <t>0.04-0.05</t>
  </si>
  <si>
    <t>0-0.54</t>
  </si>
  <si>
    <t>Garden / park</t>
  </si>
  <si>
    <t>Nappies / Diapers</t>
  </si>
  <si>
    <t>Rubber / leather</t>
  </si>
  <si>
    <t>All other, inerts</t>
  </si>
  <si>
    <t>Bulk MSW waste</t>
  </si>
  <si>
    <t>Bulk waste data only</t>
  </si>
  <si>
    <t>Waste by composition</t>
  </si>
  <si>
    <t>Sludge</t>
  </si>
  <si>
    <t>Weighted average MCF for MSW</t>
  </si>
  <si>
    <t xml:space="preserve"> exp(-k)</t>
  </si>
  <si>
    <t>B = D * exp2</t>
  </si>
  <si>
    <t>C = D * (1- exp2)</t>
  </si>
  <si>
    <r>
      <t>H = B + (H</t>
    </r>
    <r>
      <rPr>
        <vertAlign val="subscript"/>
        <sz val="8"/>
        <rFont val="Arial"/>
        <family val="2"/>
      </rPr>
      <t>last year</t>
    </r>
    <r>
      <rPr>
        <sz val="8"/>
        <rFont val="Arial"/>
        <family val="2"/>
      </rPr>
      <t xml:space="preserve"> * exp1)</t>
    </r>
  </si>
  <si>
    <t>Q = E * 16/12 * F</t>
  </si>
  <si>
    <t>Methane calculation from:  Textiles</t>
  </si>
  <si>
    <t>Regional Average DOC (wt fraction)</t>
  </si>
  <si>
    <t>Default DOC</t>
  </si>
  <si>
    <t>0.12-0.28</t>
  </si>
  <si>
    <t>wt. fraction</t>
  </si>
  <si>
    <t>Distribution of Waste by Waste Management Type</t>
  </si>
  <si>
    <t>Country-specific value</t>
  </si>
  <si>
    <t>"Fixed" Country-specifc value</t>
  </si>
  <si>
    <t>Distri-bution Check</t>
  </si>
  <si>
    <t>L</t>
  </si>
  <si>
    <t>M = (K-L)*(1-OX)</t>
  </si>
  <si>
    <t xml:space="preserve">Amount deposited data </t>
  </si>
  <si>
    <t xml:space="preserve">0.17–0.7 </t>
  </si>
  <si>
    <t>0.05–0.08</t>
  </si>
  <si>
    <t>0.04–0.06</t>
  </si>
  <si>
    <t>0.01–0.03</t>
  </si>
  <si>
    <t>0.03–0.05</t>
  </si>
  <si>
    <t>0.05–0.07</t>
  </si>
  <si>
    <t>0.02–0.04</t>
  </si>
  <si>
    <t>0.06–0.1</t>
  </si>
  <si>
    <t>0.1–0.2</t>
  </si>
  <si>
    <t>0.08–0.1</t>
  </si>
  <si>
    <t>0.07–0.1</t>
  </si>
  <si>
    <t>0.06–0.085</t>
  </si>
  <si>
    <t>0.15–0.2</t>
  </si>
  <si>
    <t>Averages</t>
  </si>
  <si>
    <t>exp(-k*((13-M)/12))</t>
  </si>
  <si>
    <t>Decomposable DOC (DDOCm) deposited</t>
  </si>
  <si>
    <t>DDOCm not reacted. Deposition year</t>
  </si>
  <si>
    <t>DDOCm decomposed. Deposition year</t>
  </si>
  <si>
    <t>DDOCm accumulated in SWDS end of year</t>
  </si>
  <si>
    <t>DDOCm decomposed</t>
  </si>
  <si>
    <r>
      <t>CH</t>
    </r>
    <r>
      <rPr>
        <vertAlign val="subscript"/>
        <sz val="10"/>
        <color indexed="8"/>
        <rFont val="Arial"/>
        <family val="2"/>
      </rPr>
      <t>4</t>
    </r>
    <r>
      <rPr>
        <sz val="10"/>
        <color indexed="8"/>
        <rFont val="Arial"/>
        <family val="2"/>
      </rPr>
      <t xml:space="preserve"> generated</t>
    </r>
    <r>
      <rPr>
        <sz val="10"/>
        <rFont val="Arial"/>
        <family val="2"/>
      </rPr>
      <t xml:space="preserve"> </t>
    </r>
  </si>
  <si>
    <t xml:space="preserve">W </t>
  </si>
  <si>
    <t>D = W * DOC * DOCf * MCF</t>
  </si>
  <si>
    <t>k</t>
  </si>
  <si>
    <t>h = ln(2)/k</t>
  </si>
  <si>
    <r>
      <t>Half-life time (t</t>
    </r>
    <r>
      <rPr>
        <vertAlign val="subscript"/>
        <sz val="10"/>
        <rFont val="Arial"/>
        <family val="2"/>
      </rPr>
      <t>1/2</t>
    </r>
    <r>
      <rPr>
        <sz val="10"/>
        <rFont val="Arial"/>
        <family val="2"/>
      </rPr>
      <t>, years</t>
    </r>
    <r>
      <rPr>
        <sz val="10"/>
        <rFont val="Arial"/>
        <family val="2"/>
      </rPr>
      <t>):</t>
    </r>
  </si>
  <si>
    <r>
      <t>E = C + H</t>
    </r>
    <r>
      <rPr>
        <vertAlign val="subscript"/>
        <sz val="8"/>
        <rFont val="Arial"/>
        <family val="2"/>
      </rPr>
      <t>last year</t>
    </r>
    <r>
      <rPr>
        <sz val="8"/>
        <rFont val="Arial"/>
        <family val="2"/>
      </rPr>
      <t xml:space="preserve"> * (1 - exp1)</t>
    </r>
  </si>
  <si>
    <t>Methane generation rate constant</t>
  </si>
  <si>
    <r>
      <t>(years</t>
    </r>
    <r>
      <rPr>
        <b/>
        <vertAlign val="superscript"/>
        <sz val="10"/>
        <rFont val="Arial"/>
        <family val="2"/>
      </rPr>
      <t>-1</t>
    </r>
    <r>
      <rPr>
        <b/>
        <sz val="10"/>
        <rFont val="Arial"/>
        <family val="2"/>
      </rPr>
      <t>)</t>
    </r>
  </si>
  <si>
    <t>K</t>
  </si>
  <si>
    <t>% paper in industrial waste</t>
  </si>
  <si>
    <t>% wood in industrial waste</t>
  </si>
  <si>
    <t>Methane Recovery and methane oxidised in top layer (OX)</t>
  </si>
  <si>
    <t>Methane oxidised (OX)</t>
  </si>
  <si>
    <t>References/remarks</t>
  </si>
  <si>
    <t>Fraction</t>
  </si>
  <si>
    <t>Please enter parameters in the yellow cells.  If no national data are available, copy the IPCC default value.</t>
  </si>
  <si>
    <t>Bulk waste and waste composition options.</t>
  </si>
  <si>
    <t>Fraction recovered methane</t>
  </si>
  <si>
    <t>Bulk MSW</t>
  </si>
  <si>
    <r>
      <t>IPCC</t>
    </r>
    <r>
      <rPr>
        <b/>
        <sz val="10"/>
        <rFont val="Arial"/>
        <family val="2"/>
      </rPr>
      <t xml:space="preserve"> DEFAULT METHANE GENERATION RATE CONSTANTS (1/yr)</t>
    </r>
  </si>
  <si>
    <t>Managed, semi-aerobic</t>
  </si>
  <si>
    <r>
      <t xml:space="preserve">Fraction of methane </t>
    </r>
    <r>
      <rPr>
        <sz val="10"/>
        <rFont val="Arial"/>
        <family val="2"/>
      </rPr>
      <t>(F) in developed gas</t>
    </r>
  </si>
  <si>
    <r>
      <t xml:space="preserve">Methane generation rate constant </t>
    </r>
    <r>
      <rPr>
        <sz val="10"/>
        <rFont val="Arial"/>
        <family val="2"/>
      </rPr>
      <t>(k)</t>
    </r>
  </si>
  <si>
    <t>For Harwested Wood Products calculations for Bulk waste option only:</t>
  </si>
  <si>
    <t>Deposited MSW</t>
  </si>
  <si>
    <t>Notes</t>
  </si>
  <si>
    <t>2006 IPCC Guidelines for National Greenhouse Gas Inventories</t>
  </si>
  <si>
    <r>
      <t>©</t>
    </r>
    <r>
      <rPr>
        <sz val="10"/>
        <rFont val="Arial"/>
        <family val="2"/>
      </rPr>
      <t>IPCC 2006</t>
    </r>
  </si>
  <si>
    <t>Asia: South-central</t>
  </si>
  <si>
    <t>Africa: Eastern</t>
  </si>
  <si>
    <t>Africa: Middle</t>
  </si>
  <si>
    <t>Africa: Northern</t>
  </si>
  <si>
    <t>Africa: Western</t>
  </si>
  <si>
    <t>Europe: Eastern</t>
  </si>
  <si>
    <t>Europe: Northern</t>
  </si>
  <si>
    <t>Europe: Western</t>
  </si>
  <si>
    <t>Oceania: Austrailia &amp; New Zealand</t>
  </si>
  <si>
    <t>Oceania: Other Oceania</t>
  </si>
  <si>
    <t>America: North</t>
  </si>
  <si>
    <t>America: Central</t>
  </si>
  <si>
    <t>America: South</t>
  </si>
  <si>
    <t>This spreadsheet implements the Tier 1 method for estimating emissions of methane from solid waste disposal sites. For details of the method see the 2006 IPCC Guidelines for National Greenhouse Gas Inventories Volume 5 Chapter 3</t>
  </si>
  <si>
    <t>Food Waste</t>
  </si>
  <si>
    <t>Rubber and Leather</t>
  </si>
  <si>
    <t>Plastics</t>
  </si>
  <si>
    <t>Metal</t>
  </si>
  <si>
    <t>Glass</t>
  </si>
  <si>
    <t>Other</t>
  </si>
  <si>
    <t>0.20-0.50</t>
  </si>
  <si>
    <t>0.40-0.50</t>
  </si>
  <si>
    <t>0.45-0.55</t>
  </si>
  <si>
    <t>0.25-0.50</t>
  </si>
  <si>
    <t>0.47</t>
  </si>
  <si>
    <t>Dry matter content</t>
  </si>
  <si>
    <t>dm</t>
  </si>
  <si>
    <t>Dry Matter Content</t>
  </si>
  <si>
    <t>Dry basis</t>
  </si>
  <si>
    <t>Wet basis</t>
  </si>
  <si>
    <t>0.08-0.20</t>
  </si>
  <si>
    <t>0.36-0.45</t>
  </si>
  <si>
    <t>0.18-0.22</t>
  </si>
  <si>
    <t>0.20-0.40</t>
  </si>
  <si>
    <t>0.39</t>
  </si>
  <si>
    <t xml:space="preserve">  (weight fraction)</t>
  </si>
  <si>
    <t>dry basis</t>
  </si>
  <si>
    <t>wet basis</t>
  </si>
  <si>
    <r>
      <t>Selected DOC inputs (</t>
    </r>
    <r>
      <rPr>
        <b/>
        <sz val="10"/>
        <color indexed="10"/>
        <rFont val="Arial"/>
        <family val="2"/>
      </rPr>
      <t>dry basis</t>
    </r>
    <r>
      <rPr>
        <sz val="10"/>
        <rFont val="Arial"/>
        <family val="2"/>
      </rPr>
      <t>)</t>
    </r>
  </si>
  <si>
    <r>
      <t>Selected DOC inputs (</t>
    </r>
    <r>
      <rPr>
        <b/>
        <sz val="10"/>
        <color indexed="10"/>
        <rFont val="Arial"/>
        <family val="2"/>
      </rPr>
      <t>wet basis</t>
    </r>
    <r>
      <rPr>
        <sz val="10"/>
        <rFont val="Arial"/>
        <family val="2"/>
      </rPr>
      <t>)</t>
    </r>
  </si>
  <si>
    <t>D = W * dm * DOC * DOCf * MCF</t>
  </si>
  <si>
    <t>Garden and Park waste</t>
  </si>
  <si>
    <t>Paper/cardboard</t>
  </si>
  <si>
    <t>0.39-0.46</t>
  </si>
  <si>
    <t>0.18-0.32</t>
  </si>
  <si>
    <t>0.46-0.54</t>
  </si>
  <si>
    <t>0.44-0.80</t>
  </si>
  <si>
    <t>Garden</t>
  </si>
  <si>
    <t>Paper</t>
  </si>
  <si>
    <t>Wood &amp; straw</t>
  </si>
  <si>
    <t>Inert materials and other: [DOC = 0]</t>
  </si>
  <si>
    <t>City</t>
  </si>
  <si>
    <t>Indonesia</t>
  </si>
  <si>
    <t>Nappies</t>
  </si>
  <si>
    <t>Paper /cardboard</t>
  </si>
  <si>
    <t>Paper / cardboard</t>
  </si>
  <si>
    <t>Garden/park</t>
  </si>
  <si>
    <t>Paper/ cardboard</t>
  </si>
  <si>
    <t>Garden /park</t>
  </si>
  <si>
    <t>All Other, inert waste</t>
  </si>
  <si>
    <r>
      <t xml:space="preserve">Fill in dry matter content of each waste composition </t>
    </r>
    <r>
      <rPr>
        <b/>
        <sz val="10"/>
        <rFont val="Arial"/>
        <family val="2"/>
      </rPr>
      <t>(in %)</t>
    </r>
  </si>
  <si>
    <t>D</t>
  </si>
  <si>
    <t>Province</t>
  </si>
  <si>
    <t>N.A</t>
  </si>
  <si>
    <t>DOC for garden waste</t>
  </si>
  <si>
    <t>DOC for paper/cardboard</t>
  </si>
  <si>
    <t>DOC for wood and straw</t>
  </si>
  <si>
    <t>Enter either IPCC default values or national values into the yellow MCF cells in row 13</t>
  </si>
  <si>
    <t>Harwested Wood Products</t>
  </si>
  <si>
    <t>This sheet gives information on the methane emission from HWP, and HWP C long-term stored in SWDS</t>
  </si>
  <si>
    <t>Long-term stored C</t>
  </si>
  <si>
    <t>Long term stored C accumulated</t>
  </si>
  <si>
    <t>CH4 generated</t>
  </si>
  <si>
    <t>CH4 emitted</t>
  </si>
  <si>
    <t>Garden C</t>
  </si>
  <si>
    <t>Paper C</t>
  </si>
  <si>
    <t>Wood C</t>
  </si>
  <si>
    <t>Long-term stored C in SWDS</t>
  </si>
  <si>
    <t>In this sheet carbon long-term stored C in SWDS is calculated.</t>
  </si>
  <si>
    <t>DOC:</t>
  </si>
  <si>
    <t>Industry</t>
  </si>
  <si>
    <t>Food</t>
  </si>
  <si>
    <t>C, Industry</t>
  </si>
  <si>
    <t>Paper, industry subtotal</t>
  </si>
  <si>
    <t>Wood, industry subtotal</t>
  </si>
  <si>
    <t>Long-term stored C accumulated</t>
  </si>
  <si>
    <t xml:space="preserve">Industrial waste activity data </t>
  </si>
  <si>
    <t xml:space="preserve">Enter GDP, waste generation rate, % to SWDS and distribution of waste between site types into the yellow cells.  </t>
  </si>
  <si>
    <t>GDP</t>
  </si>
  <si>
    <t>Waste generation rate</t>
  </si>
  <si>
    <t>Total industrial waste</t>
  </si>
  <si>
    <t>Total to SWDS</t>
  </si>
  <si>
    <t>$ millions</t>
  </si>
  <si>
    <t>Gg/$m GDP/yr</t>
  </si>
  <si>
    <t>Industrial</t>
  </si>
  <si>
    <t>Methane calculation from:  Bulk MSW</t>
  </si>
  <si>
    <t>Methane calculation from:  Sludge</t>
  </si>
  <si>
    <t>Methane calculation from:  Wood</t>
  </si>
  <si>
    <t>Methane calculation from:  Garden / park waste</t>
  </si>
  <si>
    <t>Methane calculation from:  Nappies</t>
  </si>
  <si>
    <t>Methane calculation from:  Paper / card board</t>
  </si>
  <si>
    <t>Weighted average MCF for Industrial Waste</t>
  </si>
  <si>
    <t>I</t>
  </si>
  <si>
    <t>Sector</t>
  </si>
  <si>
    <t>Waste</t>
  </si>
  <si>
    <t>Category</t>
  </si>
  <si>
    <t>Solid Waste Disposal</t>
  </si>
  <si>
    <t>Category Code</t>
  </si>
  <si>
    <t>4A</t>
  </si>
  <si>
    <t>Sheet</t>
  </si>
  <si>
    <t>1 of 2  Estimation of DOC Factor</t>
  </si>
  <si>
    <t>A</t>
  </si>
  <si>
    <t>W i</t>
  </si>
  <si>
    <t>DOC i</t>
  </si>
  <si>
    <t>(Gg C/Gg waste)</t>
  </si>
  <si>
    <t>C = A x B</t>
  </si>
  <si>
    <t>Bandung, Study of ITB</t>
  </si>
  <si>
    <t>Rubber/Leather</t>
  </si>
  <si>
    <t>Plastic</t>
  </si>
  <si>
    <t>TOTAL</t>
  </si>
  <si>
    <t>Jakarta</t>
  </si>
  <si>
    <t>Study of JICA (Jakarta, Surabaya, Medan, Makassar)</t>
  </si>
  <si>
    <t>referensi DOC</t>
  </si>
  <si>
    <t>Kalimantan Timur</t>
  </si>
  <si>
    <t>Diangkut TPA</t>
  </si>
  <si>
    <t>Dibuang Ke Badan Air</t>
  </si>
  <si>
    <t>Open Dumping</t>
  </si>
  <si>
    <t>Terhampar Sembarangan</t>
  </si>
  <si>
    <t>Kutai Timur</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</si>
</sst>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 #,##0.00_ ;_ * \-#,##0.00_ ;_ * &quot;-&quot;??_ ;_ @_ "/>
    <numFmt numFmtId="165" formatCode="#,##0.0"/>
    <numFmt numFmtId="166" formatCode="#,##0.000"/>
    <numFmt numFmtId="167" formatCode="0.000"/>
    <numFmt numFmtId="168" formatCode="0.0"/>
    <numFmt numFmtId="169" formatCode="0.0%"/>
    <numFmt numFmtId="170" formatCode="#,##0.0000"/>
  </numFmts>
  <fonts count="37">
    <font>
      <sz val="10"/>
      <name val="Arial"/>
    </font>
    <font>
      <sz val="10"/>
      <name val="Arial"/>
      <family val="2"/>
    </font>
    <font>
      <b/>
      <sz val="10"/>
      <name val="Arial"/>
      <family val="2"/>
    </font>
    <font>
      <vertAlign val="subscript"/>
      <sz val="10"/>
      <name val="Arial"/>
      <family val="2"/>
    </font>
    <font>
      <b/>
      <sz val="12"/>
      <name val="Arial"/>
      <family val="2"/>
    </font>
    <font>
      <sz val="12"/>
      <name val="Arial"/>
      <family val="2"/>
    </font>
    <font>
      <sz val="8"/>
      <color indexed="81"/>
      <name val="Tahoma"/>
      <family val="2"/>
    </font>
    <font>
      <b/>
      <sz val="8"/>
      <color indexed="81"/>
      <name val="Tahoma"/>
      <family val="2"/>
    </font>
    <font>
      <sz val="10"/>
      <name val="Arial"/>
      <family val="2"/>
    </font>
    <font>
      <b/>
      <u/>
      <sz val="12"/>
      <name val="Arial"/>
      <family val="2"/>
    </font>
    <font>
      <b/>
      <sz val="11"/>
      <name val="Arial"/>
      <family val="2"/>
    </font>
    <font>
      <b/>
      <vertAlign val="superscript"/>
      <sz val="10"/>
      <name val="Arial"/>
      <family val="2"/>
    </font>
    <font>
      <b/>
      <u/>
      <sz val="10"/>
      <name val="Arial"/>
      <family val="2"/>
    </font>
    <font>
      <sz val="8"/>
      <name val="Arial"/>
      <family val="2"/>
    </font>
    <font>
      <vertAlign val="subscript"/>
      <sz val="8"/>
      <name val="Arial"/>
      <family val="2"/>
    </font>
    <font>
      <sz val="10"/>
      <color indexed="10"/>
      <name val="Arial"/>
      <family val="2"/>
    </font>
    <font>
      <sz val="8"/>
      <name val="Arial"/>
      <family val="2"/>
    </font>
    <font>
      <sz val="10"/>
      <color indexed="8"/>
      <name val="Arial"/>
      <family val="2"/>
    </font>
    <font>
      <vertAlign val="subscript"/>
      <sz val="10"/>
      <color indexed="8"/>
      <name val="Arial"/>
      <family val="2"/>
    </font>
    <font>
      <sz val="10"/>
      <color indexed="10"/>
      <name val="Arial"/>
      <family val="2"/>
    </font>
    <font>
      <b/>
      <sz val="10"/>
      <color indexed="10"/>
      <name val="Arial"/>
      <family val="2"/>
    </font>
    <font>
      <b/>
      <sz val="14"/>
      <name val="Arial"/>
      <family val="2"/>
    </font>
    <font>
      <sz val="9"/>
      <name val="Arial"/>
      <family val="2"/>
    </font>
    <font>
      <sz val="10"/>
      <name val="Arial"/>
      <family val="2"/>
    </font>
    <font>
      <b/>
      <sz val="9"/>
      <color indexed="81"/>
      <name val="Tahoma"/>
      <family val="2"/>
    </font>
    <font>
      <sz val="10"/>
      <name val="Arial"/>
      <family val="2"/>
      <charset val="204"/>
    </font>
    <font>
      <b/>
      <sz val="14"/>
      <name val="Arial"/>
      <family val="2"/>
      <charset val="204"/>
    </font>
    <font>
      <sz val="9"/>
      <color indexed="81"/>
      <name val="Tahoma"/>
      <family val="2"/>
    </font>
    <font>
      <sz val="10"/>
      <name val="Arial"/>
      <family val="2"/>
    </font>
    <font>
      <b/>
      <sz val="12"/>
      <name val="Arial"/>
      <family val="2"/>
    </font>
    <font>
      <sz val="10"/>
      <color indexed="10"/>
      <name val="Arial"/>
      <family val="2"/>
    </font>
    <font>
      <b/>
      <sz val="10"/>
      <color rgb="FFFF0000"/>
      <name val="Arial"/>
      <family val="2"/>
    </font>
    <font>
      <b/>
      <sz val="10"/>
      <color rgb="FFFF0000"/>
      <name val="Arial"/>
      <family val="2"/>
      <charset val="204"/>
    </font>
    <font>
      <sz val="8"/>
      <name val="Arial"/>
      <family val="2"/>
    </font>
    <font>
      <b/>
      <sz val="10"/>
      <name val="GillSans"/>
    </font>
    <font>
      <sz val="10"/>
      <color theme="1"/>
      <name val="Calibri"/>
      <family val="2"/>
    </font>
    <font>
      <b/>
      <sz val="8"/>
      <name val="Arial"/>
      <family val="2"/>
    </font>
  </fonts>
  <fills count="24">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indexed="13"/>
        <bgColor indexed="64"/>
      </patternFill>
    </fill>
    <fill>
      <patternFill patternType="solid">
        <fgColor indexed="41"/>
        <bgColor indexed="64"/>
      </patternFill>
    </fill>
    <fill>
      <patternFill patternType="solid">
        <fgColor indexed="26"/>
        <bgColor indexed="64"/>
      </patternFill>
    </fill>
    <fill>
      <patternFill patternType="solid">
        <fgColor indexed="15"/>
        <bgColor indexed="64"/>
      </patternFill>
    </fill>
    <fill>
      <patternFill patternType="solid">
        <fgColor indexed="43"/>
        <bgColor indexed="64"/>
      </patternFill>
    </fill>
    <fill>
      <patternFill patternType="solid">
        <fgColor indexed="45"/>
        <bgColor indexed="64"/>
      </patternFill>
    </fill>
    <fill>
      <patternFill patternType="solid">
        <fgColor rgb="FFFFFFCC"/>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99"/>
        <bgColor indexed="64"/>
      </patternFill>
    </fill>
    <fill>
      <patternFill patternType="solid">
        <fgColor theme="3"/>
        <bgColor indexed="64"/>
      </patternFill>
    </fill>
    <fill>
      <patternFill patternType="solid">
        <fgColor theme="8" tint="0.79998168889431442"/>
        <bgColor indexed="64"/>
      </patternFill>
    </fill>
    <fill>
      <patternFill patternType="solid">
        <fgColor indexed="11"/>
        <bgColor indexed="64"/>
      </patternFill>
    </fill>
    <fill>
      <patternFill patternType="solid">
        <fgColor indexed="63"/>
        <bgColor indexed="64"/>
      </patternFill>
    </fill>
    <fill>
      <patternFill patternType="solid">
        <fgColor theme="6" tint="0.59999389629810485"/>
        <bgColor indexed="64"/>
      </patternFill>
    </fill>
    <fill>
      <patternFill patternType="solid">
        <fgColor rgb="FFC6E6A2"/>
        <bgColor indexed="64"/>
      </patternFill>
    </fill>
    <fill>
      <patternFill patternType="solid">
        <fgColor theme="9" tint="0.59999389629810485"/>
        <bgColor indexed="64"/>
      </patternFill>
    </fill>
  </fills>
  <borders count="82">
    <border>
      <left/>
      <right/>
      <top/>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right style="thin">
        <color auto="1"/>
      </right>
      <top/>
      <bottom/>
      <diagonal/>
    </border>
    <border>
      <left style="medium">
        <color auto="1"/>
      </left>
      <right/>
      <top/>
      <bottom style="thin">
        <color auto="1"/>
      </bottom>
      <diagonal/>
    </border>
    <border>
      <left style="thin">
        <color auto="1"/>
      </left>
      <right style="thin">
        <color auto="1"/>
      </right>
      <top/>
      <bottom/>
      <diagonal/>
    </border>
    <border>
      <left style="thin">
        <color auto="1"/>
      </left>
      <right style="thin">
        <color auto="1"/>
      </right>
      <top style="medium">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diagonal/>
    </border>
    <border>
      <left style="thin">
        <color auto="1"/>
      </left>
      <right style="medium">
        <color auto="1"/>
      </right>
      <top/>
      <bottom/>
      <diagonal/>
    </border>
    <border>
      <left/>
      <right style="thin">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thin">
        <color auto="1"/>
      </bottom>
      <diagonal/>
    </border>
    <border>
      <left style="medium">
        <color auto="1"/>
      </left>
      <right/>
      <top style="medium">
        <color auto="1"/>
      </top>
      <bottom style="thin">
        <color auto="1"/>
      </bottom>
      <diagonal/>
    </border>
    <border>
      <left style="medium">
        <color auto="1"/>
      </left>
      <right/>
      <top/>
      <bottom style="medium">
        <color auto="1"/>
      </bottom>
      <diagonal/>
    </border>
    <border>
      <left/>
      <right/>
      <top style="medium">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diagonal/>
    </border>
    <border>
      <left/>
      <right style="thin">
        <color auto="1"/>
      </right>
      <top style="medium">
        <color auto="1"/>
      </top>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right/>
      <top/>
      <bottom style="medium">
        <color auto="1"/>
      </bottom>
      <diagonal/>
    </border>
    <border>
      <left style="thin">
        <color auto="1"/>
      </left>
      <right/>
      <top/>
      <bottom style="medium">
        <color auto="1"/>
      </bottom>
      <diagonal/>
    </border>
    <border>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thin">
        <color auto="1"/>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s>
  <cellStyleXfs count="4">
    <xf numFmtId="0" fontId="0" fillId="0" borderId="0" applyBorder="0"/>
    <xf numFmtId="164" fontId="8"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cellStyleXfs>
  <cellXfs count="857">
    <xf numFmtId="0" fontId="0" fillId="0" borderId="0" xfId="0"/>
    <xf numFmtId="0" fontId="2" fillId="0" borderId="0" xfId="0" applyFont="1" applyAlignment="1">
      <alignment wrapText="1"/>
    </xf>
    <xf numFmtId="0" fontId="0" fillId="0" borderId="1" xfId="0" applyBorder="1"/>
    <xf numFmtId="0" fontId="0" fillId="0" borderId="0" xfId="0" applyAlignment="1">
      <alignment wrapText="1"/>
    </xf>
    <xf numFmtId="0" fontId="4" fillId="0" borderId="0" xfId="0" applyFont="1"/>
    <xf numFmtId="0" fontId="2" fillId="0" borderId="0" xfId="0" applyFont="1"/>
    <xf numFmtId="0" fontId="0" fillId="0" borderId="0" xfId="0" applyBorder="1"/>
    <xf numFmtId="0" fontId="0" fillId="0" borderId="2" xfId="0" applyBorder="1"/>
    <xf numFmtId="0" fontId="0" fillId="0" borderId="3" xfId="0" applyBorder="1"/>
    <xf numFmtId="0" fontId="2" fillId="2" borderId="0" xfId="0" applyFont="1" applyFill="1"/>
    <xf numFmtId="0" fontId="0" fillId="2" borderId="0" xfId="0" applyFill="1"/>
    <xf numFmtId="0" fontId="4" fillId="2" borderId="0" xfId="0" applyFont="1" applyFill="1"/>
    <xf numFmtId="0" fontId="4" fillId="0" borderId="0" xfId="0" applyFont="1" applyAlignment="1">
      <alignment wrapText="1"/>
    </xf>
    <xf numFmtId="0" fontId="8" fillId="0" borderId="0" xfId="0" applyFont="1" applyFill="1" applyAlignment="1"/>
    <xf numFmtId="0" fontId="0" fillId="2" borderId="4" xfId="0" applyFill="1" applyBorder="1" applyAlignment="1">
      <alignment horizontal="center" wrapText="1"/>
    </xf>
    <xf numFmtId="0" fontId="0" fillId="2" borderId="5" xfId="0" applyFill="1" applyBorder="1" applyAlignment="1">
      <alignment horizontal="center" wrapText="1"/>
    </xf>
    <xf numFmtId="0" fontId="0" fillId="2" borderId="6" xfId="0" applyFill="1" applyBorder="1" applyAlignment="1">
      <alignment horizontal="center" wrapText="1"/>
    </xf>
    <xf numFmtId="0" fontId="0" fillId="0" borderId="7" xfId="0" applyBorder="1"/>
    <xf numFmtId="0" fontId="0" fillId="0" borderId="8" xfId="0" applyBorder="1"/>
    <xf numFmtId="0" fontId="0" fillId="3" borderId="9" xfId="0" applyFill="1" applyBorder="1"/>
    <xf numFmtId="0" fontId="0" fillId="0" borderId="10" xfId="0" applyBorder="1"/>
    <xf numFmtId="0" fontId="0" fillId="2" borderId="12" xfId="0" applyFill="1" applyBorder="1" applyAlignment="1">
      <alignment horizontal="center" wrapText="1"/>
    </xf>
    <xf numFmtId="0" fontId="0" fillId="3" borderId="13" xfId="0" applyFill="1" applyBorder="1" applyAlignment="1">
      <alignment horizontal="center" wrapText="1"/>
    </xf>
    <xf numFmtId="0" fontId="0" fillId="2" borderId="14" xfId="0" applyFill="1" applyBorder="1" applyAlignment="1">
      <alignment horizontal="center" wrapText="1"/>
    </xf>
    <xf numFmtId="0" fontId="0" fillId="2" borderId="15" xfId="0" applyFill="1" applyBorder="1" applyAlignment="1">
      <alignment horizontal="center" wrapText="1"/>
    </xf>
    <xf numFmtId="0" fontId="0" fillId="2" borderId="16" xfId="0" applyFill="1" applyBorder="1" applyAlignment="1">
      <alignment horizontal="center" wrapText="1"/>
    </xf>
    <xf numFmtId="0" fontId="2" fillId="2" borderId="17" xfId="0" applyFont="1" applyFill="1" applyBorder="1" applyAlignment="1">
      <alignment horizontal="center" wrapText="1"/>
    </xf>
    <xf numFmtId="0" fontId="2" fillId="2" borderId="13" xfId="0" applyFont="1" applyFill="1" applyBorder="1" applyAlignment="1">
      <alignment horizontal="center" wrapText="1"/>
    </xf>
    <xf numFmtId="0" fontId="2" fillId="2" borderId="4" xfId="0" applyFont="1" applyFill="1" applyBorder="1" applyAlignment="1">
      <alignment horizontal="center" wrapText="1"/>
    </xf>
    <xf numFmtId="9" fontId="0" fillId="0" borderId="9" xfId="0" applyNumberFormat="1" applyFill="1" applyBorder="1"/>
    <xf numFmtId="9" fontId="0" fillId="0" borderId="18" xfId="0" applyNumberFormat="1" applyFill="1" applyBorder="1"/>
    <xf numFmtId="0" fontId="0" fillId="0" borderId="0" xfId="0" applyFill="1"/>
    <xf numFmtId="0" fontId="0" fillId="2" borderId="7" xfId="0" applyFill="1" applyBorder="1" applyAlignment="1">
      <alignment horizontal="center" wrapText="1"/>
    </xf>
    <xf numFmtId="9" fontId="0" fillId="0" borderId="19" xfId="0" applyNumberFormat="1" applyFill="1" applyBorder="1"/>
    <xf numFmtId="0" fontId="0" fillId="0" borderId="20" xfId="0" applyBorder="1"/>
    <xf numFmtId="0" fontId="8" fillId="0" borderId="0" xfId="0" applyFont="1" applyAlignment="1"/>
    <xf numFmtId="0" fontId="0" fillId="3" borderId="21" xfId="0" applyFill="1" applyBorder="1"/>
    <xf numFmtId="0" fontId="0" fillId="0" borderId="22" xfId="0" applyBorder="1"/>
    <xf numFmtId="0" fontId="0" fillId="0" borderId="23" xfId="0" applyBorder="1"/>
    <xf numFmtId="0" fontId="0" fillId="4" borderId="10" xfId="0" applyFill="1" applyBorder="1"/>
    <xf numFmtId="0" fontId="0" fillId="0" borderId="10" xfId="0" applyFill="1" applyBorder="1"/>
    <xf numFmtId="2" fontId="0" fillId="0" borderId="21" xfId="0" applyNumberFormat="1" applyBorder="1"/>
    <xf numFmtId="2" fontId="0" fillId="0" borderId="24" xfId="0" applyNumberFormat="1" applyFill="1" applyBorder="1"/>
    <xf numFmtId="0" fontId="0" fillId="0" borderId="21" xfId="0" applyBorder="1"/>
    <xf numFmtId="0" fontId="2" fillId="0" borderId="22" xfId="0" applyFont="1" applyBorder="1"/>
    <xf numFmtId="0" fontId="0" fillId="0" borderId="23" xfId="0" applyFill="1" applyBorder="1"/>
    <xf numFmtId="0" fontId="8" fillId="3" borderId="21" xfId="0" applyFont="1" applyFill="1" applyBorder="1"/>
    <xf numFmtId="0" fontId="0" fillId="3" borderId="19" xfId="0" applyFill="1" applyBorder="1"/>
    <xf numFmtId="0" fontId="0" fillId="2" borderId="8" xfId="0" applyFill="1" applyBorder="1" applyAlignment="1">
      <alignment horizontal="center" wrapText="1"/>
    </xf>
    <xf numFmtId="0" fontId="0" fillId="0" borderId="11" xfId="0" applyBorder="1"/>
    <xf numFmtId="0" fontId="2" fillId="2" borderId="26" xfId="0" applyFont="1" applyFill="1" applyBorder="1"/>
    <xf numFmtId="0" fontId="0" fillId="2" borderId="21" xfId="0" applyFill="1" applyBorder="1"/>
    <xf numFmtId="0" fontId="0" fillId="2" borderId="24" xfId="0" applyFill="1" applyBorder="1"/>
    <xf numFmtId="0" fontId="0" fillId="2" borderId="27" xfId="0" applyFill="1" applyBorder="1"/>
    <xf numFmtId="0" fontId="4" fillId="0" borderId="0" xfId="0" applyFont="1" applyBorder="1"/>
    <xf numFmtId="0" fontId="0" fillId="0" borderId="25" xfId="0" applyBorder="1"/>
    <xf numFmtId="0" fontId="0" fillId="5" borderId="18" xfId="0" applyFill="1" applyBorder="1" applyProtection="1">
      <protection locked="0"/>
    </xf>
    <xf numFmtId="0" fontId="0" fillId="5" borderId="21" xfId="0" applyFill="1" applyBorder="1" applyProtection="1">
      <protection locked="0"/>
    </xf>
    <xf numFmtId="0" fontId="0" fillId="5" borderId="3" xfId="0" applyFill="1" applyBorder="1" applyProtection="1">
      <protection locked="0"/>
    </xf>
    <xf numFmtId="0" fontId="0" fillId="5" borderId="11" xfId="0" applyFill="1" applyBorder="1" applyProtection="1">
      <protection locked="0"/>
    </xf>
    <xf numFmtId="0" fontId="0" fillId="5" borderId="28" xfId="0" applyFill="1" applyBorder="1" applyAlignment="1" applyProtection="1">
      <alignment horizontal="center" wrapText="1"/>
      <protection locked="0"/>
    </xf>
    <xf numFmtId="9" fontId="0" fillId="5" borderId="29" xfId="0" applyNumberFormat="1" applyFill="1" applyBorder="1" applyProtection="1">
      <protection locked="0"/>
    </xf>
    <xf numFmtId="9" fontId="0" fillId="5" borderId="30" xfId="0" applyNumberFormat="1" applyFill="1" applyBorder="1" applyProtection="1">
      <protection locked="0"/>
    </xf>
    <xf numFmtId="9" fontId="0" fillId="5" borderId="5" xfId="0" applyNumberFormat="1" applyFill="1" applyBorder="1" applyProtection="1">
      <protection locked="0"/>
    </xf>
    <xf numFmtId="9" fontId="0" fillId="5" borderId="6" xfId="0" applyNumberFormat="1" applyFill="1" applyBorder="1" applyProtection="1">
      <protection locked="0"/>
    </xf>
    <xf numFmtId="0" fontId="9" fillId="0" borderId="0" xfId="0" applyFont="1" applyProtection="1"/>
    <xf numFmtId="0" fontId="4" fillId="0" borderId="0" xfId="0" applyFont="1" applyProtection="1"/>
    <xf numFmtId="0" fontId="0" fillId="0" borderId="0" xfId="0" applyBorder="1" applyProtection="1"/>
    <xf numFmtId="3" fontId="0" fillId="0" borderId="0" xfId="0" applyNumberFormat="1" applyBorder="1" applyProtection="1"/>
    <xf numFmtId="2" fontId="0" fillId="0" borderId="1" xfId="0" applyNumberFormat="1" applyBorder="1" applyAlignment="1" applyProtection="1">
      <alignment horizontal="center"/>
    </xf>
    <xf numFmtId="0" fontId="0" fillId="0" borderId="0" xfId="0" applyBorder="1" applyAlignment="1" applyProtection="1">
      <alignment horizontal="left"/>
    </xf>
    <xf numFmtId="0" fontId="0" fillId="2" borderId="31" xfId="0" applyFill="1" applyBorder="1" applyAlignment="1" applyProtection="1">
      <alignment horizontal="center" wrapText="1"/>
    </xf>
    <xf numFmtId="0" fontId="0" fillId="2" borderId="32" xfId="0" applyFill="1" applyBorder="1" applyAlignment="1" applyProtection="1">
      <alignment horizontal="center" wrapText="1"/>
    </xf>
    <xf numFmtId="2" fontId="0" fillId="2" borderId="32" xfId="0" applyNumberFormat="1" applyFill="1" applyBorder="1" applyAlignment="1" applyProtection="1">
      <alignment horizontal="center" wrapText="1"/>
    </xf>
    <xf numFmtId="3" fontId="0" fillId="2" borderId="32" xfId="0" applyNumberFormat="1" applyFill="1" applyBorder="1" applyAlignment="1" applyProtection="1">
      <alignment horizontal="center" wrapText="1"/>
    </xf>
    <xf numFmtId="0" fontId="0" fillId="2" borderId="5" xfId="0" applyFill="1" applyBorder="1" applyAlignment="1" applyProtection="1">
      <alignment horizontal="center" wrapText="1"/>
    </xf>
    <xf numFmtId="0" fontId="0" fillId="2" borderId="6" xfId="0" applyFill="1" applyBorder="1" applyAlignment="1" applyProtection="1">
      <alignment horizontal="center" wrapText="1"/>
    </xf>
    <xf numFmtId="2" fontId="0" fillId="2" borderId="6" xfId="0" applyNumberFormat="1" applyFill="1" applyBorder="1" applyAlignment="1" applyProtection="1">
      <alignment horizontal="center" wrapText="1"/>
    </xf>
    <xf numFmtId="3" fontId="0" fillId="2" borderId="6" xfId="0" applyNumberFormat="1" applyFill="1" applyBorder="1" applyAlignment="1" applyProtection="1">
      <alignment horizontal="center" wrapText="1"/>
    </xf>
    <xf numFmtId="3" fontId="0" fillId="2" borderId="18" xfId="0" applyNumberFormat="1" applyFill="1" applyBorder="1" applyAlignment="1" applyProtection="1">
      <alignment horizontal="center" wrapText="1"/>
    </xf>
    <xf numFmtId="0" fontId="0" fillId="0" borderId="7" xfId="0" applyBorder="1" applyProtection="1"/>
    <xf numFmtId="0" fontId="0" fillId="0" borderId="12" xfId="0" applyBorder="1" applyProtection="1"/>
    <xf numFmtId="2" fontId="0" fillId="0" borderId="12" xfId="0" applyNumberFormat="1" applyBorder="1" applyProtection="1"/>
    <xf numFmtId="3" fontId="0" fillId="0" borderId="12" xfId="0" applyNumberFormat="1" applyBorder="1" applyProtection="1"/>
    <xf numFmtId="3" fontId="0" fillId="0" borderId="23" xfId="0" applyNumberFormat="1" applyBorder="1" applyProtection="1"/>
    <xf numFmtId="3" fontId="0" fillId="0" borderId="32" xfId="0" applyNumberFormat="1" applyBorder="1" applyProtection="1"/>
    <xf numFmtId="3" fontId="0" fillId="0" borderId="33" xfId="0" applyNumberFormat="1" applyBorder="1" applyProtection="1"/>
    <xf numFmtId="3" fontId="0" fillId="0" borderId="30" xfId="0" applyNumberFormat="1" applyBorder="1" applyProtection="1"/>
    <xf numFmtId="3" fontId="0" fillId="0" borderId="6" xfId="0" applyNumberFormat="1" applyBorder="1" applyProtection="1"/>
    <xf numFmtId="0" fontId="8" fillId="0" borderId="0" xfId="0" applyFont="1"/>
    <xf numFmtId="0" fontId="8" fillId="3" borderId="19" xfId="0" applyFont="1" applyFill="1" applyBorder="1"/>
    <xf numFmtId="0" fontId="10" fillId="0" borderId="0" xfId="0" applyFont="1" applyAlignment="1">
      <alignment horizontal="left"/>
    </xf>
    <xf numFmtId="0" fontId="8" fillId="6" borderId="35" xfId="0" applyFont="1" applyFill="1" applyBorder="1"/>
    <xf numFmtId="0" fontId="8" fillId="0" borderId="0" xfId="0" applyFont="1" applyBorder="1"/>
    <xf numFmtId="0" fontId="12" fillId="0" borderId="0" xfId="0" applyFont="1" applyFill="1" applyBorder="1"/>
    <xf numFmtId="0" fontId="2" fillId="6" borderId="35" xfId="0" applyFont="1" applyFill="1" applyBorder="1"/>
    <xf numFmtId="0" fontId="2" fillId="6" borderId="36" xfId="0" applyFont="1" applyFill="1" applyBorder="1"/>
    <xf numFmtId="0" fontId="2" fillId="6" borderId="37" xfId="0" applyFont="1" applyFill="1" applyBorder="1"/>
    <xf numFmtId="0" fontId="8" fillId="0" borderId="31" xfId="0" applyFont="1" applyBorder="1"/>
    <xf numFmtId="0" fontId="8" fillId="0" borderId="32" xfId="0" applyFont="1" applyBorder="1"/>
    <xf numFmtId="0" fontId="8" fillId="0" borderId="33" xfId="0" applyFont="1" applyBorder="1"/>
    <xf numFmtId="0" fontId="8" fillId="0" borderId="29" xfId="0" applyFont="1" applyBorder="1"/>
    <xf numFmtId="0" fontId="8" fillId="0" borderId="30" xfId="0" applyFont="1" applyBorder="1"/>
    <xf numFmtId="0" fontId="8" fillId="0" borderId="9" xfId="0" applyFont="1" applyBorder="1"/>
    <xf numFmtId="0" fontId="8" fillId="0" borderId="0" xfId="0" applyFont="1" applyFill="1" applyBorder="1"/>
    <xf numFmtId="0" fontId="8" fillId="0" borderId="5" xfId="0" applyFont="1" applyBorder="1"/>
    <xf numFmtId="0" fontId="8" fillId="0" borderId="6" xfId="0" applyFont="1" applyBorder="1"/>
    <xf numFmtId="0" fontId="8" fillId="0" borderId="18" xfId="0" applyFont="1" applyBorder="1"/>
    <xf numFmtId="0" fontId="12" fillId="0" borderId="0" xfId="0" applyFont="1"/>
    <xf numFmtId="0" fontId="2" fillId="6" borderId="31" xfId="0" applyFont="1" applyFill="1" applyBorder="1"/>
    <xf numFmtId="0" fontId="8" fillId="0" borderId="31" xfId="0" applyFont="1" applyBorder="1" applyAlignment="1">
      <alignment horizontal="center" vertical="top" wrapText="1"/>
    </xf>
    <xf numFmtId="0" fontId="8" fillId="0" borderId="38" xfId="0" applyFont="1" applyBorder="1" applyAlignment="1">
      <alignment horizontal="center" vertical="top" wrapText="1"/>
    </xf>
    <xf numFmtId="0" fontId="8" fillId="0" borderId="7" xfId="0" applyFont="1" applyBorder="1" applyAlignment="1">
      <alignment horizontal="center" vertical="top" wrapText="1"/>
    </xf>
    <xf numFmtId="0" fontId="8" fillId="3" borderId="33" xfId="0" applyFont="1" applyFill="1" applyBorder="1"/>
    <xf numFmtId="0" fontId="0" fillId="5" borderId="33" xfId="0" applyFill="1" applyBorder="1" applyProtection="1">
      <protection locked="0"/>
    </xf>
    <xf numFmtId="0" fontId="0" fillId="4" borderId="39" xfId="0" applyFill="1" applyBorder="1" applyProtection="1"/>
    <xf numFmtId="0" fontId="0" fillId="4" borderId="11" xfId="0" applyFill="1" applyBorder="1" applyProtection="1"/>
    <xf numFmtId="0" fontId="0" fillId="4" borderId="40" xfId="0" applyFill="1" applyBorder="1" applyProtection="1"/>
    <xf numFmtId="3" fontId="0" fillId="0" borderId="31" xfId="0" applyNumberFormat="1" applyBorder="1" applyProtection="1"/>
    <xf numFmtId="3" fontId="0" fillId="0" borderId="29" xfId="0" applyNumberFormat="1" applyBorder="1" applyProtection="1"/>
    <xf numFmtId="3" fontId="0" fillId="0" borderId="9" xfId="0" applyNumberFormat="1" applyBorder="1" applyProtection="1"/>
    <xf numFmtId="3" fontId="0" fillId="0" borderId="5" xfId="0" applyNumberFormat="1" applyBorder="1" applyProtection="1"/>
    <xf numFmtId="3" fontId="0" fillId="0" borderId="18" xfId="0" applyNumberFormat="1" applyBorder="1" applyProtection="1"/>
    <xf numFmtId="0" fontId="13" fillId="2" borderId="7" xfId="0" applyFont="1" applyFill="1" applyBorder="1" applyAlignment="1" applyProtection="1">
      <alignment horizontal="center" wrapText="1"/>
    </xf>
    <xf numFmtId="0" fontId="13" fillId="2" borderId="12" xfId="0" applyFont="1" applyFill="1" applyBorder="1" applyAlignment="1" applyProtection="1">
      <alignment horizontal="center" wrapText="1"/>
    </xf>
    <xf numFmtId="2" fontId="13" fillId="2" borderId="12" xfId="0" applyNumberFormat="1" applyFont="1" applyFill="1" applyBorder="1" applyAlignment="1" applyProtection="1">
      <alignment horizontal="center" wrapText="1"/>
    </xf>
    <xf numFmtId="3" fontId="13" fillId="2" borderId="12" xfId="0" applyNumberFormat="1" applyFont="1" applyFill="1" applyBorder="1" applyAlignment="1" applyProtection="1">
      <alignment horizontal="center" wrapText="1"/>
    </xf>
    <xf numFmtId="3" fontId="13" fillId="2" borderId="23" xfId="0" applyNumberFormat="1" applyFont="1" applyFill="1" applyBorder="1" applyAlignment="1" applyProtection="1">
      <alignment horizontal="center" wrapText="1"/>
    </xf>
    <xf numFmtId="0" fontId="0" fillId="2" borderId="39" xfId="0" applyFill="1" applyBorder="1" applyAlignment="1" applyProtection="1">
      <alignment horizontal="left"/>
    </xf>
    <xf numFmtId="0" fontId="0" fillId="2" borderId="41" xfId="0" applyFill="1" applyBorder="1" applyAlignment="1" applyProtection="1">
      <alignment horizontal="left"/>
    </xf>
    <xf numFmtId="0" fontId="0" fillId="2" borderId="2" xfId="0" applyFill="1" applyBorder="1" applyAlignment="1" applyProtection="1">
      <alignment horizontal="left"/>
    </xf>
    <xf numFmtId="0" fontId="0" fillId="2" borderId="42" xfId="0" applyFill="1" applyBorder="1" applyAlignment="1" applyProtection="1">
      <alignment horizontal="left"/>
    </xf>
    <xf numFmtId="0" fontId="0" fillId="2" borderId="43" xfId="0" applyFill="1" applyBorder="1" applyAlignment="1" applyProtection="1">
      <alignment horizontal="left"/>
    </xf>
    <xf numFmtId="0" fontId="0" fillId="2" borderId="44" xfId="0" applyFill="1" applyBorder="1" applyAlignment="1" applyProtection="1">
      <alignment horizontal="left"/>
    </xf>
    <xf numFmtId="166" fontId="0" fillId="0" borderId="3" xfId="0" applyNumberFormat="1" applyBorder="1" applyAlignment="1" applyProtection="1">
      <alignment horizontal="center"/>
    </xf>
    <xf numFmtId="3" fontId="0" fillId="2" borderId="26" xfId="0" applyNumberFormat="1" applyFill="1" applyBorder="1" applyAlignment="1" applyProtection="1">
      <alignment horizontal="center" wrapText="1"/>
    </xf>
    <xf numFmtId="0" fontId="0" fillId="2" borderId="45" xfId="0" applyFill="1" applyBorder="1" applyAlignment="1" applyProtection="1">
      <alignment horizontal="left"/>
    </xf>
    <xf numFmtId="0" fontId="0" fillId="2" borderId="46" xfId="0" applyFill="1" applyBorder="1" applyAlignment="1" applyProtection="1">
      <alignment horizontal="left"/>
    </xf>
    <xf numFmtId="0" fontId="0" fillId="2" borderId="24" xfId="0" applyFill="1" applyBorder="1" applyAlignment="1" applyProtection="1">
      <alignment horizontal="left"/>
    </xf>
    <xf numFmtId="166" fontId="0" fillId="0" borderId="26" xfId="0" applyNumberFormat="1" applyBorder="1" applyAlignment="1" applyProtection="1">
      <alignment horizontal="center"/>
    </xf>
    <xf numFmtId="0" fontId="13" fillId="2" borderId="47" xfId="0" applyFont="1" applyFill="1" applyBorder="1" applyAlignment="1" applyProtection="1">
      <alignment horizontal="left"/>
    </xf>
    <xf numFmtId="0" fontId="13" fillId="2" borderId="48" xfId="0" applyFont="1" applyFill="1" applyBorder="1" applyAlignment="1" applyProtection="1">
      <alignment horizontal="left"/>
    </xf>
    <xf numFmtId="0" fontId="13" fillId="2" borderId="34" xfId="0" applyFont="1" applyFill="1" applyBorder="1" applyAlignment="1" applyProtection="1">
      <alignment horizontal="left"/>
    </xf>
    <xf numFmtId="0" fontId="0" fillId="2" borderId="49" xfId="0" applyFill="1" applyBorder="1"/>
    <xf numFmtId="0" fontId="0" fillId="2" borderId="50" xfId="0" applyFill="1" applyBorder="1"/>
    <xf numFmtId="0" fontId="0" fillId="3" borderId="45" xfId="0" applyFill="1" applyBorder="1"/>
    <xf numFmtId="0" fontId="0" fillId="3" borderId="34" xfId="0" applyFill="1" applyBorder="1"/>
    <xf numFmtId="0" fontId="2" fillId="5" borderId="21" xfId="0" applyFont="1" applyFill="1" applyBorder="1"/>
    <xf numFmtId="0" fontId="8" fillId="5" borderId="24" xfId="0" applyFont="1" applyFill="1" applyBorder="1"/>
    <xf numFmtId="0" fontId="0" fillId="0" borderId="11" xfId="0" applyFill="1" applyBorder="1" applyProtection="1">
      <protection locked="0"/>
    </xf>
    <xf numFmtId="3" fontId="0" fillId="0" borderId="51" xfId="0" applyNumberFormat="1" applyBorder="1" applyProtection="1"/>
    <xf numFmtId="3" fontId="0" fillId="0" borderId="28" xfId="0" applyNumberFormat="1" applyBorder="1" applyProtection="1"/>
    <xf numFmtId="0" fontId="0" fillId="5" borderId="25" xfId="0" applyFill="1" applyBorder="1" applyProtection="1">
      <protection locked="0"/>
    </xf>
    <xf numFmtId="0" fontId="15" fillId="0" borderId="0" xfId="0" applyFont="1"/>
    <xf numFmtId="0" fontId="2" fillId="0" borderId="0" xfId="0" applyFont="1" applyFill="1" applyBorder="1" applyAlignment="1">
      <alignment horizontal="center" vertical="top" wrapText="1"/>
    </xf>
    <xf numFmtId="0" fontId="2" fillId="0" borderId="0" xfId="0" applyFont="1" applyFill="1" applyBorder="1" applyAlignment="1">
      <alignment horizontal="center"/>
    </xf>
    <xf numFmtId="0" fontId="8" fillId="0" borderId="0" xfId="0" applyFont="1" applyFill="1" applyBorder="1" applyAlignment="1">
      <alignment horizontal="center" vertical="top" wrapText="1"/>
    </xf>
    <xf numFmtId="0" fontId="8" fillId="2" borderId="0" xfId="0" applyFont="1" applyFill="1"/>
    <xf numFmtId="0" fontId="8" fillId="0" borderId="52" xfId="0" applyFont="1" applyFill="1" applyBorder="1"/>
    <xf numFmtId="0" fontId="8" fillId="0" borderId="27" xfId="0" applyFont="1" applyBorder="1"/>
    <xf numFmtId="0" fontId="10" fillId="2" borderId="0" xfId="0" applyFont="1" applyFill="1"/>
    <xf numFmtId="0" fontId="8" fillId="6" borderId="36" xfId="0" applyFont="1" applyFill="1" applyBorder="1"/>
    <xf numFmtId="0" fontId="8" fillId="5" borderId="29" xfId="0" applyFont="1" applyFill="1" applyBorder="1" applyAlignment="1">
      <alignment horizontal="center"/>
    </xf>
    <xf numFmtId="0" fontId="8" fillId="5" borderId="5" xfId="0" applyFont="1" applyFill="1" applyBorder="1" applyAlignment="1">
      <alignment horizontal="center"/>
    </xf>
    <xf numFmtId="0" fontId="2" fillId="6" borderId="33" xfId="0" applyFont="1" applyFill="1" applyBorder="1" applyAlignment="1">
      <alignment vertical="top" wrapText="1"/>
    </xf>
    <xf numFmtId="0" fontId="2" fillId="6" borderId="18" xfId="0" applyFont="1" applyFill="1" applyBorder="1" applyAlignment="1">
      <alignment vertical="top" wrapText="1"/>
    </xf>
    <xf numFmtId="0" fontId="0" fillId="0" borderId="53" xfId="0" applyBorder="1"/>
    <xf numFmtId="2" fontId="0" fillId="0" borderId="20" xfId="0" applyNumberFormat="1" applyFill="1" applyBorder="1"/>
    <xf numFmtId="0" fontId="0" fillId="5" borderId="21" xfId="0" applyFill="1" applyBorder="1" applyAlignment="1" applyProtection="1">
      <alignment wrapText="1"/>
      <protection locked="0"/>
    </xf>
    <xf numFmtId="0" fontId="0" fillId="2" borderId="23" xfId="0" applyFill="1" applyBorder="1" applyAlignment="1">
      <alignment horizontal="center" wrapText="1"/>
    </xf>
    <xf numFmtId="0" fontId="0" fillId="3" borderId="17" xfId="0" applyFill="1" applyBorder="1" applyAlignment="1">
      <alignment horizontal="center" wrapText="1"/>
    </xf>
    <xf numFmtId="0" fontId="0" fillId="5" borderId="27" xfId="0" applyFill="1" applyBorder="1" applyAlignment="1" applyProtection="1">
      <alignment horizontal="center" wrapText="1"/>
      <protection locked="0"/>
    </xf>
    <xf numFmtId="0" fontId="0" fillId="2" borderId="26" xfId="0" applyFill="1" applyBorder="1" applyAlignment="1">
      <alignment horizontal="center" wrapText="1"/>
    </xf>
    <xf numFmtId="2" fontId="0" fillId="0" borderId="3" xfId="0" applyNumberFormat="1" applyFill="1" applyBorder="1"/>
    <xf numFmtId="0" fontId="2" fillId="2" borderId="26" xfId="0" applyFont="1" applyFill="1" applyBorder="1" applyAlignment="1">
      <alignment horizontal="center"/>
    </xf>
    <xf numFmtId="0" fontId="2" fillId="2" borderId="16" xfId="0" applyFont="1" applyFill="1" applyBorder="1" applyAlignment="1">
      <alignment horizontal="center"/>
    </xf>
    <xf numFmtId="0" fontId="8" fillId="0" borderId="0" xfId="0" applyFont="1" applyAlignment="1">
      <alignment wrapText="1"/>
    </xf>
    <xf numFmtId="0" fontId="0" fillId="2" borderId="54" xfId="0" applyFill="1" applyBorder="1"/>
    <xf numFmtId="0" fontId="0" fillId="2" borderId="4" xfId="0" applyFill="1" applyBorder="1"/>
    <xf numFmtId="0" fontId="8" fillId="6" borderId="0" xfId="0" applyFont="1" applyFill="1" applyBorder="1"/>
    <xf numFmtId="49" fontId="8" fillId="0" borderId="33" xfId="0" applyNumberFormat="1" applyFont="1" applyBorder="1" applyAlignment="1">
      <alignment horizontal="center" vertical="top" wrapText="1"/>
    </xf>
    <xf numFmtId="49" fontId="8" fillId="0" borderId="19" xfId="0" applyNumberFormat="1" applyFont="1" applyBorder="1" applyAlignment="1">
      <alignment horizontal="center" vertical="top" wrapText="1"/>
    </xf>
    <xf numFmtId="49" fontId="8" fillId="0" borderId="55" xfId="0" applyNumberFormat="1" applyFont="1" applyBorder="1" applyAlignment="1">
      <alignment horizontal="center" vertical="top" wrapText="1"/>
    </xf>
    <xf numFmtId="49" fontId="8" fillId="0" borderId="23" xfId="0" applyNumberFormat="1" applyFont="1" applyBorder="1" applyAlignment="1">
      <alignment horizontal="center" vertical="top" wrapText="1"/>
    </xf>
    <xf numFmtId="0" fontId="0" fillId="3" borderId="31" xfId="0" applyFill="1" applyBorder="1" applyAlignment="1">
      <alignment horizontal="right"/>
    </xf>
    <xf numFmtId="0" fontId="0" fillId="3" borderId="38" xfId="0" applyFill="1" applyBorder="1" applyAlignment="1">
      <alignment horizontal="right"/>
    </xf>
    <xf numFmtId="0" fontId="0" fillId="3" borderId="29" xfId="0" applyFill="1" applyBorder="1" applyAlignment="1">
      <alignment horizontal="right"/>
    </xf>
    <xf numFmtId="0" fontId="0" fillId="3" borderId="14" xfId="0" applyFill="1" applyBorder="1" applyAlignment="1">
      <alignment horizontal="right"/>
    </xf>
    <xf numFmtId="0" fontId="8" fillId="0" borderId="29" xfId="0" applyFont="1" applyBorder="1" applyAlignment="1">
      <alignment horizontal="center" vertical="top"/>
    </xf>
    <xf numFmtId="0" fontId="8" fillId="0" borderId="38" xfId="0" applyFont="1" applyBorder="1" applyAlignment="1">
      <alignment horizontal="center" vertical="top"/>
    </xf>
    <xf numFmtId="0" fontId="2" fillId="6" borderId="45" xfId="0" applyFont="1" applyFill="1" applyBorder="1" applyAlignment="1">
      <alignment vertical="top"/>
    </xf>
    <xf numFmtId="49" fontId="8" fillId="0" borderId="19" xfId="0" applyNumberFormat="1" applyFont="1" applyBorder="1" applyAlignment="1">
      <alignment horizontal="center" vertical="top"/>
    </xf>
    <xf numFmtId="49" fontId="8" fillId="0" borderId="9" xfId="0" applyNumberFormat="1" applyFont="1" applyBorder="1" applyAlignment="1">
      <alignment horizontal="center" vertical="top"/>
    </xf>
    <xf numFmtId="0" fontId="8" fillId="6" borderId="49" xfId="0" applyFont="1" applyFill="1" applyBorder="1"/>
    <xf numFmtId="0" fontId="8" fillId="0" borderId="44" xfId="0" applyFont="1" applyBorder="1" applyAlignment="1">
      <alignment horizontal="center" vertical="top" wrapText="1"/>
    </xf>
    <xf numFmtId="0" fontId="8" fillId="0" borderId="56" xfId="0" applyFont="1" applyBorder="1" applyAlignment="1">
      <alignment horizontal="center" vertical="top" wrapText="1"/>
    </xf>
    <xf numFmtId="0" fontId="8" fillId="0" borderId="10" xfId="0" applyFont="1" applyBorder="1" applyAlignment="1">
      <alignment horizontal="center" vertical="top" wrapText="1"/>
    </xf>
    <xf numFmtId="49" fontId="8" fillId="0" borderId="47" xfId="0" quotePrefix="1" applyNumberFormat="1" applyFont="1" applyBorder="1" applyAlignment="1">
      <alignment horizontal="center" vertical="top" wrapText="1"/>
    </xf>
    <xf numFmtId="0" fontId="8" fillId="0" borderId="0" xfId="0" applyFont="1" applyAlignment="1">
      <alignment vertical="top"/>
    </xf>
    <xf numFmtId="0" fontId="8" fillId="6" borderId="26" xfId="0" applyFont="1" applyFill="1" applyBorder="1" applyAlignment="1">
      <alignment wrapText="1"/>
    </xf>
    <xf numFmtId="0" fontId="8" fillId="0" borderId="0" xfId="0" applyFont="1" applyFill="1" applyBorder="1" applyAlignment="1">
      <alignment vertical="top" wrapText="1"/>
    </xf>
    <xf numFmtId="0" fontId="2" fillId="6" borderId="25" xfId="0" applyFont="1" applyFill="1" applyBorder="1" applyAlignment="1">
      <alignment vertical="top" wrapText="1"/>
    </xf>
    <xf numFmtId="0" fontId="2" fillId="6" borderId="1" xfId="0" applyFont="1" applyFill="1" applyBorder="1" applyAlignment="1">
      <alignment vertical="top" wrapText="1"/>
    </xf>
    <xf numFmtId="168" fontId="0" fillId="0" borderId="29" xfId="0" applyNumberFormat="1" applyBorder="1" applyAlignment="1">
      <alignment vertical="top"/>
    </xf>
    <xf numFmtId="168" fontId="0" fillId="0" borderId="30" xfId="0" applyNumberFormat="1" applyBorder="1" applyAlignment="1">
      <alignment vertical="top"/>
    </xf>
    <xf numFmtId="0" fontId="0" fillId="0" borderId="30" xfId="0" applyBorder="1" applyAlignment="1">
      <alignment vertical="top"/>
    </xf>
    <xf numFmtId="168" fontId="0" fillId="0" borderId="5" xfId="0" applyNumberFormat="1" applyBorder="1" applyAlignment="1">
      <alignment vertical="top"/>
    </xf>
    <xf numFmtId="168" fontId="0" fillId="0" borderId="6" xfId="0" applyNumberFormat="1" applyBorder="1" applyAlignment="1">
      <alignment vertical="top"/>
    </xf>
    <xf numFmtId="0" fontId="2" fillId="6" borderId="28" xfId="0" applyFont="1" applyFill="1" applyBorder="1" applyAlignment="1">
      <alignment horizontal="center" wrapText="1"/>
    </xf>
    <xf numFmtId="2" fontId="0" fillId="0" borderId="31" xfId="0" applyNumberFormat="1" applyBorder="1" applyAlignment="1">
      <alignment vertical="top"/>
    </xf>
    <xf numFmtId="2" fontId="0" fillId="0" borderId="29" xfId="0" applyNumberFormat="1" applyBorder="1" applyAlignment="1">
      <alignment vertical="top"/>
    </xf>
    <xf numFmtId="2" fontId="0" fillId="0" borderId="5" xfId="0" applyNumberFormat="1" applyBorder="1" applyAlignment="1">
      <alignment vertical="top"/>
    </xf>
    <xf numFmtId="2" fontId="8" fillId="0" borderId="33" xfId="0" applyNumberFormat="1" applyFont="1" applyBorder="1" applyAlignment="1">
      <alignment vertical="top"/>
    </xf>
    <xf numFmtId="2" fontId="8" fillId="0" borderId="9" xfId="0" applyNumberFormat="1" applyFont="1" applyBorder="1" applyAlignment="1">
      <alignment vertical="top"/>
    </xf>
    <xf numFmtId="2" fontId="8" fillId="0" borderId="18" xfId="0" applyNumberFormat="1" applyFont="1" applyBorder="1" applyAlignment="1">
      <alignment vertical="top"/>
    </xf>
    <xf numFmtId="168" fontId="8" fillId="0" borderId="0" xfId="0" applyNumberFormat="1" applyFont="1"/>
    <xf numFmtId="169" fontId="8" fillId="0" borderId="0" xfId="2" applyNumberFormat="1" applyFont="1"/>
    <xf numFmtId="168" fontId="0" fillId="0" borderId="38" xfId="0" applyNumberFormat="1" applyBorder="1" applyAlignment="1">
      <alignment vertical="top"/>
    </xf>
    <xf numFmtId="168" fontId="0" fillId="0" borderId="51" xfId="0" applyNumberFormat="1" applyBorder="1" applyAlignment="1">
      <alignment vertical="top"/>
    </xf>
    <xf numFmtId="0" fontId="2" fillId="6" borderId="27" xfId="0" applyFont="1" applyFill="1" applyBorder="1" applyAlignment="1">
      <alignment horizontal="center" wrapText="1"/>
    </xf>
    <xf numFmtId="0" fontId="0" fillId="3" borderId="16" xfId="0" applyFill="1" applyBorder="1"/>
    <xf numFmtId="0" fontId="2" fillId="6" borderId="29" xfId="0" applyFont="1" applyFill="1" applyBorder="1" applyAlignment="1">
      <alignment vertical="top" wrapText="1"/>
    </xf>
    <xf numFmtId="0" fontId="2" fillId="6" borderId="9" xfId="0" applyFont="1" applyFill="1" applyBorder="1" applyAlignment="1">
      <alignment vertical="top" wrapText="1"/>
    </xf>
    <xf numFmtId="0" fontId="2" fillId="6" borderId="5" xfId="0" applyFont="1" applyFill="1" applyBorder="1" applyAlignment="1">
      <alignment vertical="top" wrapText="1"/>
    </xf>
    <xf numFmtId="0" fontId="8" fillId="0" borderId="29" xfId="0" applyFont="1" applyBorder="1" applyAlignment="1">
      <alignment horizontal="center" vertical="top" wrapText="1"/>
    </xf>
    <xf numFmtId="49" fontId="8" fillId="0" borderId="9" xfId="0" applyNumberFormat="1" applyFont="1" applyBorder="1" applyAlignment="1">
      <alignment horizontal="center" vertical="top" wrapText="1"/>
    </xf>
    <xf numFmtId="0" fontId="8" fillId="0" borderId="43" xfId="0" applyFont="1" applyBorder="1" applyAlignment="1">
      <alignment horizontal="center" vertical="top" wrapText="1"/>
    </xf>
    <xf numFmtId="49" fontId="8" fillId="0" borderId="48" xfId="0" applyNumberFormat="1" applyFont="1" applyBorder="1" applyAlignment="1">
      <alignment horizontal="center" vertical="top" wrapText="1"/>
    </xf>
    <xf numFmtId="0" fontId="8" fillId="0" borderId="14" xfId="0" applyFont="1" applyBorder="1" applyAlignment="1">
      <alignment horizontal="center" vertical="top"/>
    </xf>
    <xf numFmtId="49" fontId="8" fillId="0" borderId="16" xfId="0" applyNumberFormat="1" applyFont="1" applyBorder="1" applyAlignment="1">
      <alignment horizontal="center" vertical="top"/>
    </xf>
    <xf numFmtId="0" fontId="2" fillId="6" borderId="11" xfId="0" applyFont="1" applyFill="1" applyBorder="1" applyAlignment="1">
      <alignment vertical="top" wrapText="1"/>
    </xf>
    <xf numFmtId="0" fontId="2" fillId="6" borderId="2" xfId="0" applyFont="1" applyFill="1" applyBorder="1" applyAlignment="1">
      <alignment vertical="top" wrapText="1"/>
    </xf>
    <xf numFmtId="0" fontId="2" fillId="6" borderId="57" xfId="0" applyFont="1" applyFill="1" applyBorder="1" applyAlignment="1">
      <alignment vertical="top" wrapText="1"/>
    </xf>
    <xf numFmtId="0" fontId="2" fillId="6" borderId="8" xfId="0" applyFont="1" applyFill="1" applyBorder="1" applyAlignment="1">
      <alignment vertical="top" wrapText="1"/>
    </xf>
    <xf numFmtId="0" fontId="2" fillId="6" borderId="27" xfId="0" applyFont="1" applyFill="1" applyBorder="1" applyAlignment="1">
      <alignment horizontal="center" vertical="top" wrapText="1"/>
    </xf>
    <xf numFmtId="0" fontId="2" fillId="6" borderId="21" xfId="0" applyFont="1" applyFill="1" applyBorder="1" applyAlignment="1">
      <alignment horizontal="center" wrapText="1"/>
    </xf>
    <xf numFmtId="0" fontId="2" fillId="6" borderId="24" xfId="0" applyFont="1" applyFill="1" applyBorder="1" applyAlignment="1">
      <alignment horizontal="center" vertical="top" wrapText="1"/>
    </xf>
    <xf numFmtId="0" fontId="2" fillId="6" borderId="27" xfId="0" applyFont="1" applyFill="1" applyBorder="1" applyAlignment="1">
      <alignment vertical="top" wrapText="1"/>
    </xf>
    <xf numFmtId="0" fontId="2" fillId="6" borderId="21" xfId="0" applyFont="1" applyFill="1" applyBorder="1" applyAlignment="1">
      <alignment vertical="top" wrapText="1"/>
    </xf>
    <xf numFmtId="0" fontId="8" fillId="0" borderId="27" xfId="0" applyFont="1" applyBorder="1" applyAlignment="1">
      <alignment horizontal="center" vertical="top" wrapText="1"/>
    </xf>
    <xf numFmtId="49" fontId="8" fillId="0" borderId="21" xfId="0" applyNumberFormat="1" applyFont="1" applyBorder="1" applyAlignment="1">
      <alignment horizontal="center" vertical="top" wrapText="1"/>
    </xf>
    <xf numFmtId="0" fontId="8" fillId="0" borderId="24" xfId="0" applyFont="1" applyBorder="1" applyAlignment="1">
      <alignment horizontal="center" vertical="top" wrapText="1"/>
    </xf>
    <xf numFmtId="49" fontId="8" fillId="0" borderId="34" xfId="0" applyNumberFormat="1" applyFont="1" applyBorder="1" applyAlignment="1">
      <alignment horizontal="center" vertical="top" wrapText="1"/>
    </xf>
    <xf numFmtId="3" fontId="0" fillId="0" borderId="0" xfId="0" applyNumberFormat="1" applyBorder="1" applyAlignment="1" applyProtection="1">
      <alignment wrapText="1"/>
    </xf>
    <xf numFmtId="0" fontId="0" fillId="2" borderId="57" xfId="0" applyFill="1" applyBorder="1" applyAlignment="1" applyProtection="1">
      <alignment horizontal="left"/>
    </xf>
    <xf numFmtId="0" fontId="0" fillId="2" borderId="58" xfId="0" applyFill="1" applyBorder="1" applyAlignment="1" applyProtection="1">
      <alignment horizontal="left"/>
    </xf>
    <xf numFmtId="0" fontId="0" fillId="2" borderId="59" xfId="0" applyFill="1" applyBorder="1" applyAlignment="1" applyProtection="1">
      <alignment horizontal="left"/>
    </xf>
    <xf numFmtId="0" fontId="13" fillId="2" borderId="60" xfId="0" applyFont="1" applyFill="1" applyBorder="1" applyAlignment="1" applyProtection="1">
      <alignment horizontal="left"/>
    </xf>
    <xf numFmtId="2" fontId="0" fillId="0" borderId="53" xfId="0" applyNumberFormat="1" applyBorder="1" applyAlignment="1" applyProtection="1">
      <alignment horizontal="center"/>
    </xf>
    <xf numFmtId="2" fontId="0" fillId="0" borderId="0" xfId="0" applyNumberFormat="1" applyBorder="1" applyProtection="1"/>
    <xf numFmtId="0" fontId="9" fillId="0" borderId="0" xfId="0" applyFont="1" applyBorder="1" applyProtection="1"/>
    <xf numFmtId="0" fontId="5" fillId="0" borderId="0" xfId="0" applyFont="1" applyBorder="1" applyProtection="1"/>
    <xf numFmtId="2" fontId="5" fillId="0" borderId="0" xfId="0" applyNumberFormat="1" applyFont="1" applyBorder="1" applyProtection="1"/>
    <xf numFmtId="3" fontId="5" fillId="0" borderId="0" xfId="0" applyNumberFormat="1" applyFont="1" applyBorder="1" applyProtection="1"/>
    <xf numFmtId="0" fontId="4" fillId="0" borderId="0" xfId="0" applyFont="1" applyBorder="1" applyProtection="1"/>
    <xf numFmtId="0" fontId="2" fillId="0" borderId="0" xfId="0" applyFont="1" applyBorder="1" applyProtection="1"/>
    <xf numFmtId="3" fontId="2" fillId="0" borderId="0" xfId="0" applyNumberFormat="1" applyFont="1" applyBorder="1" applyProtection="1"/>
    <xf numFmtId="0" fontId="2" fillId="0" borderId="0" xfId="0" applyFont="1" applyBorder="1" applyAlignment="1" applyProtection="1">
      <alignment wrapText="1"/>
    </xf>
    <xf numFmtId="0" fontId="0" fillId="0" borderId="0" xfId="0" applyBorder="1" applyAlignment="1" applyProtection="1">
      <alignment wrapText="1"/>
    </xf>
    <xf numFmtId="2" fontId="0" fillId="0" borderId="0" xfId="0" applyNumberFormat="1" applyBorder="1" applyAlignment="1" applyProtection="1">
      <alignment wrapText="1"/>
    </xf>
    <xf numFmtId="0" fontId="13" fillId="0" borderId="0" xfId="0" applyFont="1" applyBorder="1" applyProtection="1"/>
    <xf numFmtId="0" fontId="8" fillId="0" borderId="28" xfId="0" applyFont="1" applyBorder="1"/>
    <xf numFmtId="0" fontId="8" fillId="0" borderId="21" xfId="0" applyFont="1" applyBorder="1"/>
    <xf numFmtId="2" fontId="8" fillId="0" borderId="25" xfId="0" applyNumberFormat="1" applyFont="1" applyBorder="1" applyAlignment="1">
      <alignment vertical="top"/>
    </xf>
    <xf numFmtId="2" fontId="8" fillId="0" borderId="1" xfId="0" applyNumberFormat="1" applyFont="1" applyBorder="1" applyAlignment="1">
      <alignment vertical="top"/>
    </xf>
    <xf numFmtId="2" fontId="8" fillId="0" borderId="20" xfId="0" applyNumberFormat="1" applyFont="1" applyBorder="1" applyAlignment="1">
      <alignment vertical="top"/>
    </xf>
    <xf numFmtId="0" fontId="0" fillId="2" borderId="31" xfId="0" applyFill="1" applyBorder="1" applyAlignment="1">
      <alignment horizontal="center" wrapText="1"/>
    </xf>
    <xf numFmtId="9" fontId="0" fillId="5" borderId="38" xfId="0" applyNumberFormat="1" applyFill="1" applyBorder="1" applyProtection="1">
      <protection locked="0"/>
    </xf>
    <xf numFmtId="9" fontId="0" fillId="5" borderId="51" xfId="0" applyNumberFormat="1" applyFill="1" applyBorder="1" applyProtection="1">
      <protection locked="0"/>
    </xf>
    <xf numFmtId="9" fontId="0" fillId="5" borderId="29" xfId="2" applyFont="1" applyFill="1" applyBorder="1" applyAlignment="1" applyProtection="1">
      <alignment horizontal="center" wrapText="1"/>
      <protection locked="0"/>
    </xf>
    <xf numFmtId="9" fontId="0" fillId="5" borderId="30" xfId="2" applyFont="1" applyFill="1" applyBorder="1" applyAlignment="1" applyProtection="1">
      <alignment horizontal="center" wrapText="1"/>
      <protection locked="0"/>
    </xf>
    <xf numFmtId="0" fontId="0" fillId="5" borderId="1" xfId="0" applyFill="1" applyBorder="1" applyProtection="1">
      <protection locked="0"/>
    </xf>
    <xf numFmtId="168" fontId="0" fillId="5" borderId="3" xfId="0" applyNumberFormat="1" applyFill="1" applyBorder="1" applyProtection="1">
      <protection locked="0"/>
    </xf>
    <xf numFmtId="168" fontId="0" fillId="5" borderId="1" xfId="0" applyNumberFormat="1" applyFill="1" applyBorder="1" applyProtection="1">
      <protection locked="0"/>
    </xf>
    <xf numFmtId="0" fontId="2" fillId="2" borderId="14" xfId="0" applyFont="1" applyFill="1" applyBorder="1" applyAlignment="1">
      <alignment horizontal="center"/>
    </xf>
    <xf numFmtId="0" fontId="15" fillId="0" borderId="0" xfId="0" applyFont="1" applyFill="1"/>
    <xf numFmtId="2" fontId="0" fillId="0" borderId="9" xfId="0" applyNumberFormat="1" applyBorder="1" applyAlignment="1">
      <alignment vertical="top"/>
    </xf>
    <xf numFmtId="2" fontId="8" fillId="0" borderId="28" xfId="0" applyNumberFormat="1" applyFont="1" applyBorder="1"/>
    <xf numFmtId="3" fontId="17" fillId="2" borderId="33" xfId="0" applyNumberFormat="1" applyFont="1" applyFill="1" applyBorder="1" applyAlignment="1" applyProtection="1">
      <alignment horizontal="center" wrapText="1"/>
    </xf>
    <xf numFmtId="0" fontId="0" fillId="2" borderId="11" xfId="0" applyFill="1" applyBorder="1" applyAlignment="1" applyProtection="1">
      <alignment horizontal="left"/>
    </xf>
    <xf numFmtId="0" fontId="0" fillId="2" borderId="61" xfId="0" applyFill="1" applyBorder="1" applyAlignment="1" applyProtection="1">
      <alignment horizontal="left"/>
    </xf>
    <xf numFmtId="0" fontId="0" fillId="2" borderId="56" xfId="0" applyFill="1" applyBorder="1" applyAlignment="1" applyProtection="1">
      <alignment horizontal="left"/>
    </xf>
    <xf numFmtId="0" fontId="13" fillId="2" borderId="55" xfId="0" applyFont="1" applyFill="1" applyBorder="1" applyAlignment="1" applyProtection="1">
      <alignment horizontal="left"/>
    </xf>
    <xf numFmtId="0" fontId="0" fillId="2" borderId="8" xfId="0" applyFill="1" applyBorder="1" applyAlignment="1" applyProtection="1">
      <alignment horizontal="left"/>
    </xf>
    <xf numFmtId="0" fontId="0" fillId="2" borderId="62" xfId="0" applyFill="1" applyBorder="1" applyAlignment="1" applyProtection="1">
      <alignment horizontal="left"/>
    </xf>
    <xf numFmtId="0" fontId="0" fillId="2" borderId="63" xfId="0" applyFill="1" applyBorder="1" applyAlignment="1" applyProtection="1">
      <alignment horizontal="left"/>
    </xf>
    <xf numFmtId="0" fontId="13" fillId="2" borderId="64" xfId="0" applyFont="1" applyFill="1" applyBorder="1" applyAlignment="1" applyProtection="1">
      <alignment horizontal="left"/>
    </xf>
    <xf numFmtId="166" fontId="0" fillId="0" borderId="20" xfId="0" applyNumberFormat="1" applyBorder="1" applyAlignment="1" applyProtection="1">
      <alignment horizontal="center"/>
    </xf>
    <xf numFmtId="165" fontId="0" fillId="0" borderId="1" xfId="0" applyNumberFormat="1" applyBorder="1" applyAlignment="1" applyProtection="1">
      <alignment horizontal="center"/>
    </xf>
    <xf numFmtId="2" fontId="2" fillId="0" borderId="0" xfId="0" applyNumberFormat="1" applyFont="1" applyBorder="1" applyProtection="1">
      <protection locked="0"/>
    </xf>
    <xf numFmtId="0" fontId="0" fillId="0" borderId="0" xfId="0" applyFill="1" applyBorder="1"/>
    <xf numFmtId="0" fontId="0" fillId="5" borderId="2" xfId="0" applyFill="1" applyBorder="1" applyProtection="1">
      <protection locked="0"/>
    </xf>
    <xf numFmtId="0" fontId="0" fillId="5" borderId="8" xfId="0" applyFill="1" applyBorder="1" applyProtection="1">
      <protection locked="0"/>
    </xf>
    <xf numFmtId="0" fontId="1" fillId="0" borderId="52" xfId="0" applyFont="1" applyFill="1" applyBorder="1" applyAlignment="1">
      <alignment horizontal="center"/>
    </xf>
    <xf numFmtId="0" fontId="0" fillId="0" borderId="54" xfId="0" applyFill="1" applyBorder="1"/>
    <xf numFmtId="9" fontId="0" fillId="0" borderId="65" xfId="2" applyFont="1" applyFill="1" applyBorder="1"/>
    <xf numFmtId="0" fontId="0" fillId="0" borderId="4" xfId="0" applyFill="1" applyBorder="1"/>
    <xf numFmtId="9" fontId="0" fillId="0" borderId="28" xfId="0" applyNumberFormat="1" applyFill="1" applyBorder="1"/>
    <xf numFmtId="2" fontId="8" fillId="0" borderId="66" xfId="0" applyNumberFormat="1" applyFont="1" applyBorder="1"/>
    <xf numFmtId="2" fontId="8" fillId="0" borderId="26" xfId="0" applyNumberFormat="1" applyFont="1" applyBorder="1"/>
    <xf numFmtId="0" fontId="0" fillId="0" borderId="11" xfId="0" applyFill="1"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20" fillId="2" borderId="52" xfId="0" applyFont="1" applyFill="1" applyBorder="1" applyAlignment="1">
      <alignment wrapText="1"/>
    </xf>
    <xf numFmtId="0" fontId="19" fillId="0" borderId="25" xfId="0" applyFont="1" applyFill="1" applyBorder="1"/>
    <xf numFmtId="0" fontId="19" fillId="0" borderId="1" xfId="0" applyFont="1" applyBorder="1"/>
    <xf numFmtId="0" fontId="19" fillId="0" borderId="20" xfId="0" applyFont="1" applyBorder="1"/>
    <xf numFmtId="0" fontId="0" fillId="0" borderId="31" xfId="0" applyFill="1" applyBorder="1"/>
    <xf numFmtId="0" fontId="0" fillId="0" borderId="29" xfId="0" applyBorder="1"/>
    <xf numFmtId="0" fontId="0" fillId="0" borderId="5" xfId="0" applyBorder="1"/>
    <xf numFmtId="0" fontId="0" fillId="3" borderId="67" xfId="0" applyFill="1" applyBorder="1"/>
    <xf numFmtId="0" fontId="0" fillId="3" borderId="68" xfId="0" applyFill="1" applyBorder="1"/>
    <xf numFmtId="9" fontId="0" fillId="3" borderId="33" xfId="2" applyFont="1" applyFill="1" applyBorder="1"/>
    <xf numFmtId="0" fontId="0" fillId="0" borderId="5" xfId="0" applyFill="1" applyBorder="1"/>
    <xf numFmtId="9" fontId="0" fillId="3" borderId="18" xfId="2" applyFont="1" applyFill="1" applyBorder="1"/>
    <xf numFmtId="0" fontId="8" fillId="0" borderId="25" xfId="0" applyFont="1" applyFill="1" applyBorder="1"/>
    <xf numFmtId="0" fontId="8" fillId="0" borderId="20" xfId="0" applyFont="1" applyFill="1" applyBorder="1"/>
    <xf numFmtId="0" fontId="0" fillId="3" borderId="69" xfId="0" applyFill="1" applyBorder="1"/>
    <xf numFmtId="2" fontId="0" fillId="9" borderId="32" xfId="0" applyNumberFormat="1" applyFill="1" applyBorder="1" applyProtection="1">
      <protection locked="0"/>
    </xf>
    <xf numFmtId="2" fontId="0" fillId="9" borderId="30" xfId="0" applyNumberFormat="1" applyFill="1" applyBorder="1" applyProtection="1">
      <protection locked="0"/>
    </xf>
    <xf numFmtId="2" fontId="0" fillId="9" borderId="6" xfId="0" applyNumberFormat="1" applyFill="1" applyBorder="1" applyProtection="1">
      <protection locked="0"/>
    </xf>
    <xf numFmtId="168" fontId="0" fillId="5" borderId="20" xfId="0" applyNumberFormat="1" applyFill="1" applyBorder="1" applyProtection="1">
      <protection locked="0"/>
    </xf>
    <xf numFmtId="0" fontId="0" fillId="9" borderId="31" xfId="0" applyFill="1" applyBorder="1" applyProtection="1">
      <protection locked="0"/>
    </xf>
    <xf numFmtId="0" fontId="0" fillId="9" borderId="33" xfId="0" applyFill="1" applyBorder="1" applyProtection="1">
      <protection locked="0"/>
    </xf>
    <xf numFmtId="0" fontId="0" fillId="9" borderId="29" xfId="0" applyFill="1" applyBorder="1" applyProtection="1">
      <protection locked="0"/>
    </xf>
    <xf numFmtId="0" fontId="0" fillId="9" borderId="9" xfId="0" applyFill="1" applyBorder="1" applyProtection="1">
      <protection locked="0"/>
    </xf>
    <xf numFmtId="0" fontId="0" fillId="9" borderId="5" xfId="0" applyFill="1" applyBorder="1" applyProtection="1">
      <protection locked="0"/>
    </xf>
    <xf numFmtId="0" fontId="0" fillId="9" borderId="18" xfId="0" applyFill="1" applyBorder="1" applyProtection="1">
      <protection locked="0"/>
    </xf>
    <xf numFmtId="0" fontId="0" fillId="0" borderId="7" xfId="0" applyBorder="1" applyProtection="1">
      <protection locked="0"/>
    </xf>
    <xf numFmtId="0" fontId="0" fillId="0" borderId="23" xfId="0" applyBorder="1" applyProtection="1">
      <protection locked="0"/>
    </xf>
    <xf numFmtId="0" fontId="2" fillId="2" borderId="27" xfId="0" applyFont="1" applyFill="1" applyBorder="1" applyProtection="1">
      <protection locked="0"/>
    </xf>
    <xf numFmtId="0" fontId="2" fillId="2" borderId="21" xfId="0" applyFont="1" applyFill="1" applyBorder="1" applyProtection="1">
      <protection locked="0"/>
    </xf>
    <xf numFmtId="0" fontId="2" fillId="2" borderId="24" xfId="0" applyFont="1" applyFill="1" applyBorder="1" applyProtection="1">
      <protection locked="0"/>
    </xf>
    <xf numFmtId="0" fontId="2" fillId="2" borderId="27" xfId="0" applyFont="1" applyFill="1" applyBorder="1" applyAlignment="1" applyProtection="1">
      <alignment horizontal="center"/>
    </xf>
    <xf numFmtId="0" fontId="2" fillId="2" borderId="21" xfId="0" applyFont="1" applyFill="1" applyBorder="1" applyAlignment="1" applyProtection="1">
      <alignment horizontal="center"/>
    </xf>
    <xf numFmtId="0" fontId="2" fillId="2" borderId="17" xfId="0" applyFont="1" applyFill="1" applyBorder="1" applyAlignment="1" applyProtection="1">
      <alignment horizontal="center"/>
    </xf>
    <xf numFmtId="0" fontId="2" fillId="2" borderId="4" xfId="0" applyFont="1" applyFill="1" applyBorder="1" applyAlignment="1" applyProtection="1">
      <alignment horizontal="center"/>
    </xf>
    <xf numFmtId="0" fontId="2" fillId="6" borderId="26" xfId="0" applyFont="1" applyFill="1" applyBorder="1" applyAlignment="1" applyProtection="1">
      <alignment horizontal="center" vertical="top" wrapText="1"/>
      <protection locked="0"/>
    </xf>
    <xf numFmtId="0" fontId="8" fillId="0" borderId="26" xfId="0" applyFont="1" applyBorder="1" applyProtection="1">
      <protection locked="0"/>
    </xf>
    <xf numFmtId="0" fontId="2" fillId="6" borderId="26" xfId="0" applyFont="1" applyFill="1" applyBorder="1" applyAlignment="1" applyProtection="1">
      <alignment horizontal="center"/>
      <protection locked="0"/>
    </xf>
    <xf numFmtId="0" fontId="8" fillId="6" borderId="70" xfId="0" applyFont="1" applyFill="1" applyBorder="1" applyAlignment="1" applyProtection="1">
      <alignment wrapText="1"/>
      <protection locked="0"/>
    </xf>
    <xf numFmtId="0" fontId="8" fillId="0" borderId="50" xfId="0" applyFont="1" applyBorder="1" applyProtection="1">
      <protection locked="0"/>
    </xf>
    <xf numFmtId="0" fontId="0" fillId="0" borderId="0" xfId="0" applyProtection="1"/>
    <xf numFmtId="2" fontId="4" fillId="0" borderId="0" xfId="0" applyNumberFormat="1" applyFont="1" applyProtection="1"/>
    <xf numFmtId="2" fontId="0" fillId="0" borderId="0" xfId="0" applyNumberFormat="1" applyProtection="1"/>
    <xf numFmtId="0" fontId="2" fillId="0" borderId="0" xfId="0" applyFont="1" applyAlignment="1" applyProtection="1">
      <alignment wrapText="1"/>
    </xf>
    <xf numFmtId="0" fontId="2" fillId="2" borderId="27" xfId="0" applyFont="1" applyFill="1" applyBorder="1" applyAlignment="1" applyProtection="1">
      <alignment horizontal="center" wrapText="1"/>
    </xf>
    <xf numFmtId="0" fontId="2" fillId="2" borderId="34" xfId="0" applyFont="1" applyFill="1" applyBorder="1" applyAlignment="1" applyProtection="1">
      <alignment horizontal="center" wrapText="1"/>
    </xf>
    <xf numFmtId="0" fontId="2" fillId="2" borderId="45" xfId="0" applyFont="1" applyFill="1" applyBorder="1" applyAlignment="1" applyProtection="1">
      <alignment horizontal="center" wrapText="1"/>
    </xf>
    <xf numFmtId="2" fontId="2" fillId="2" borderId="45" xfId="0" applyNumberFormat="1" applyFont="1" applyFill="1" applyBorder="1" applyAlignment="1" applyProtection="1">
      <alignment horizontal="center" wrapText="1"/>
    </xf>
    <xf numFmtId="0" fontId="2" fillId="2" borderId="26" xfId="0" applyFont="1" applyFill="1" applyBorder="1" applyAlignment="1" applyProtection="1">
      <alignment horizontal="center" wrapText="1"/>
    </xf>
    <xf numFmtId="0" fontId="2" fillId="2" borderId="34" xfId="0" applyFont="1" applyFill="1" applyBorder="1" applyAlignment="1" applyProtection="1">
      <alignment horizontal="center"/>
    </xf>
    <xf numFmtId="0" fontId="0" fillId="0" borderId="0" xfId="0" applyAlignment="1" applyProtection="1">
      <alignment wrapText="1"/>
    </xf>
    <xf numFmtId="0" fontId="0" fillId="2" borderId="7" xfId="0" applyFill="1" applyBorder="1" applyAlignment="1" applyProtection="1">
      <alignment horizontal="center" wrapText="1"/>
    </xf>
    <xf numFmtId="0" fontId="0" fillId="2" borderId="50" xfId="0" applyFill="1" applyBorder="1" applyAlignment="1" applyProtection="1">
      <alignment horizontal="center" wrapText="1"/>
    </xf>
    <xf numFmtId="0" fontId="0" fillId="2" borderId="40" xfId="0" applyFill="1" applyBorder="1" applyAlignment="1" applyProtection="1">
      <alignment horizontal="center" wrapText="1"/>
    </xf>
    <xf numFmtId="2" fontId="0" fillId="2" borderId="49" xfId="0" applyNumberFormat="1" applyFill="1" applyBorder="1" applyAlignment="1" applyProtection="1">
      <alignment horizontal="center" wrapText="1"/>
    </xf>
    <xf numFmtId="0" fontId="0" fillId="2" borderId="22" xfId="0" applyFill="1" applyBorder="1" applyProtection="1"/>
    <xf numFmtId="0" fontId="0" fillId="2" borderId="50" xfId="0" applyFill="1" applyBorder="1" applyProtection="1"/>
    <xf numFmtId="0" fontId="0" fillId="2" borderId="26" xfId="0" applyFill="1" applyBorder="1" applyAlignment="1" applyProtection="1">
      <alignment horizontal="center" wrapText="1"/>
    </xf>
    <xf numFmtId="0" fontId="0" fillId="3" borderId="26" xfId="0" applyFill="1" applyBorder="1" applyAlignment="1" applyProtection="1">
      <alignment horizontal="center" wrapText="1"/>
    </xf>
    <xf numFmtId="0" fontId="0" fillId="2" borderId="45" xfId="0" applyFill="1" applyBorder="1" applyAlignment="1" applyProtection="1">
      <alignment horizontal="center" wrapText="1"/>
    </xf>
    <xf numFmtId="2" fontId="0" fillId="2" borderId="45" xfId="0" applyNumberFormat="1" applyFill="1" applyBorder="1" applyAlignment="1" applyProtection="1">
      <alignment horizontal="center" wrapText="1"/>
    </xf>
    <xf numFmtId="0" fontId="0" fillId="3" borderId="26" xfId="0" applyFill="1" applyBorder="1" applyAlignment="1" applyProtection="1">
      <alignment horizontal="center"/>
    </xf>
    <xf numFmtId="0" fontId="0" fillId="2" borderId="34" xfId="0" applyFill="1" applyBorder="1" applyProtection="1"/>
    <xf numFmtId="0" fontId="0" fillId="2" borderId="35" xfId="0" applyFill="1" applyBorder="1" applyAlignment="1" applyProtection="1">
      <alignment horizontal="center" wrapText="1"/>
    </xf>
    <xf numFmtId="2" fontId="0" fillId="2" borderId="35" xfId="0" applyNumberFormat="1" applyFill="1" applyBorder="1" applyAlignment="1" applyProtection="1">
      <alignment horizontal="center" wrapText="1"/>
    </xf>
    <xf numFmtId="0" fontId="0" fillId="2" borderId="25" xfId="0" applyFill="1" applyBorder="1" applyProtection="1"/>
    <xf numFmtId="0" fontId="0" fillId="2" borderId="47" xfId="0" applyFill="1" applyBorder="1" applyProtection="1"/>
    <xf numFmtId="0" fontId="0" fillId="2" borderId="64" xfId="0" applyFill="1" applyBorder="1" applyAlignment="1" applyProtection="1">
      <alignment horizontal="center" wrapText="1"/>
    </xf>
    <xf numFmtId="0" fontId="0" fillId="2" borderId="8" xfId="0" applyFill="1" applyBorder="1" applyAlignment="1" applyProtection="1">
      <alignment horizontal="center" wrapText="1"/>
    </xf>
    <xf numFmtId="2" fontId="0" fillId="2" borderId="8" xfId="0" applyNumberFormat="1" applyFill="1" applyBorder="1" applyAlignment="1" applyProtection="1">
      <alignment horizontal="center" wrapText="1"/>
    </xf>
    <xf numFmtId="0" fontId="0" fillId="2" borderId="20" xfId="0" applyFill="1" applyBorder="1" applyAlignment="1" applyProtection="1">
      <alignment horizontal="center"/>
    </xf>
    <xf numFmtId="0" fontId="0" fillId="2" borderId="64" xfId="0" applyFill="1" applyBorder="1" applyProtection="1"/>
    <xf numFmtId="0" fontId="0" fillId="0" borderId="11" xfId="0" applyFill="1" applyBorder="1" applyProtection="1"/>
    <xf numFmtId="2" fontId="0" fillId="0" borderId="11" xfId="0" applyNumberFormat="1" applyFill="1" applyBorder="1" applyProtection="1"/>
    <xf numFmtId="2" fontId="0" fillId="9" borderId="3" xfId="0" applyNumberFormat="1" applyFill="1" applyBorder="1" applyProtection="1"/>
    <xf numFmtId="0" fontId="0" fillId="9" borderId="55" xfId="0" applyFill="1" applyBorder="1" applyProtection="1"/>
    <xf numFmtId="0" fontId="0" fillId="0" borderId="2" xfId="0" applyBorder="1" applyProtection="1"/>
    <xf numFmtId="0" fontId="0" fillId="9" borderId="48" xfId="0" applyFill="1" applyBorder="1" applyProtection="1"/>
    <xf numFmtId="0" fontId="0" fillId="0" borderId="8" xfId="0" applyBorder="1" applyProtection="1"/>
    <xf numFmtId="2" fontId="0" fillId="0" borderId="8" xfId="0" applyNumberFormat="1" applyFill="1" applyBorder="1" applyProtection="1"/>
    <xf numFmtId="2" fontId="0" fillId="9" borderId="20" xfId="0" applyNumberFormat="1" applyFill="1" applyBorder="1" applyProtection="1"/>
    <xf numFmtId="0" fontId="0" fillId="9" borderId="64" xfId="0" applyFill="1" applyBorder="1" applyProtection="1"/>
    <xf numFmtId="0" fontId="16" fillId="0" borderId="0" xfId="0" applyFont="1" applyBorder="1"/>
    <xf numFmtId="0" fontId="0" fillId="5" borderId="39" xfId="0" applyFill="1" applyBorder="1" applyProtection="1">
      <protection locked="0"/>
    </xf>
    <xf numFmtId="0" fontId="2" fillId="2" borderId="54" xfId="0" applyFont="1" applyFill="1" applyBorder="1" applyProtection="1"/>
    <xf numFmtId="0" fontId="0" fillId="5" borderId="46" xfId="0" applyFill="1" applyBorder="1" applyProtection="1">
      <protection locked="0"/>
    </xf>
    <xf numFmtId="0" fontId="0" fillId="0" borderId="0" xfId="0" applyBorder="1" applyProtection="1">
      <protection locked="0"/>
    </xf>
    <xf numFmtId="0" fontId="0" fillId="2" borderId="46" xfId="0" applyFill="1" applyBorder="1" applyProtection="1">
      <protection locked="0"/>
    </xf>
    <xf numFmtId="0" fontId="0" fillId="2" borderId="36" xfId="0" applyFill="1" applyBorder="1" applyProtection="1"/>
    <xf numFmtId="0" fontId="0" fillId="5" borderId="26" xfId="0" applyFill="1" applyBorder="1" applyProtection="1">
      <protection locked="0"/>
    </xf>
    <xf numFmtId="0" fontId="0" fillId="2" borderId="26" xfId="0" applyFill="1" applyBorder="1"/>
    <xf numFmtId="0" fontId="0" fillId="2" borderId="52" xfId="0" applyFill="1" applyBorder="1"/>
    <xf numFmtId="0" fontId="2" fillId="2" borderId="16" xfId="0" applyFont="1" applyFill="1" applyBorder="1" applyAlignment="1">
      <alignment horizontal="left"/>
    </xf>
    <xf numFmtId="0" fontId="21" fillId="2" borderId="0" xfId="0" applyFont="1" applyFill="1" applyAlignment="1"/>
    <xf numFmtId="0" fontId="22" fillId="2" borderId="0" xfId="0" applyFont="1" applyFill="1" applyAlignment="1">
      <alignment vertical="top" wrapText="1"/>
    </xf>
    <xf numFmtId="0" fontId="1" fillId="2" borderId="0" xfId="0" applyFont="1" applyFill="1"/>
    <xf numFmtId="0" fontId="2" fillId="6" borderId="45" xfId="0" applyFont="1" applyFill="1" applyBorder="1" applyAlignment="1">
      <alignment horizontal="left" vertical="top" wrapText="1" indent="1"/>
    </xf>
    <xf numFmtId="0" fontId="2" fillId="6" borderId="29" xfId="0" applyFont="1" applyFill="1" applyBorder="1" applyAlignment="1">
      <alignment vertical="center" wrapText="1"/>
    </xf>
    <xf numFmtId="0" fontId="2" fillId="2" borderId="39" xfId="0" applyFont="1" applyFill="1" applyBorder="1" applyAlignment="1">
      <alignment horizontal="center" vertical="center" wrapText="1"/>
    </xf>
    <xf numFmtId="0" fontId="0" fillId="2" borderId="71" xfId="0" applyFill="1" applyBorder="1" applyAlignment="1">
      <alignment horizontal="center" wrapText="1"/>
    </xf>
    <xf numFmtId="0" fontId="0" fillId="2" borderId="72" xfId="0" applyFill="1" applyBorder="1" applyAlignment="1">
      <alignment horizontal="center" wrapText="1"/>
    </xf>
    <xf numFmtId="0" fontId="0" fillId="2" borderId="73" xfId="0" applyFill="1" applyBorder="1" applyAlignment="1">
      <alignment horizontal="center" wrapText="1"/>
    </xf>
    <xf numFmtId="0" fontId="2" fillId="2" borderId="25" xfId="0" applyFont="1" applyFill="1" applyBorder="1" applyAlignment="1">
      <alignment horizontal="center" vertical="center" wrapText="1"/>
    </xf>
    <xf numFmtId="3" fontId="2" fillId="2" borderId="39" xfId="0" applyNumberFormat="1" applyFont="1" applyFill="1" applyBorder="1" applyAlignment="1">
      <alignment horizontal="center" vertical="center" wrapText="1"/>
    </xf>
    <xf numFmtId="3" fontId="2" fillId="2" borderId="31" xfId="0" applyNumberFormat="1" applyFont="1" applyFill="1" applyBorder="1" applyAlignment="1">
      <alignment horizontal="center" vertical="center" wrapText="1"/>
    </xf>
    <xf numFmtId="3" fontId="2" fillId="2" borderId="32" xfId="0" applyNumberFormat="1" applyFont="1" applyFill="1" applyBorder="1" applyAlignment="1">
      <alignment horizontal="center" vertical="center" wrapText="1"/>
    </xf>
    <xf numFmtId="3" fontId="2" fillId="2" borderId="25" xfId="0" applyNumberFormat="1" applyFont="1" applyFill="1" applyBorder="1" applyAlignment="1">
      <alignment horizontal="center" vertical="center" wrapText="1"/>
    </xf>
    <xf numFmtId="3" fontId="2" fillId="2" borderId="61" xfId="0" applyNumberFormat="1" applyFont="1" applyFill="1" applyBorder="1" applyAlignment="1">
      <alignment horizontal="center" vertical="center" wrapText="1"/>
    </xf>
    <xf numFmtId="3" fontId="2" fillId="11" borderId="0" xfId="0" applyNumberFormat="1" applyFont="1" applyFill="1" applyBorder="1" applyAlignment="1">
      <alignment horizontal="center" vertical="center" wrapText="1"/>
    </xf>
    <xf numFmtId="3" fontId="2" fillId="8" borderId="26" xfId="0" applyNumberFormat="1" applyFont="1" applyFill="1" applyBorder="1" applyAlignment="1">
      <alignment horizontal="center" vertical="center" wrapText="1"/>
    </xf>
    <xf numFmtId="0" fontId="8" fillId="12" borderId="5" xfId="0" applyFont="1" applyFill="1" applyBorder="1" applyAlignment="1">
      <alignment horizontal="center" vertical="top"/>
    </xf>
    <xf numFmtId="49" fontId="8" fillId="12" borderId="18" xfId="0" applyNumberFormat="1" applyFont="1" applyFill="1" applyBorder="1" applyAlignment="1">
      <alignment horizontal="center" vertical="top"/>
    </xf>
    <xf numFmtId="0" fontId="25" fillId="2" borderId="32" xfId="0" applyFont="1" applyFill="1" applyBorder="1" applyAlignment="1" applyProtection="1">
      <alignment horizontal="center" wrapText="1"/>
    </xf>
    <xf numFmtId="0" fontId="26" fillId="13" borderId="0" xfId="0" applyFont="1" applyFill="1"/>
    <xf numFmtId="0" fontId="0" fillId="13" borderId="0" xfId="0" applyFill="1"/>
    <xf numFmtId="0" fontId="0" fillId="13" borderId="30" xfId="0" applyFill="1" applyBorder="1"/>
    <xf numFmtId="0" fontId="0" fillId="13" borderId="0" xfId="0" applyFill="1" applyBorder="1"/>
    <xf numFmtId="0" fontId="25" fillId="13" borderId="0" xfId="0" applyFont="1" applyFill="1" applyBorder="1" applyAlignment="1">
      <alignment horizontal="center"/>
    </xf>
    <xf numFmtId="0" fontId="0" fillId="13" borderId="0" xfId="0" applyFill="1" applyBorder="1" applyAlignment="1">
      <alignment horizontal="center"/>
    </xf>
    <xf numFmtId="0" fontId="25" fillId="13" borderId="0" xfId="0" applyFont="1" applyFill="1" applyBorder="1"/>
    <xf numFmtId="0" fontId="0" fillId="13" borderId="51" xfId="0" applyFill="1" applyBorder="1"/>
    <xf numFmtId="0" fontId="0" fillId="0" borderId="25" xfId="0" applyBorder="1" applyAlignment="1">
      <alignment horizontal="right" vertical="center"/>
    </xf>
    <xf numFmtId="0" fontId="0" fillId="0" borderId="1" xfId="0" applyBorder="1" applyAlignment="1">
      <alignment horizontal="right" vertical="center"/>
    </xf>
    <xf numFmtId="0" fontId="0" fillId="0" borderId="20" xfId="0" applyBorder="1" applyAlignment="1">
      <alignment horizontal="right" vertical="center"/>
    </xf>
    <xf numFmtId="0" fontId="25" fillId="0" borderId="0" xfId="0" applyFont="1"/>
    <xf numFmtId="0" fontId="0" fillId="14" borderId="0" xfId="0" applyFill="1" applyBorder="1"/>
    <xf numFmtId="3" fontId="0" fillId="14" borderId="0" xfId="0" applyNumberFormat="1" applyFill="1" applyBorder="1"/>
    <xf numFmtId="0" fontId="2" fillId="0" borderId="0" xfId="0" applyFont="1" applyFill="1" applyBorder="1" applyAlignment="1">
      <alignment vertical="top" wrapText="1"/>
    </xf>
    <xf numFmtId="0" fontId="8" fillId="0" borderId="0" xfId="0" applyFont="1" applyFill="1" applyBorder="1" applyAlignment="1">
      <alignment horizontal="center" vertical="top"/>
    </xf>
    <xf numFmtId="49" fontId="8" fillId="0" borderId="0" xfId="0" applyNumberFormat="1" applyFont="1" applyFill="1" applyBorder="1" applyAlignment="1">
      <alignment horizontal="center" vertical="top"/>
    </xf>
    <xf numFmtId="0" fontId="2" fillId="6" borderId="2" xfId="0" applyFont="1" applyFill="1" applyBorder="1" applyAlignment="1">
      <alignment horizontal="left" vertical="top" wrapText="1" indent="3"/>
    </xf>
    <xf numFmtId="0" fontId="2" fillId="6" borderId="57" xfId="0" applyFont="1" applyFill="1" applyBorder="1" applyAlignment="1">
      <alignment horizontal="left" vertical="top" wrapText="1" indent="3"/>
    </xf>
    <xf numFmtId="0" fontId="8" fillId="0" borderId="0" xfId="0" applyFont="1" applyFill="1" applyBorder="1" applyAlignment="1">
      <alignment horizontal="center"/>
    </xf>
    <xf numFmtId="0" fontId="0" fillId="0" borderId="0" xfId="0" applyFill="1" applyBorder="1" applyAlignment="1">
      <alignment horizontal="center"/>
    </xf>
    <xf numFmtId="0" fontId="8" fillId="0" borderId="0" xfId="0" applyFont="1" applyFill="1" applyBorder="1" applyAlignment="1">
      <alignment horizontal="left"/>
    </xf>
    <xf numFmtId="2" fontId="8" fillId="0" borderId="0" xfId="0" applyNumberFormat="1" applyFont="1" applyFill="1" applyBorder="1"/>
    <xf numFmtId="0" fontId="2" fillId="6" borderId="49" xfId="0" applyFont="1" applyFill="1" applyBorder="1" applyAlignment="1">
      <alignment vertical="top" wrapText="1"/>
    </xf>
    <xf numFmtId="0" fontId="8" fillId="12" borderId="7" xfId="0" applyFont="1" applyFill="1" applyBorder="1" applyAlignment="1">
      <alignment horizontal="center" vertical="top"/>
    </xf>
    <xf numFmtId="49" fontId="8" fillId="12" borderId="23" xfId="0" applyNumberFormat="1" applyFont="1" applyFill="1" applyBorder="1" applyAlignment="1">
      <alignment horizontal="center" vertical="top"/>
    </xf>
    <xf numFmtId="0" fontId="8" fillId="12" borderId="29" xfId="0" applyFont="1" applyFill="1" applyBorder="1" applyAlignment="1">
      <alignment horizontal="center" vertical="top"/>
    </xf>
    <xf numFmtId="49" fontId="8" fillId="12" borderId="9" xfId="0" applyNumberFormat="1" applyFont="1" applyFill="1" applyBorder="1" applyAlignment="1">
      <alignment horizontal="center" vertical="top"/>
    </xf>
    <xf numFmtId="0" fontId="0" fillId="15" borderId="27" xfId="0" applyFill="1" applyBorder="1"/>
    <xf numFmtId="0" fontId="8" fillId="0" borderId="53" xfId="0" applyFont="1" applyBorder="1"/>
    <xf numFmtId="0" fontId="8" fillId="0" borderId="1" xfId="0" applyFont="1" applyBorder="1"/>
    <xf numFmtId="0" fontId="8" fillId="0" borderId="3" xfId="0" applyFont="1" applyBorder="1"/>
    <xf numFmtId="3" fontId="0" fillId="14" borderId="32" xfId="0" applyNumberFormat="1" applyFill="1" applyBorder="1" applyProtection="1">
      <protection locked="0"/>
    </xf>
    <xf numFmtId="3" fontId="0" fillId="14" borderId="68" xfId="0" applyNumberFormat="1" applyFill="1" applyBorder="1" applyProtection="1">
      <protection locked="0"/>
    </xf>
    <xf numFmtId="3" fontId="0" fillId="14" borderId="69" xfId="0" applyNumberFormat="1" applyFill="1" applyBorder="1" applyProtection="1">
      <protection locked="0"/>
    </xf>
    <xf numFmtId="168" fontId="1" fillId="0" borderId="52" xfId="0" applyNumberFormat="1" applyFont="1" applyFill="1" applyBorder="1" applyAlignment="1">
      <alignment horizontal="center"/>
    </xf>
    <xf numFmtId="4" fontId="0" fillId="0" borderId="54" xfId="0" applyNumberFormat="1" applyBorder="1" applyProtection="1"/>
    <xf numFmtId="0" fontId="8" fillId="13" borderId="0" xfId="0" applyFont="1" applyFill="1"/>
    <xf numFmtId="4" fontId="0" fillId="0" borderId="30" xfId="0" applyNumberFormat="1" applyBorder="1" applyProtection="1"/>
    <xf numFmtId="4" fontId="0" fillId="0" borderId="6" xfId="0" applyNumberFormat="1" applyBorder="1" applyProtection="1"/>
    <xf numFmtId="10" fontId="28" fillId="14" borderId="51" xfId="2" applyNumberFormat="1" applyFont="1" applyFill="1" applyBorder="1"/>
    <xf numFmtId="0" fontId="8" fillId="18" borderId="20" xfId="0" applyFont="1" applyFill="1" applyBorder="1" applyAlignment="1">
      <alignment horizontal="center" vertical="center" wrapText="1"/>
    </xf>
    <xf numFmtId="0" fontId="25" fillId="18" borderId="52" xfId="0" applyFont="1" applyFill="1" applyBorder="1" applyAlignment="1">
      <alignment horizontal="center"/>
    </xf>
    <xf numFmtId="0" fontId="0" fillId="18" borderId="52" xfId="0" applyFill="1" applyBorder="1" applyAlignment="1">
      <alignment horizontal="center" vertical="center" wrapText="1"/>
    </xf>
    <xf numFmtId="0" fontId="8" fillId="18" borderId="52" xfId="0" applyFont="1" applyFill="1" applyBorder="1" applyAlignment="1">
      <alignment horizontal="center" vertical="center" wrapText="1"/>
    </xf>
    <xf numFmtId="0" fontId="25" fillId="18" borderId="52" xfId="0" applyFont="1" applyFill="1" applyBorder="1" applyAlignment="1">
      <alignment horizontal="center" vertical="center" wrapText="1"/>
    </xf>
    <xf numFmtId="0" fontId="25" fillId="18" borderId="70" xfId="0" applyFont="1" applyFill="1" applyBorder="1" applyAlignment="1">
      <alignment horizontal="center"/>
    </xf>
    <xf numFmtId="0" fontId="15" fillId="0" borderId="25" xfId="0" applyFont="1" applyFill="1" applyBorder="1"/>
    <xf numFmtId="0" fontId="0" fillId="2" borderId="18" xfId="0" applyFill="1" applyBorder="1" applyAlignment="1">
      <alignment horizontal="center" wrapText="1"/>
    </xf>
    <xf numFmtId="0" fontId="0" fillId="3" borderId="48" xfId="0" applyFill="1" applyBorder="1" applyAlignment="1">
      <alignment horizontal="right"/>
    </xf>
    <xf numFmtId="0" fontId="0" fillId="3" borderId="9" xfId="0" applyFill="1" applyBorder="1" applyAlignment="1">
      <alignment horizontal="right"/>
    </xf>
    <xf numFmtId="0" fontId="2" fillId="2" borderId="25" xfId="0" applyFont="1" applyFill="1" applyBorder="1" applyAlignment="1">
      <alignment horizontal="center" wrapText="1"/>
    </xf>
    <xf numFmtId="0" fontId="2" fillId="2" borderId="34" xfId="0" applyFont="1" applyFill="1" applyBorder="1" applyAlignment="1">
      <alignment horizontal="center"/>
    </xf>
    <xf numFmtId="0" fontId="2" fillId="0" borderId="0" xfId="0" applyFont="1" applyBorder="1"/>
    <xf numFmtId="3" fontId="2" fillId="0" borderId="0" xfId="0" applyNumberFormat="1" applyFont="1" applyBorder="1"/>
    <xf numFmtId="3" fontId="0" fillId="0" borderId="0" xfId="0" applyNumberFormat="1" applyBorder="1"/>
    <xf numFmtId="0" fontId="2" fillId="0" borderId="76" xfId="0" applyFont="1" applyBorder="1"/>
    <xf numFmtId="0" fontId="2" fillId="0" borderId="50" xfId="0" applyFont="1" applyBorder="1"/>
    <xf numFmtId="3" fontId="2" fillId="2" borderId="17" xfId="0" applyNumberFormat="1" applyFont="1" applyFill="1" applyBorder="1" applyAlignment="1">
      <alignment horizontal="center" wrapText="1"/>
    </xf>
    <xf numFmtId="3" fontId="2" fillId="2" borderId="13" xfId="0" applyNumberFormat="1" applyFont="1" applyFill="1" applyBorder="1" applyAlignment="1">
      <alignment horizontal="center" wrapText="1"/>
    </xf>
    <xf numFmtId="3" fontId="2" fillId="2" borderId="65" xfId="0" applyNumberFormat="1" applyFont="1" applyFill="1" applyBorder="1" applyAlignment="1">
      <alignment horizontal="center" wrapText="1"/>
    </xf>
    <xf numFmtId="0" fontId="2" fillId="2" borderId="27" xfId="0" applyNumberFormat="1" applyFont="1" applyFill="1" applyBorder="1" applyAlignment="1">
      <alignment horizontal="center" wrapText="1"/>
    </xf>
    <xf numFmtId="0" fontId="2" fillId="2" borderId="28" xfId="0" applyNumberFormat="1" applyFont="1" applyFill="1" applyBorder="1" applyAlignment="1">
      <alignment horizontal="center" wrapText="1"/>
    </xf>
    <xf numFmtId="0" fontId="2" fillId="2" borderId="21" xfId="0" applyNumberFormat="1" applyFont="1" applyFill="1" applyBorder="1" applyAlignment="1">
      <alignment horizontal="center" wrapText="1"/>
    </xf>
    <xf numFmtId="3" fontId="2" fillId="2" borderId="24" xfId="0" applyNumberFormat="1" applyFont="1" applyFill="1" applyBorder="1" applyAlignment="1">
      <alignment horizontal="center" wrapText="1"/>
    </xf>
    <xf numFmtId="3" fontId="2" fillId="2" borderId="28" xfId="0" applyNumberFormat="1" applyFont="1" applyFill="1" applyBorder="1" applyAlignment="1">
      <alignment horizontal="center" wrapText="1"/>
    </xf>
    <xf numFmtId="3" fontId="2" fillId="2" borderId="21" xfId="0" applyNumberFormat="1" applyFont="1" applyFill="1" applyBorder="1" applyAlignment="1">
      <alignment horizontal="center" wrapText="1"/>
    </xf>
    <xf numFmtId="0" fontId="0" fillId="2" borderId="27" xfId="0" applyFill="1" applyBorder="1" applyAlignment="1">
      <alignment horizontal="center" wrapText="1"/>
    </xf>
    <xf numFmtId="0" fontId="0" fillId="2" borderId="28" xfId="0" applyNumberFormat="1" applyFill="1" applyBorder="1" applyAlignment="1">
      <alignment horizontal="center" wrapText="1"/>
    </xf>
    <xf numFmtId="0" fontId="0" fillId="2" borderId="21" xfId="0" applyNumberFormat="1" applyFill="1" applyBorder="1" applyAlignment="1">
      <alignment horizontal="center" wrapText="1"/>
    </xf>
    <xf numFmtId="0" fontId="0" fillId="2" borderId="27" xfId="0" applyNumberFormat="1" applyFill="1" applyBorder="1" applyAlignment="1">
      <alignment horizontal="center" wrapText="1"/>
    </xf>
    <xf numFmtId="0" fontId="0" fillId="0" borderId="50" xfId="0" applyNumberFormat="1" applyFill="1" applyBorder="1" applyAlignment="1">
      <alignment horizontal="center" wrapText="1"/>
    </xf>
    <xf numFmtId="0" fontId="0" fillId="0" borderId="45" xfId="0" applyBorder="1"/>
    <xf numFmtId="3" fontId="0" fillId="0" borderId="27" xfId="0" applyNumberFormat="1" applyBorder="1"/>
    <xf numFmtId="3" fontId="0" fillId="0" borderId="28" xfId="0" applyNumberFormat="1" applyBorder="1"/>
    <xf numFmtId="3" fontId="0" fillId="0" borderId="21" xfId="0" applyNumberFormat="1" applyBorder="1"/>
    <xf numFmtId="0" fontId="0" fillId="0" borderId="24" xfId="0" applyBorder="1"/>
    <xf numFmtId="0" fontId="0" fillId="0" borderId="28" xfId="0" applyBorder="1"/>
    <xf numFmtId="0" fontId="0" fillId="0" borderId="50" xfId="0" applyBorder="1"/>
    <xf numFmtId="0" fontId="0" fillId="0" borderId="17" xfId="0" applyBorder="1"/>
    <xf numFmtId="0" fontId="0" fillId="0" borderId="13" xfId="0" applyBorder="1"/>
    <xf numFmtId="0" fontId="0" fillId="0" borderId="4" xfId="0" applyBorder="1"/>
    <xf numFmtId="3" fontId="0" fillId="0" borderId="24" xfId="0" applyNumberFormat="1" applyBorder="1"/>
    <xf numFmtId="0" fontId="1" fillId="0" borderId="11" xfId="0" applyFont="1" applyBorder="1" applyAlignment="1">
      <alignment horizontal="center"/>
    </xf>
    <xf numFmtId="3" fontId="1" fillId="10" borderId="31" xfId="0" applyNumberFormat="1" applyFont="1" applyFill="1" applyBorder="1" applyAlignment="1">
      <alignment horizontal="right"/>
    </xf>
    <xf numFmtId="3" fontId="0" fillId="10" borderId="32" xfId="0" applyNumberFormat="1" applyFill="1" applyBorder="1"/>
    <xf numFmtId="3" fontId="0" fillId="10" borderId="33" xfId="0" applyNumberFormat="1" applyFill="1" applyBorder="1"/>
    <xf numFmtId="3" fontId="0" fillId="10" borderId="31" xfId="0" applyNumberFormat="1" applyFill="1" applyBorder="1"/>
    <xf numFmtId="3" fontId="0" fillId="6" borderId="31" xfId="0" applyNumberFormat="1" applyFill="1" applyBorder="1"/>
    <xf numFmtId="3" fontId="0" fillId="6" borderId="32" xfId="0" applyNumberFormat="1" applyFill="1" applyBorder="1"/>
    <xf numFmtId="3" fontId="0" fillId="6" borderId="33" xfId="0" applyNumberFormat="1" applyFill="1" applyBorder="1"/>
    <xf numFmtId="3" fontId="0" fillId="6" borderId="44" xfId="0" applyNumberFormat="1" applyFill="1" applyBorder="1"/>
    <xf numFmtId="0" fontId="1" fillId="0" borderId="2" xfId="0" applyFont="1" applyBorder="1" applyAlignment="1">
      <alignment horizontal="center"/>
    </xf>
    <xf numFmtId="3" fontId="1" fillId="10" borderId="29" xfId="0" applyNumberFormat="1" applyFont="1" applyFill="1" applyBorder="1" applyAlignment="1">
      <alignment horizontal="right"/>
    </xf>
    <xf numFmtId="3" fontId="0" fillId="10" borderId="30" xfId="0" applyNumberFormat="1" applyFill="1" applyBorder="1"/>
    <xf numFmtId="3" fontId="0" fillId="10" borderId="9" xfId="0" applyNumberFormat="1" applyFill="1" applyBorder="1"/>
    <xf numFmtId="3" fontId="0" fillId="10" borderId="29" xfId="0" applyNumberFormat="1" applyFill="1" applyBorder="1"/>
    <xf numFmtId="3" fontId="0" fillId="6" borderId="29" xfId="0" applyNumberFormat="1" applyFill="1" applyBorder="1"/>
    <xf numFmtId="3" fontId="0" fillId="6" borderId="30" xfId="0" applyNumberFormat="1" applyFill="1" applyBorder="1"/>
    <xf numFmtId="3" fontId="0" fillId="6" borderId="9" xfId="0" applyNumberFormat="1" applyFill="1" applyBorder="1"/>
    <xf numFmtId="3" fontId="0" fillId="6" borderId="43" xfId="0" applyNumberFormat="1" applyFill="1" applyBorder="1"/>
    <xf numFmtId="0" fontId="1" fillId="0" borderId="8" xfId="0" applyFont="1" applyBorder="1" applyAlignment="1">
      <alignment horizontal="center"/>
    </xf>
    <xf numFmtId="3" fontId="1" fillId="10" borderId="5" xfId="0" applyNumberFormat="1" applyFont="1" applyFill="1" applyBorder="1" applyAlignment="1">
      <alignment horizontal="right"/>
    </xf>
    <xf numFmtId="3" fontId="0" fillId="10" borderId="6" xfId="0" applyNumberFormat="1" applyFill="1" applyBorder="1"/>
    <xf numFmtId="3" fontId="0" fillId="10" borderId="18" xfId="0" applyNumberFormat="1" applyFill="1" applyBorder="1"/>
    <xf numFmtId="3" fontId="0" fillId="10" borderId="5" xfId="0" applyNumberFormat="1" applyFill="1" applyBorder="1"/>
    <xf numFmtId="3" fontId="0" fillId="6" borderId="5" xfId="0" applyNumberFormat="1" applyFill="1" applyBorder="1"/>
    <xf numFmtId="3" fontId="0" fillId="6" borderId="6" xfId="0" applyNumberFormat="1" applyFill="1" applyBorder="1"/>
    <xf numFmtId="3" fontId="0" fillId="6" borderId="18" xfId="0" applyNumberFormat="1" applyFill="1" applyBorder="1"/>
    <xf numFmtId="3" fontId="0" fillId="6" borderId="63" xfId="0" applyNumberFormat="1" applyFill="1" applyBorder="1"/>
    <xf numFmtId="0" fontId="0" fillId="0" borderId="0" xfId="0" applyBorder="1" applyAlignment="1">
      <alignment horizontal="center"/>
    </xf>
    <xf numFmtId="0" fontId="1" fillId="0" borderId="0" xfId="0" applyFont="1" applyBorder="1" applyAlignment="1">
      <alignment horizontal="center"/>
    </xf>
    <xf numFmtId="3" fontId="2" fillId="0" borderId="26" xfId="0" applyNumberFormat="1" applyFont="1" applyBorder="1"/>
    <xf numFmtId="3" fontId="29" fillId="0" borderId="0" xfId="0" applyNumberFormat="1" applyFont="1" applyBorder="1"/>
    <xf numFmtId="3" fontId="4" fillId="0" borderId="0" xfId="0" applyNumberFormat="1" applyFont="1" applyBorder="1"/>
    <xf numFmtId="3" fontId="1" fillId="0" borderId="0" xfId="0" applyNumberFormat="1" applyFont="1" applyBorder="1"/>
    <xf numFmtId="3" fontId="2" fillId="2" borderId="52" xfId="0" applyNumberFormat="1" applyFont="1" applyFill="1" applyBorder="1"/>
    <xf numFmtId="3" fontId="2" fillId="2" borderId="31" xfId="0" applyNumberFormat="1" applyFont="1" applyFill="1" applyBorder="1"/>
    <xf numFmtId="0" fontId="1" fillId="2" borderId="32" xfId="0" applyFont="1" applyFill="1" applyBorder="1" applyAlignment="1">
      <alignment horizontal="center"/>
    </xf>
    <xf numFmtId="3" fontId="2" fillId="2" borderId="32" xfId="0" applyNumberFormat="1" applyFont="1" applyFill="1" applyBorder="1"/>
    <xf numFmtId="0" fontId="2" fillId="2" borderId="32" xfId="0" applyFont="1" applyFill="1" applyBorder="1" applyAlignment="1">
      <alignment horizontal="center"/>
    </xf>
    <xf numFmtId="0" fontId="1" fillId="2" borderId="33" xfId="0" applyFont="1" applyFill="1" applyBorder="1" applyAlignment="1">
      <alignment horizontal="center"/>
    </xf>
    <xf numFmtId="3" fontId="0" fillId="0" borderId="0" xfId="0" applyNumberFormat="1" applyFill="1" applyBorder="1"/>
    <xf numFmtId="0" fontId="1" fillId="0" borderId="0" xfId="0" applyFont="1" applyFill="1" applyBorder="1" applyAlignment="1">
      <alignment horizontal="center"/>
    </xf>
    <xf numFmtId="3" fontId="2" fillId="2" borderId="29" xfId="0" applyNumberFormat="1" applyFont="1" applyFill="1" applyBorder="1"/>
    <xf numFmtId="0" fontId="1" fillId="2" borderId="30" xfId="0" applyFont="1" applyFill="1" applyBorder="1" applyAlignment="1">
      <alignment horizontal="center"/>
    </xf>
    <xf numFmtId="3" fontId="2" fillId="2" borderId="30" xfId="0" applyNumberFormat="1" applyFont="1" applyFill="1" applyBorder="1"/>
    <xf numFmtId="0" fontId="2" fillId="2" borderId="30" xfId="0" applyFont="1" applyFill="1" applyBorder="1" applyAlignment="1">
      <alignment horizontal="center"/>
    </xf>
    <xf numFmtId="0" fontId="1" fillId="2" borderId="9" xfId="0" applyFont="1" applyFill="1" applyBorder="1" applyAlignment="1">
      <alignment horizontal="center"/>
    </xf>
    <xf numFmtId="3" fontId="2" fillId="2" borderId="5" xfId="0" applyNumberFormat="1" applyFont="1" applyFill="1" applyBorder="1"/>
    <xf numFmtId="0" fontId="1" fillId="2" borderId="6" xfId="0" applyFont="1" applyFill="1" applyBorder="1" applyAlignment="1">
      <alignment horizontal="center"/>
    </xf>
    <xf numFmtId="3" fontId="2" fillId="2" borderId="6" xfId="0" applyNumberFormat="1" applyFont="1" applyFill="1" applyBorder="1"/>
    <xf numFmtId="0" fontId="1" fillId="2" borderId="18" xfId="0" applyFont="1" applyFill="1" applyBorder="1" applyAlignment="1">
      <alignment horizontal="center"/>
    </xf>
    <xf numFmtId="0" fontId="30" fillId="0" borderId="0" xfId="0" applyFont="1" applyFill="1" applyBorder="1"/>
    <xf numFmtId="0" fontId="2" fillId="2" borderId="45" xfId="0" applyNumberFormat="1" applyFont="1" applyFill="1" applyBorder="1" applyAlignment="1">
      <alignment horizontal="center" wrapText="1"/>
    </xf>
    <xf numFmtId="0" fontId="2" fillId="2" borderId="66" xfId="0" applyNumberFormat="1" applyFont="1" applyFill="1" applyBorder="1" applyAlignment="1">
      <alignment horizontal="center" wrapText="1"/>
    </xf>
    <xf numFmtId="0" fontId="2" fillId="2" borderId="26" xfId="0" applyNumberFormat="1" applyFont="1" applyFill="1" applyBorder="1" applyAlignment="1">
      <alignment horizontal="center" wrapText="1"/>
    </xf>
    <xf numFmtId="0" fontId="2" fillId="2" borderId="24" xfId="0" applyNumberFormat="1" applyFont="1" applyFill="1" applyBorder="1" applyAlignment="1">
      <alignment horizontal="center" wrapText="1"/>
    </xf>
    <xf numFmtId="3" fontId="2" fillId="2" borderId="27" xfId="0" applyNumberFormat="1" applyFont="1" applyFill="1" applyBorder="1" applyAlignment="1">
      <alignment horizontal="center" wrapText="1"/>
    </xf>
    <xf numFmtId="0" fontId="2" fillId="2" borderId="34" xfId="0" applyNumberFormat="1" applyFont="1" applyFill="1" applyBorder="1" applyAlignment="1">
      <alignment horizontal="center" wrapText="1"/>
    </xf>
    <xf numFmtId="0" fontId="0" fillId="0" borderId="0" xfId="0" applyNumberFormat="1" applyBorder="1" applyAlignment="1">
      <alignment horizontal="center" wrapText="1"/>
    </xf>
    <xf numFmtId="0" fontId="1" fillId="2" borderId="45" xfId="0" applyNumberFormat="1" applyFont="1" applyFill="1" applyBorder="1" applyAlignment="1">
      <alignment horizontal="center" wrapText="1"/>
    </xf>
    <xf numFmtId="0" fontId="0" fillId="2" borderId="66" xfId="0" applyNumberFormat="1" applyFill="1" applyBorder="1" applyAlignment="1">
      <alignment horizontal="center" wrapText="1"/>
    </xf>
    <xf numFmtId="0" fontId="0" fillId="2" borderId="26" xfId="0" applyNumberFormat="1" applyFill="1" applyBorder="1" applyAlignment="1">
      <alignment horizontal="center" wrapText="1"/>
    </xf>
    <xf numFmtId="0" fontId="0" fillId="2" borderId="24" xfId="0" applyNumberFormat="1" applyFill="1" applyBorder="1" applyAlignment="1">
      <alignment horizontal="center" wrapText="1"/>
    </xf>
    <xf numFmtId="3" fontId="0" fillId="2" borderId="27" xfId="0" applyNumberFormat="1" applyFill="1" applyBorder="1" applyAlignment="1">
      <alignment horizontal="center" wrapText="1"/>
    </xf>
    <xf numFmtId="3" fontId="0" fillId="0" borderId="11" xfId="0" applyNumberFormat="1" applyBorder="1"/>
    <xf numFmtId="3" fontId="0" fillId="0" borderId="38" xfId="0" applyNumberFormat="1" applyBorder="1"/>
    <xf numFmtId="3" fontId="0" fillId="0" borderId="51" xfId="0" applyNumberFormat="1" applyBorder="1"/>
    <xf numFmtId="3" fontId="0" fillId="0" borderId="67" xfId="0" applyNumberFormat="1" applyBorder="1"/>
    <xf numFmtId="3" fontId="0" fillId="0" borderId="25" xfId="0" applyNumberFormat="1" applyBorder="1"/>
    <xf numFmtId="3" fontId="0" fillId="0" borderId="56" xfId="0" applyNumberFormat="1" applyBorder="1"/>
    <xf numFmtId="0" fontId="0" fillId="0" borderId="51" xfId="0" applyBorder="1"/>
    <xf numFmtId="0" fontId="0" fillId="0" borderId="78" xfId="0" applyBorder="1"/>
    <xf numFmtId="0" fontId="0" fillId="0" borderId="19" xfId="0" applyBorder="1"/>
    <xf numFmtId="3" fontId="0" fillId="0" borderId="2" xfId="0" applyNumberFormat="1" applyBorder="1"/>
    <xf numFmtId="3" fontId="0" fillId="0" borderId="29" xfId="0" applyNumberFormat="1" applyBorder="1"/>
    <xf numFmtId="3" fontId="0" fillId="0" borderId="30" xfId="0" applyNumberFormat="1" applyBorder="1"/>
    <xf numFmtId="3" fontId="0" fillId="0" borderId="68" xfId="0" applyNumberFormat="1" applyBorder="1"/>
    <xf numFmtId="3" fontId="0" fillId="0" borderId="1" xfId="0" applyNumberFormat="1" applyBorder="1"/>
    <xf numFmtId="3" fontId="0" fillId="0" borderId="43" xfId="0" applyNumberFormat="1" applyBorder="1"/>
    <xf numFmtId="0" fontId="30" fillId="0" borderId="0" xfId="0" applyFont="1"/>
    <xf numFmtId="0" fontId="0" fillId="3" borderId="5" xfId="0" applyFill="1" applyBorder="1" applyAlignment="1">
      <alignment horizontal="right"/>
    </xf>
    <xf numFmtId="0" fontId="0" fillId="3" borderId="18" xfId="0" applyFill="1" applyBorder="1"/>
    <xf numFmtId="0" fontId="0" fillId="5" borderId="20" xfId="0" applyFill="1" applyBorder="1" applyProtection="1">
      <protection locked="0"/>
    </xf>
    <xf numFmtId="0" fontId="33" fillId="0" borderId="0" xfId="0" applyFont="1" applyBorder="1" applyAlignment="1"/>
    <xf numFmtId="0" fontId="16" fillId="0" borderId="0" xfId="0" applyFont="1" applyFill="1" applyBorder="1"/>
    <xf numFmtId="0" fontId="8" fillId="3" borderId="18" xfId="0" applyFont="1" applyFill="1" applyBorder="1"/>
    <xf numFmtId="0" fontId="13" fillId="0" borderId="0" xfId="0" applyFont="1" applyBorder="1" applyAlignment="1"/>
    <xf numFmtId="0" fontId="2" fillId="19" borderId="17" xfId="0" applyFont="1" applyFill="1" applyBorder="1" applyAlignment="1">
      <alignment horizontal="center" wrapText="1"/>
    </xf>
    <xf numFmtId="0" fontId="2" fillId="19" borderId="13" xfId="0" applyFont="1" applyFill="1" applyBorder="1" applyAlignment="1">
      <alignment horizontal="center" wrapText="1"/>
    </xf>
    <xf numFmtId="0" fontId="2" fillId="19" borderId="4" xfId="0" applyFont="1" applyFill="1" applyBorder="1" applyAlignment="1">
      <alignment horizontal="center" wrapText="1"/>
    </xf>
    <xf numFmtId="0" fontId="0" fillId="2" borderId="20" xfId="0" applyFill="1" applyBorder="1" applyAlignment="1">
      <alignment wrapText="1"/>
    </xf>
    <xf numFmtId="0" fontId="0" fillId="2" borderId="26" xfId="0" applyFill="1" applyBorder="1" applyAlignment="1">
      <alignment wrapText="1"/>
    </xf>
    <xf numFmtId="0" fontId="0" fillId="5" borderId="26" xfId="0" applyFill="1" applyBorder="1" applyAlignment="1" applyProtection="1">
      <alignment wrapText="1"/>
      <protection locked="0"/>
    </xf>
    <xf numFmtId="0" fontId="0" fillId="2" borderId="52" xfId="0" applyFill="1" applyBorder="1" applyAlignment="1">
      <alignment wrapText="1"/>
    </xf>
    <xf numFmtId="0" fontId="0" fillId="2" borderId="25" xfId="0" applyFill="1" applyBorder="1" applyAlignment="1">
      <alignment wrapText="1"/>
    </xf>
    <xf numFmtId="9" fontId="0" fillId="5" borderId="29" xfId="3" applyFont="1" applyFill="1" applyBorder="1" applyAlignment="1" applyProtection="1">
      <alignment horizontal="center" wrapText="1"/>
      <protection locked="0"/>
    </xf>
    <xf numFmtId="9" fontId="0" fillId="5" borderId="30" xfId="3" applyFont="1" applyFill="1" applyBorder="1" applyAlignment="1" applyProtection="1">
      <alignment horizontal="center" wrapText="1"/>
      <protection locked="0"/>
    </xf>
    <xf numFmtId="0" fontId="0" fillId="5" borderId="1" xfId="0" applyFill="1" applyBorder="1" applyAlignment="1" applyProtection="1">
      <alignment wrapText="1"/>
      <protection locked="0"/>
    </xf>
    <xf numFmtId="0" fontId="0" fillId="2" borderId="21" xfId="0" applyFill="1" applyBorder="1" applyAlignment="1">
      <alignment horizontal="center" wrapText="1"/>
    </xf>
    <xf numFmtId="2" fontId="0" fillId="0" borderId="55" xfId="0" applyNumberFormat="1" applyFill="1" applyBorder="1"/>
    <xf numFmtId="0" fontId="0" fillId="0" borderId="0" xfId="0" applyFill="1" applyBorder="1" applyAlignment="1">
      <alignment horizontal="center"/>
    </xf>
    <xf numFmtId="3" fontId="0" fillId="0" borderId="31" xfId="0" applyNumberFormat="1" applyFill="1" applyBorder="1" applyProtection="1">
      <protection locked="0"/>
    </xf>
    <xf numFmtId="3" fontId="0" fillId="0" borderId="32" xfId="0" applyNumberFormat="1" applyFill="1" applyBorder="1" applyProtection="1">
      <protection locked="0"/>
    </xf>
    <xf numFmtId="3" fontId="0" fillId="0" borderId="51" xfId="0" applyNumberFormat="1" applyFill="1" applyBorder="1" applyProtection="1">
      <protection locked="0"/>
    </xf>
    <xf numFmtId="3" fontId="0" fillId="0" borderId="29" xfId="0" applyNumberFormat="1" applyFill="1" applyBorder="1" applyProtection="1">
      <protection locked="0"/>
    </xf>
    <xf numFmtId="3" fontId="0" fillId="0" borderId="30" xfId="0" applyNumberFormat="1" applyFill="1" applyBorder="1" applyProtection="1">
      <protection locked="0"/>
    </xf>
    <xf numFmtId="3" fontId="0" fillId="0" borderId="68" xfId="0" applyNumberFormat="1" applyFill="1" applyBorder="1" applyProtection="1">
      <protection locked="0"/>
    </xf>
    <xf numFmtId="3" fontId="0" fillId="0" borderId="5" xfId="0" applyNumberFormat="1" applyFill="1" applyBorder="1" applyProtection="1">
      <protection locked="0"/>
    </xf>
    <xf numFmtId="3" fontId="0" fillId="0" borderId="6" xfId="0" applyNumberFormat="1" applyFill="1" applyBorder="1" applyProtection="1">
      <protection locked="0"/>
    </xf>
    <xf numFmtId="3" fontId="0" fillId="0" borderId="69" xfId="0" applyNumberFormat="1" applyFill="1" applyBorder="1" applyProtection="1">
      <protection locked="0"/>
    </xf>
    <xf numFmtId="3" fontId="0" fillId="0" borderId="13" xfId="0" applyNumberFormat="1" applyFill="1" applyBorder="1" applyProtection="1">
      <protection locked="0"/>
    </xf>
    <xf numFmtId="3" fontId="0" fillId="0" borderId="33" xfId="0" applyNumberFormat="1" applyFill="1" applyBorder="1" applyProtection="1">
      <protection locked="0"/>
    </xf>
    <xf numFmtId="3" fontId="0" fillId="0" borderId="19" xfId="0" applyNumberFormat="1" applyFill="1" applyBorder="1" applyProtection="1">
      <protection locked="0"/>
    </xf>
    <xf numFmtId="3" fontId="0" fillId="0" borderId="18" xfId="0" applyNumberFormat="1" applyFill="1" applyBorder="1" applyProtection="1">
      <protection locked="0"/>
    </xf>
    <xf numFmtId="0" fontId="0" fillId="20" borderId="15" xfId="0" applyFill="1" applyBorder="1"/>
    <xf numFmtId="0" fontId="0" fillId="20" borderId="0" xfId="0" applyFill="1"/>
    <xf numFmtId="0" fontId="2" fillId="12" borderId="0" xfId="0" applyFont="1" applyFill="1"/>
    <xf numFmtId="0" fontId="0" fillId="22" borderId="0" xfId="0" applyFill="1"/>
    <xf numFmtId="0" fontId="22" fillId="22" borderId="30" xfId="0" applyNumberFormat="1" applyFont="1" applyFill="1" applyBorder="1" applyAlignment="1" applyProtection="1">
      <alignment horizontal="center" vertical="center"/>
    </xf>
    <xf numFmtId="0" fontId="0" fillId="22" borderId="30" xfId="0" applyFill="1" applyBorder="1" applyAlignment="1">
      <alignment horizontal="center"/>
    </xf>
    <xf numFmtId="0" fontId="22" fillId="22" borderId="12" xfId="0" applyNumberFormat="1" applyFont="1" applyFill="1" applyBorder="1" applyAlignment="1" applyProtection="1">
      <alignment horizontal="center" vertical="top" wrapText="1"/>
    </xf>
    <xf numFmtId="0" fontId="0" fillId="22" borderId="15" xfId="0" applyFill="1" applyBorder="1" applyAlignment="1">
      <alignment horizontal="center"/>
    </xf>
    <xf numFmtId="0" fontId="22" fillId="22" borderId="12" xfId="0" quotePrefix="1" applyNumberFormat="1" applyFont="1" applyFill="1" applyBorder="1" applyAlignment="1" applyProtection="1">
      <alignment horizontal="center"/>
    </xf>
    <xf numFmtId="0" fontId="0" fillId="22" borderId="12" xfId="0" applyFill="1" applyBorder="1" applyAlignment="1">
      <alignment horizontal="center"/>
    </xf>
    <xf numFmtId="0" fontId="0" fillId="22" borderId="12" xfId="0" applyFill="1" applyBorder="1"/>
    <xf numFmtId="0" fontId="0" fillId="22" borderId="80" xfId="0" applyFill="1" applyBorder="1"/>
    <xf numFmtId="0" fontId="0" fillId="22" borderId="80" xfId="0" applyFill="1" applyBorder="1" applyAlignment="1">
      <alignment horizontal="center"/>
    </xf>
    <xf numFmtId="0" fontId="0" fillId="22" borderId="81" xfId="0" applyFill="1" applyBorder="1"/>
    <xf numFmtId="166" fontId="1" fillId="22" borderId="68" xfId="0" applyNumberFormat="1" applyFont="1" applyFill="1" applyBorder="1" applyAlignment="1">
      <alignment vertical="top" wrapText="1"/>
    </xf>
    <xf numFmtId="166" fontId="1" fillId="22" borderId="30" xfId="0" applyNumberFormat="1" applyFont="1" applyFill="1" applyBorder="1"/>
    <xf numFmtId="166" fontId="0" fillId="22" borderId="30" xfId="0" applyNumberFormat="1" applyFill="1" applyBorder="1"/>
    <xf numFmtId="166" fontId="2" fillId="22" borderId="30" xfId="0" applyNumberFormat="1" applyFont="1" applyFill="1" applyBorder="1"/>
    <xf numFmtId="0" fontId="0" fillId="0" borderId="41" xfId="0" applyFill="1" applyBorder="1" applyProtection="1">
      <protection locked="0"/>
    </xf>
    <xf numFmtId="0" fontId="0" fillId="0" borderId="61" xfId="0" applyFill="1" applyBorder="1" applyProtection="1">
      <protection locked="0"/>
    </xf>
    <xf numFmtId="0" fontId="0" fillId="0" borderId="42" xfId="0" applyFill="1" applyBorder="1" applyProtection="1">
      <protection locked="0"/>
    </xf>
    <xf numFmtId="0" fontId="0" fillId="0" borderId="62" xfId="0" applyFill="1" applyBorder="1" applyProtection="1">
      <protection locked="0"/>
    </xf>
    <xf numFmtId="0" fontId="0" fillId="0" borderId="24" xfId="0" applyFill="1" applyBorder="1" applyProtection="1">
      <protection locked="0"/>
    </xf>
    <xf numFmtId="9" fontId="0" fillId="0" borderId="31" xfId="0" applyNumberFormat="1" applyFill="1" applyBorder="1" applyProtection="1">
      <protection locked="0"/>
    </xf>
    <xf numFmtId="9" fontId="0" fillId="0" borderId="5" xfId="0" applyNumberFormat="1" applyFill="1" applyBorder="1" applyProtection="1">
      <protection locked="0"/>
    </xf>
    <xf numFmtId="170" fontId="2" fillId="8" borderId="26" xfId="0" applyNumberFormat="1" applyFont="1" applyFill="1" applyBorder="1" applyAlignment="1">
      <alignment horizontal="center" vertical="center" wrapText="1"/>
    </xf>
    <xf numFmtId="0" fontId="36" fillId="2" borderId="17" xfId="0" applyFont="1" applyFill="1" applyBorder="1" applyAlignment="1">
      <alignment horizontal="center" wrapText="1"/>
    </xf>
    <xf numFmtId="0" fontId="0" fillId="0" borderId="0" xfId="0" applyAlignment="1">
      <alignment vertical="center"/>
    </xf>
    <xf numFmtId="0" fontId="4" fillId="0" borderId="0" xfId="0" applyFont="1" applyBorder="1" applyAlignment="1">
      <alignment vertical="center"/>
    </xf>
    <xf numFmtId="0" fontId="0" fillId="0" borderId="0" xfId="0" applyBorder="1" applyAlignment="1">
      <alignment vertical="center"/>
    </xf>
    <xf numFmtId="0" fontId="2" fillId="0" borderId="0" xfId="0" applyFont="1" applyFill="1" applyBorder="1" applyAlignment="1">
      <alignment horizontal="left" vertical="center"/>
    </xf>
    <xf numFmtId="10" fontId="35" fillId="14" borderId="30" xfId="0" applyNumberFormat="1" applyFont="1" applyFill="1" applyBorder="1" applyAlignment="1">
      <alignment horizontal="center" vertical="center" wrapText="1"/>
    </xf>
    <xf numFmtId="10" fontId="23" fillId="14" borderId="27" xfId="2" applyNumberFormat="1" applyFont="1" applyFill="1" applyBorder="1" applyAlignment="1">
      <alignment vertical="center"/>
    </xf>
    <xf numFmtId="10" fontId="23" fillId="14" borderId="28" xfId="2" applyNumberFormat="1" applyFont="1" applyFill="1" applyBorder="1" applyAlignment="1">
      <alignment vertical="center"/>
    </xf>
    <xf numFmtId="10" fontId="8" fillId="14" borderId="28" xfId="2" applyNumberFormat="1" applyFont="1" applyFill="1" applyBorder="1" applyAlignment="1">
      <alignment vertical="center"/>
    </xf>
    <xf numFmtId="9" fontId="0" fillId="0" borderId="26" xfId="2" applyFont="1" applyBorder="1" applyAlignment="1">
      <alignment vertical="center"/>
    </xf>
    <xf numFmtId="0" fontId="0" fillId="0" borderId="74" xfId="0" applyBorder="1" applyAlignment="1">
      <alignment vertical="center"/>
    </xf>
    <xf numFmtId="0" fontId="0" fillId="0" borderId="74" xfId="0" applyFill="1" applyBorder="1" applyAlignment="1">
      <alignment vertical="center"/>
    </xf>
    <xf numFmtId="0" fontId="0" fillId="17" borderId="26" xfId="0" applyFill="1" applyBorder="1" applyAlignment="1">
      <alignment vertical="center"/>
    </xf>
    <xf numFmtId="0" fontId="0" fillId="6" borderId="34" xfId="0" applyFill="1" applyBorder="1" applyAlignment="1">
      <alignment vertical="center"/>
    </xf>
    <xf numFmtId="0" fontId="2" fillId="2" borderId="26" xfId="0" applyFont="1" applyFill="1" applyBorder="1" applyAlignment="1">
      <alignment horizontal="center" vertical="center" wrapText="1"/>
    </xf>
    <xf numFmtId="0" fontId="2" fillId="0" borderId="0" xfId="0" applyFont="1" applyAlignment="1">
      <alignment horizontal="center" vertical="center" wrapText="1"/>
    </xf>
    <xf numFmtId="0" fontId="0" fillId="2" borderId="40" xfId="0" applyFill="1" applyBorder="1" applyAlignment="1">
      <alignment horizontal="center" vertical="center" wrapText="1"/>
    </xf>
    <xf numFmtId="0" fontId="0" fillId="2" borderId="22" xfId="0" applyFill="1" applyBorder="1" applyAlignment="1">
      <alignment horizontal="center" vertical="center" wrapText="1"/>
    </xf>
    <xf numFmtId="0" fontId="0" fillId="2" borderId="72" xfId="0" applyFill="1" applyBorder="1" applyAlignment="1">
      <alignment horizontal="center" vertical="center" wrapText="1"/>
    </xf>
    <xf numFmtId="0" fontId="0" fillId="2" borderId="73" xfId="0" applyFill="1" applyBorder="1" applyAlignment="1">
      <alignment horizontal="center" vertical="center" wrapText="1"/>
    </xf>
    <xf numFmtId="0" fontId="0" fillId="2" borderId="75" xfId="0" applyFill="1" applyBorder="1" applyAlignment="1">
      <alignment horizontal="center" vertical="center" wrapText="1"/>
    </xf>
    <xf numFmtId="0" fontId="0" fillId="2" borderId="70" xfId="0" applyFill="1" applyBorder="1" applyAlignment="1">
      <alignment horizontal="center" vertical="center" wrapText="1"/>
    </xf>
    <xf numFmtId="0" fontId="0" fillId="0" borderId="0" xfId="0" applyAlignment="1">
      <alignment horizontal="center" vertical="center" wrapText="1"/>
    </xf>
    <xf numFmtId="0" fontId="0" fillId="2" borderId="8" xfId="0" applyFill="1" applyBorder="1" applyAlignment="1">
      <alignment horizontal="center" vertical="center" wrapText="1"/>
    </xf>
    <xf numFmtId="0" fontId="0" fillId="2" borderId="20" xfId="0" applyFill="1" applyBorder="1" applyAlignment="1">
      <alignment horizontal="center" vertical="center" wrapText="1"/>
    </xf>
    <xf numFmtId="0" fontId="0" fillId="2" borderId="57" xfId="0" applyFill="1" applyBorder="1" applyAlignment="1">
      <alignment horizontal="center" vertical="center" wrapText="1"/>
    </xf>
    <xf numFmtId="0" fontId="0" fillId="0" borderId="11" xfId="0" applyFill="1" applyBorder="1" applyAlignment="1">
      <alignment vertical="center"/>
    </xf>
    <xf numFmtId="2" fontId="0" fillId="14" borderId="30" xfId="0" applyNumberFormat="1" applyFill="1" applyBorder="1" applyAlignment="1">
      <alignment vertical="center"/>
    </xf>
    <xf numFmtId="9" fontId="28" fillId="16" borderId="61" xfId="2" applyFont="1" applyFill="1" applyBorder="1" applyAlignment="1" applyProtection="1">
      <alignment vertical="center"/>
      <protection locked="0"/>
    </xf>
    <xf numFmtId="9" fontId="0" fillId="5" borderId="11" xfId="2" applyFont="1" applyFill="1" applyBorder="1" applyAlignment="1" applyProtection="1">
      <alignment vertical="center"/>
      <protection locked="0"/>
    </xf>
    <xf numFmtId="9" fontId="0" fillId="0" borderId="25" xfId="2" applyFont="1" applyBorder="1" applyAlignment="1">
      <alignment vertical="center"/>
    </xf>
    <xf numFmtId="0" fontId="0" fillId="5" borderId="25" xfId="0" applyFill="1" applyBorder="1" applyAlignment="1" applyProtection="1">
      <alignment vertical="center"/>
      <protection locked="0"/>
    </xf>
    <xf numFmtId="0" fontId="0" fillId="0" borderId="39" xfId="0" applyFill="1" applyBorder="1" applyAlignment="1">
      <alignment vertical="center"/>
    </xf>
    <xf numFmtId="9" fontId="0" fillId="5" borderId="39" xfId="0" applyNumberFormat="1" applyFill="1" applyBorder="1" applyAlignment="1" applyProtection="1">
      <alignment vertical="center"/>
      <protection locked="0"/>
    </xf>
    <xf numFmtId="0" fontId="0" fillId="0" borderId="25" xfId="0" applyBorder="1" applyAlignment="1">
      <alignment vertical="center"/>
    </xf>
    <xf numFmtId="0" fontId="0" fillId="0" borderId="2" xfId="0" applyBorder="1" applyAlignment="1">
      <alignment vertical="center"/>
    </xf>
    <xf numFmtId="9" fontId="0" fillId="0" borderId="1" xfId="2" applyFont="1" applyBorder="1" applyAlignment="1">
      <alignment vertical="center"/>
    </xf>
    <xf numFmtId="0" fontId="0" fillId="5" borderId="3" xfId="0" applyFill="1" applyBorder="1" applyAlignment="1" applyProtection="1">
      <alignment vertical="center"/>
      <protection locked="0"/>
    </xf>
    <xf numFmtId="0" fontId="0" fillId="0" borderId="2" xfId="0" applyFill="1" applyBorder="1" applyAlignment="1">
      <alignment vertical="center"/>
    </xf>
    <xf numFmtId="9" fontId="0" fillId="5" borderId="2" xfId="0" applyNumberFormat="1" applyFill="1" applyBorder="1" applyAlignment="1" applyProtection="1">
      <alignment vertical="center"/>
      <protection locked="0"/>
    </xf>
    <xf numFmtId="0" fontId="0" fillId="0" borderId="1" xfId="0" applyBorder="1" applyAlignment="1">
      <alignment vertical="center"/>
    </xf>
    <xf numFmtId="0" fontId="0" fillId="14" borderId="1" xfId="0" applyFill="1" applyBorder="1" applyAlignment="1">
      <alignment vertical="center"/>
    </xf>
    <xf numFmtId="0" fontId="0" fillId="0" borderId="8" xfId="0" applyBorder="1" applyAlignment="1">
      <alignment vertical="center"/>
    </xf>
    <xf numFmtId="0" fontId="0" fillId="14" borderId="20" xfId="0" applyFill="1" applyBorder="1" applyAlignment="1">
      <alignment vertical="center"/>
    </xf>
    <xf numFmtId="9" fontId="0" fillId="5" borderId="8" xfId="2" applyFont="1" applyFill="1" applyBorder="1" applyAlignment="1" applyProtection="1">
      <alignment vertical="center"/>
      <protection locked="0"/>
    </xf>
    <xf numFmtId="9" fontId="0" fillId="5" borderId="20" xfId="2" applyFont="1" applyFill="1" applyBorder="1" applyAlignment="1" applyProtection="1">
      <alignment vertical="center"/>
      <protection locked="0"/>
    </xf>
    <xf numFmtId="9" fontId="0" fillId="0" borderId="20" xfId="2" applyFont="1" applyBorder="1" applyAlignment="1">
      <alignment vertical="center"/>
    </xf>
    <xf numFmtId="0" fontId="0" fillId="5" borderId="20" xfId="0" applyFill="1" applyBorder="1" applyAlignment="1" applyProtection="1">
      <alignment vertical="center"/>
      <protection locked="0"/>
    </xf>
    <xf numFmtId="0" fontId="0" fillId="5" borderId="70" xfId="0" applyFill="1" applyBorder="1" applyAlignment="1" applyProtection="1">
      <alignment vertical="center"/>
      <protection locked="0"/>
    </xf>
    <xf numFmtId="0" fontId="0" fillId="0" borderId="8" xfId="0" applyFill="1" applyBorder="1" applyAlignment="1">
      <alignment vertical="center"/>
    </xf>
    <xf numFmtId="9" fontId="0" fillId="5" borderId="8" xfId="0" applyNumberFormat="1" applyFill="1" applyBorder="1" applyAlignment="1" applyProtection="1">
      <alignment vertical="center"/>
      <protection locked="0"/>
    </xf>
    <xf numFmtId="0" fontId="0" fillId="0" borderId="20" xfId="0" applyBorder="1" applyAlignment="1">
      <alignment vertical="center"/>
    </xf>
    <xf numFmtId="0" fontId="1" fillId="7" borderId="0" xfId="0" applyFont="1" applyFill="1" applyBorder="1" applyAlignment="1">
      <alignment vertical="center"/>
    </xf>
    <xf numFmtId="3" fontId="1" fillId="7" borderId="0" xfId="0" applyNumberFormat="1" applyFont="1" applyFill="1" applyAlignment="1">
      <alignment vertical="center"/>
    </xf>
    <xf numFmtId="170" fontId="1" fillId="7" borderId="0" xfId="0" applyNumberFormat="1" applyFont="1" applyFill="1" applyAlignment="1">
      <alignment vertical="center"/>
    </xf>
    <xf numFmtId="3" fontId="1" fillId="7" borderId="0" xfId="0" applyNumberFormat="1" applyFont="1" applyFill="1" applyBorder="1" applyAlignment="1">
      <alignment vertical="center"/>
    </xf>
    <xf numFmtId="3" fontId="1" fillId="14" borderId="0" xfId="0" applyNumberFormat="1" applyFont="1" applyFill="1" applyAlignment="1">
      <alignment vertical="center"/>
    </xf>
    <xf numFmtId="0" fontId="1" fillId="7" borderId="0" xfId="0" applyFont="1" applyFill="1" applyAlignment="1">
      <alignment vertical="center"/>
    </xf>
    <xf numFmtId="3" fontId="2" fillId="7" borderId="0" xfId="0" applyNumberFormat="1" applyFont="1" applyFill="1" applyAlignment="1">
      <alignment vertical="center"/>
    </xf>
    <xf numFmtId="3" fontId="2" fillId="7" borderId="0" xfId="0" applyNumberFormat="1" applyFont="1" applyFill="1" applyBorder="1" applyAlignment="1">
      <alignment horizontal="left" vertical="center"/>
    </xf>
    <xf numFmtId="170" fontId="2" fillId="7" borderId="0" xfId="0" applyNumberFormat="1" applyFont="1" applyFill="1" applyBorder="1" applyAlignment="1">
      <alignment horizontal="left" vertical="center"/>
    </xf>
    <xf numFmtId="3" fontId="2" fillId="7" borderId="45" xfId="0" applyNumberFormat="1" applyFont="1" applyFill="1" applyBorder="1" applyAlignment="1">
      <alignment vertical="center"/>
    </xf>
    <xf numFmtId="3" fontId="2" fillId="7" borderId="46" xfId="0" applyNumberFormat="1" applyFont="1" applyFill="1" applyBorder="1" applyAlignment="1">
      <alignment vertical="center"/>
    </xf>
    <xf numFmtId="3" fontId="2" fillId="7" borderId="34" xfId="0" applyNumberFormat="1" applyFont="1" applyFill="1" applyBorder="1" applyAlignment="1">
      <alignment vertical="center"/>
    </xf>
    <xf numFmtId="3" fontId="15" fillId="7" borderId="0" xfId="0" applyNumberFormat="1" applyFont="1" applyFill="1" applyAlignment="1">
      <alignment vertical="center"/>
    </xf>
    <xf numFmtId="3" fontId="1" fillId="11" borderId="0" xfId="0" applyNumberFormat="1" applyFont="1" applyFill="1" applyBorder="1" applyAlignment="1">
      <alignment vertical="center"/>
    </xf>
    <xf numFmtId="0" fontId="2" fillId="7" borderId="0" xfId="0" applyFont="1" applyFill="1" applyAlignment="1">
      <alignment vertical="center" wrapText="1"/>
    </xf>
    <xf numFmtId="0" fontId="1" fillId="14" borderId="0" xfId="0" applyFont="1" applyFill="1" applyAlignment="1">
      <alignment vertical="center"/>
    </xf>
    <xf numFmtId="0" fontId="1" fillId="7" borderId="0" xfId="0" applyFont="1" applyFill="1" applyAlignment="1">
      <alignment vertical="center" wrapText="1"/>
    </xf>
    <xf numFmtId="3" fontId="1" fillId="0" borderId="0" xfId="0" applyNumberFormat="1" applyFont="1" applyAlignment="1">
      <alignment vertical="center"/>
    </xf>
    <xf numFmtId="3" fontId="2" fillId="11" borderId="0" xfId="0" applyNumberFormat="1" applyFont="1" applyFill="1" applyBorder="1" applyAlignment="1">
      <alignment vertical="center"/>
    </xf>
    <xf numFmtId="170" fontId="1" fillId="11" borderId="0" xfId="0" applyNumberFormat="1" applyFont="1" applyFill="1" applyBorder="1" applyAlignment="1">
      <alignment horizontal="center" vertical="center"/>
    </xf>
    <xf numFmtId="3" fontId="1" fillId="11" borderId="0" xfId="0" applyNumberFormat="1" applyFont="1" applyFill="1" applyBorder="1" applyAlignment="1">
      <alignment horizontal="center" vertical="center"/>
    </xf>
    <xf numFmtId="3" fontId="1" fillId="2" borderId="49" xfId="0" applyNumberFormat="1" applyFont="1" applyFill="1" applyBorder="1" applyAlignment="1">
      <alignment horizontal="center" vertical="center" wrapText="1"/>
    </xf>
    <xf numFmtId="3" fontId="1" fillId="2" borderId="7" xfId="0" applyNumberFormat="1" applyFont="1" applyFill="1" applyBorder="1" applyAlignment="1">
      <alignment horizontal="center" vertical="center" wrapText="1"/>
    </xf>
    <xf numFmtId="3" fontId="1" fillId="2" borderId="12" xfId="0" applyNumberFormat="1" applyFont="1" applyFill="1" applyBorder="1" applyAlignment="1">
      <alignment horizontal="center" vertical="center" wrapText="1"/>
    </xf>
    <xf numFmtId="3" fontId="1" fillId="2" borderId="1" xfId="0" applyNumberFormat="1" applyFont="1" applyFill="1" applyBorder="1" applyAlignment="1">
      <alignment horizontal="center" vertical="center" wrapText="1"/>
    </xf>
    <xf numFmtId="3" fontId="1" fillId="2" borderId="22" xfId="0" applyNumberFormat="1" applyFont="1" applyFill="1" applyBorder="1" applyAlignment="1">
      <alignment horizontal="center" vertical="center" wrapText="1"/>
    </xf>
    <xf numFmtId="3" fontId="1" fillId="2" borderId="0" xfId="0" applyNumberFormat="1" applyFont="1" applyFill="1" applyBorder="1" applyAlignment="1">
      <alignment horizontal="center" vertical="center" wrapText="1"/>
    </xf>
    <xf numFmtId="3" fontId="1" fillId="11" borderId="0" xfId="0" applyNumberFormat="1" applyFont="1" applyFill="1" applyBorder="1" applyAlignment="1">
      <alignment horizontal="center" vertical="center" wrapText="1"/>
    </xf>
    <xf numFmtId="170" fontId="1" fillId="8" borderId="26" xfId="0" applyNumberFormat="1" applyFont="1" applyFill="1" applyBorder="1" applyAlignment="1">
      <alignment horizontal="center" vertical="center" wrapText="1"/>
    </xf>
    <xf numFmtId="3" fontId="1" fillId="8" borderId="26" xfId="0" applyNumberFormat="1" applyFont="1" applyFill="1" applyBorder="1" applyAlignment="1">
      <alignment horizontal="center" vertical="center" wrapText="1"/>
    </xf>
    <xf numFmtId="3" fontId="1" fillId="2" borderId="8" xfId="0" applyNumberFormat="1" applyFont="1" applyFill="1" applyBorder="1" applyAlignment="1">
      <alignment horizontal="center" vertical="center" wrapText="1"/>
    </xf>
    <xf numFmtId="3" fontId="1" fillId="2" borderId="5" xfId="0" applyNumberFormat="1" applyFont="1" applyFill="1" applyBorder="1" applyAlignment="1">
      <alignment horizontal="center" vertical="center" wrapText="1"/>
    </xf>
    <xf numFmtId="3" fontId="1" fillId="2" borderId="6" xfId="0" applyNumberFormat="1" applyFont="1" applyFill="1" applyBorder="1" applyAlignment="1">
      <alignment horizontal="center" vertical="center" wrapText="1"/>
    </xf>
    <xf numFmtId="3" fontId="1" fillId="2" borderId="20" xfId="0" applyNumberFormat="1" applyFont="1" applyFill="1" applyBorder="1" applyAlignment="1">
      <alignment horizontal="center" vertical="center" wrapText="1"/>
    </xf>
    <xf numFmtId="3" fontId="1" fillId="2" borderId="62" xfId="0" applyNumberFormat="1" applyFont="1" applyFill="1" applyBorder="1" applyAlignment="1">
      <alignment horizontal="center" vertical="center" wrapText="1"/>
    </xf>
    <xf numFmtId="3" fontId="1" fillId="0" borderId="35" xfId="0" applyNumberFormat="1" applyFont="1" applyBorder="1" applyAlignment="1">
      <alignment vertical="center" wrapText="1"/>
    </xf>
    <xf numFmtId="3" fontId="1" fillId="0" borderId="27" xfId="0" applyNumberFormat="1" applyFont="1" applyBorder="1" applyAlignment="1">
      <alignment vertical="center" wrapText="1"/>
    </xf>
    <xf numFmtId="3" fontId="1" fillId="0" borderId="28" xfId="0" applyNumberFormat="1" applyFont="1" applyBorder="1" applyAlignment="1">
      <alignment vertical="center" wrapText="1"/>
    </xf>
    <xf numFmtId="3" fontId="1" fillId="0" borderId="26" xfId="0" applyNumberFormat="1" applyFont="1" applyBorder="1" applyAlignment="1">
      <alignment vertical="center" wrapText="1"/>
    </xf>
    <xf numFmtId="3" fontId="1" fillId="0" borderId="52" xfId="0" applyNumberFormat="1" applyFont="1" applyBorder="1" applyAlignment="1">
      <alignment vertical="center" wrapText="1"/>
    </xf>
    <xf numFmtId="3" fontId="1" fillId="0" borderId="36" xfId="0" applyNumberFormat="1" applyFont="1" applyBorder="1" applyAlignment="1">
      <alignment vertical="center" wrapText="1"/>
    </xf>
    <xf numFmtId="3" fontId="1" fillId="11" borderId="0" xfId="0" applyNumberFormat="1" applyFont="1" applyFill="1" applyBorder="1" applyAlignment="1">
      <alignment vertical="center" wrapText="1"/>
    </xf>
    <xf numFmtId="170" fontId="1" fillId="0" borderId="22" xfId="0" applyNumberFormat="1" applyFont="1" applyFill="1" applyBorder="1" applyAlignment="1">
      <alignment vertical="center" wrapText="1"/>
    </xf>
    <xf numFmtId="3" fontId="1" fillId="0" borderId="22" xfId="0" applyNumberFormat="1" applyFont="1" applyFill="1" applyBorder="1" applyAlignment="1">
      <alignment vertical="center" wrapText="1"/>
    </xf>
    <xf numFmtId="1" fontId="1" fillId="0" borderId="25" xfId="0" applyNumberFormat="1" applyFont="1" applyFill="1" applyBorder="1" applyAlignment="1" applyProtection="1">
      <alignment vertical="center"/>
      <protection locked="0"/>
    </xf>
    <xf numFmtId="3" fontId="1" fillId="0" borderId="56" xfId="0" applyNumberFormat="1" applyFont="1" applyFill="1" applyBorder="1" applyAlignment="1">
      <alignment vertical="center"/>
    </xf>
    <xf numFmtId="3" fontId="1" fillId="0" borderId="51" xfId="0" applyNumberFormat="1" applyFont="1" applyFill="1" applyBorder="1" applyAlignment="1">
      <alignment vertical="center"/>
    </xf>
    <xf numFmtId="3" fontId="1" fillId="0" borderId="25" xfId="0" applyNumberFormat="1" applyFont="1" applyFill="1" applyBorder="1" applyAlignment="1">
      <alignment vertical="center"/>
    </xf>
    <xf numFmtId="3" fontId="1" fillId="0" borderId="3" xfId="0" applyNumberFormat="1" applyFont="1" applyFill="1" applyBorder="1" applyAlignment="1">
      <alignment vertical="center"/>
    </xf>
    <xf numFmtId="3" fontId="1" fillId="0" borderId="47" xfId="0" applyNumberFormat="1" applyFont="1" applyFill="1" applyBorder="1" applyAlignment="1">
      <alignment vertical="center"/>
    </xf>
    <xf numFmtId="3" fontId="1" fillId="0" borderId="25" xfId="0" applyNumberFormat="1" applyFont="1" applyFill="1" applyBorder="1" applyAlignment="1" applyProtection="1">
      <alignment vertical="center"/>
    </xf>
    <xf numFmtId="170" fontId="1" fillId="8" borderId="25" xfId="0" applyNumberFormat="1" applyFont="1" applyFill="1" applyBorder="1" applyAlignment="1">
      <alignment vertical="center"/>
    </xf>
    <xf numFmtId="3" fontId="1" fillId="8" borderId="25" xfId="0" applyNumberFormat="1" applyFont="1" applyFill="1" applyBorder="1" applyAlignment="1">
      <alignment vertical="center"/>
    </xf>
    <xf numFmtId="1" fontId="1" fillId="0" borderId="1" xfId="0" applyNumberFormat="1" applyFont="1" applyBorder="1" applyAlignment="1">
      <alignment vertical="center"/>
    </xf>
    <xf numFmtId="3" fontId="1" fillId="0" borderId="43" xfId="0" applyNumberFormat="1" applyFont="1" applyFill="1" applyBorder="1" applyAlignment="1">
      <alignment vertical="center"/>
    </xf>
    <xf numFmtId="3" fontId="1" fillId="0" borderId="30" xfId="0" applyNumberFormat="1" applyFont="1" applyFill="1" applyBorder="1" applyAlignment="1">
      <alignment vertical="center"/>
    </xf>
    <xf numFmtId="3" fontId="1" fillId="0" borderId="1" xfId="0" applyNumberFormat="1" applyFont="1" applyFill="1" applyBorder="1" applyAlignment="1">
      <alignment vertical="center"/>
    </xf>
    <xf numFmtId="3" fontId="1" fillId="0" borderId="48" xfId="0" applyNumberFormat="1" applyFont="1" applyFill="1" applyBorder="1" applyAlignment="1">
      <alignment vertical="center"/>
    </xf>
    <xf numFmtId="3" fontId="1" fillId="0" borderId="1" xfId="0" applyNumberFormat="1" applyFont="1" applyFill="1" applyBorder="1" applyAlignment="1" applyProtection="1">
      <alignment vertical="center"/>
    </xf>
    <xf numFmtId="170" fontId="1" fillId="8" borderId="1" xfId="0" applyNumberFormat="1" applyFont="1" applyFill="1" applyBorder="1" applyAlignment="1">
      <alignment vertical="center"/>
    </xf>
    <xf numFmtId="3" fontId="1" fillId="8" borderId="1" xfId="0" applyNumberFormat="1" applyFont="1" applyFill="1" applyBorder="1" applyAlignment="1">
      <alignment vertical="center"/>
    </xf>
    <xf numFmtId="1" fontId="1" fillId="0" borderId="20" xfId="0" applyNumberFormat="1" applyFont="1" applyBorder="1" applyAlignment="1">
      <alignment vertical="center"/>
    </xf>
    <xf numFmtId="3" fontId="1" fillId="0" borderId="63" xfId="0" applyNumberFormat="1" applyFont="1" applyFill="1" applyBorder="1" applyAlignment="1">
      <alignment vertical="center"/>
    </xf>
    <xf numFmtId="3" fontId="1" fillId="0" borderId="6" xfId="0" applyNumberFormat="1" applyFont="1" applyFill="1" applyBorder="1" applyAlignment="1">
      <alignment vertical="center"/>
    </xf>
    <xf numFmtId="3" fontId="1" fillId="0" borderId="20" xfId="0" applyNumberFormat="1" applyFont="1" applyFill="1" applyBorder="1" applyAlignment="1">
      <alignment vertical="center"/>
    </xf>
    <xf numFmtId="3" fontId="1" fillId="0" borderId="20" xfId="0" applyNumberFormat="1" applyFont="1" applyFill="1" applyBorder="1" applyAlignment="1" applyProtection="1">
      <alignment vertical="center"/>
    </xf>
    <xf numFmtId="170" fontId="1" fillId="8" borderId="20" xfId="0" applyNumberFormat="1" applyFont="1" applyFill="1" applyBorder="1" applyAlignment="1">
      <alignment vertical="center"/>
    </xf>
    <xf numFmtId="3" fontId="1" fillId="0" borderId="64" xfId="0" applyNumberFormat="1" applyFont="1" applyFill="1" applyBorder="1" applyAlignment="1">
      <alignment vertical="center"/>
    </xf>
    <xf numFmtId="3" fontId="1" fillId="8" borderId="20" xfId="0" applyNumberFormat="1" applyFont="1" applyFill="1" applyBorder="1" applyAlignment="1">
      <alignment vertical="center"/>
    </xf>
    <xf numFmtId="10" fontId="1" fillId="14" borderId="0" xfId="2" applyNumberFormat="1" applyFont="1" applyFill="1" applyAlignment="1">
      <alignment vertical="center"/>
    </xf>
    <xf numFmtId="0" fontId="21" fillId="2" borderId="0" xfId="0" applyFont="1" applyFill="1" applyAlignment="1">
      <alignment horizontal="center"/>
    </xf>
    <xf numFmtId="0" fontId="22" fillId="2" borderId="0" xfId="0" applyFont="1" applyFill="1" applyAlignment="1">
      <alignment horizontal="center" vertical="top" wrapText="1"/>
    </xf>
    <xf numFmtId="0" fontId="2" fillId="23" borderId="68" xfId="0" applyFont="1" applyFill="1" applyBorder="1" applyAlignment="1">
      <alignment horizontal="left"/>
    </xf>
    <xf numFmtId="0" fontId="2" fillId="23" borderId="42" xfId="0" applyFont="1" applyFill="1" applyBorder="1" applyAlignment="1">
      <alignment horizontal="left"/>
    </xf>
    <xf numFmtId="0" fontId="2" fillId="23" borderId="43" xfId="0" applyFont="1" applyFill="1" applyBorder="1" applyAlignment="1">
      <alignment horizontal="left"/>
    </xf>
    <xf numFmtId="166" fontId="2" fillId="22" borderId="30" xfId="0" applyNumberFormat="1" applyFont="1" applyFill="1" applyBorder="1" applyAlignment="1">
      <alignment horizontal="center"/>
    </xf>
    <xf numFmtId="0" fontId="34" fillId="21" borderId="30" xfId="0" applyFont="1" applyFill="1" applyBorder="1" applyAlignment="1">
      <alignment horizontal="right" wrapText="1" indent="1"/>
    </xf>
    <xf numFmtId="0" fontId="2" fillId="21" borderId="30" xfId="0" applyFont="1" applyFill="1" applyBorder="1" applyAlignment="1">
      <alignment horizontal="left" wrapText="1" indent="1"/>
    </xf>
    <xf numFmtId="0" fontId="2" fillId="22" borderId="15" xfId="0" applyFont="1" applyFill="1" applyBorder="1" applyAlignment="1">
      <alignment horizontal="center" vertical="center" wrapText="1"/>
    </xf>
    <xf numFmtId="0" fontId="2" fillId="22" borderId="12" xfId="0" applyFont="1" applyFill="1" applyBorder="1" applyAlignment="1">
      <alignment horizontal="center" vertical="center" wrapText="1"/>
    </xf>
    <xf numFmtId="0" fontId="2" fillId="22" borderId="79" xfId="0" applyFont="1" applyFill="1" applyBorder="1" applyAlignment="1">
      <alignment horizontal="center" vertical="center" wrapText="1"/>
    </xf>
    <xf numFmtId="0" fontId="2" fillId="5" borderId="45" xfId="0" applyFont="1" applyFill="1" applyBorder="1" applyAlignment="1" applyProtection="1">
      <alignment horizontal="left"/>
      <protection locked="0"/>
    </xf>
    <xf numFmtId="0" fontId="2" fillId="5" borderId="46" xfId="0" applyFont="1" applyFill="1" applyBorder="1" applyAlignment="1" applyProtection="1">
      <alignment horizontal="left"/>
      <protection locked="0"/>
    </xf>
    <xf numFmtId="0" fontId="2" fillId="5" borderId="34" xfId="0" applyFont="1" applyFill="1" applyBorder="1" applyAlignment="1" applyProtection="1">
      <alignment horizontal="left"/>
      <protection locked="0"/>
    </xf>
    <xf numFmtId="0" fontId="2" fillId="5" borderId="40" xfId="0" applyFont="1" applyFill="1" applyBorder="1" applyAlignment="1" applyProtection="1">
      <protection locked="0"/>
    </xf>
    <xf numFmtId="0" fontId="2" fillId="0" borderId="74" xfId="0" applyFont="1" applyBorder="1" applyAlignment="1" applyProtection="1">
      <protection locked="0"/>
    </xf>
    <xf numFmtId="0" fontId="2" fillId="0" borderId="76" xfId="0" applyFont="1" applyBorder="1" applyAlignment="1" applyProtection="1">
      <protection locked="0"/>
    </xf>
    <xf numFmtId="0" fontId="2" fillId="2" borderId="35" xfId="0" applyFont="1" applyFill="1" applyBorder="1" applyAlignment="1">
      <alignment horizontal="center" wrapText="1"/>
    </xf>
    <xf numFmtId="0" fontId="2" fillId="2" borderId="37" xfId="0" applyFont="1" applyFill="1" applyBorder="1" applyAlignment="1">
      <alignment horizontal="center" wrapText="1"/>
    </xf>
    <xf numFmtId="0" fontId="31" fillId="0" borderId="66" xfId="0" applyFont="1" applyFill="1" applyBorder="1" applyAlignment="1">
      <alignment horizontal="center"/>
    </xf>
    <xf numFmtId="0" fontId="31" fillId="0" borderId="46" xfId="0" applyFont="1" applyFill="1" applyBorder="1" applyAlignment="1">
      <alignment horizontal="center"/>
    </xf>
    <xf numFmtId="0" fontId="31" fillId="0" borderId="34" xfId="0" applyFont="1" applyFill="1" applyBorder="1" applyAlignment="1">
      <alignment horizontal="center"/>
    </xf>
    <xf numFmtId="0" fontId="32" fillId="0" borderId="45" xfId="0" applyFont="1" applyBorder="1" applyAlignment="1" applyProtection="1">
      <alignment horizontal="center"/>
      <protection locked="0"/>
    </xf>
    <xf numFmtId="0" fontId="32" fillId="0" borderId="34" xfId="0" applyFont="1" applyBorder="1" applyAlignment="1" applyProtection="1">
      <alignment horizontal="center"/>
      <protection locked="0"/>
    </xf>
    <xf numFmtId="0" fontId="2" fillId="2" borderId="31" xfId="0" applyFont="1" applyFill="1" applyBorder="1" applyAlignment="1">
      <alignment horizontal="center"/>
    </xf>
    <xf numFmtId="0" fontId="2" fillId="2" borderId="33" xfId="0" applyFont="1" applyFill="1" applyBorder="1" applyAlignment="1">
      <alignment horizontal="center"/>
    </xf>
    <xf numFmtId="0" fontId="2" fillId="2" borderId="39" xfId="0" applyFont="1" applyFill="1" applyBorder="1" applyAlignment="1">
      <alignment horizontal="center" wrapText="1"/>
    </xf>
    <xf numFmtId="0" fontId="2" fillId="2" borderId="41" xfId="0" applyFont="1" applyFill="1" applyBorder="1" applyAlignment="1">
      <alignment horizontal="center" wrapText="1"/>
    </xf>
    <xf numFmtId="0" fontId="2" fillId="2" borderId="47" xfId="0" applyFont="1" applyFill="1" applyBorder="1" applyAlignment="1">
      <alignment horizontal="center" wrapText="1"/>
    </xf>
    <xf numFmtId="0" fontId="4" fillId="0" borderId="0" xfId="0" applyFont="1" applyAlignment="1">
      <alignment horizontal="center"/>
    </xf>
    <xf numFmtId="0" fontId="2" fillId="2" borderId="45" xfId="0" applyFont="1" applyFill="1" applyBorder="1" applyAlignment="1">
      <alignment horizontal="center"/>
    </xf>
    <xf numFmtId="0" fontId="2" fillId="2" borderId="46" xfId="0" applyFont="1" applyFill="1" applyBorder="1" applyAlignment="1">
      <alignment horizontal="center"/>
    </xf>
    <xf numFmtId="0" fontId="2" fillId="2" borderId="34" xfId="0" applyFont="1" applyFill="1" applyBorder="1" applyAlignment="1">
      <alignment horizontal="center"/>
    </xf>
    <xf numFmtId="0" fontId="2" fillId="2" borderId="52"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70" xfId="0" applyFont="1" applyFill="1" applyBorder="1" applyAlignment="1">
      <alignment horizontal="center" vertical="center" wrapText="1"/>
    </xf>
    <xf numFmtId="0" fontId="2" fillId="2" borderId="16" xfId="0" applyFont="1" applyFill="1" applyBorder="1" applyAlignment="1">
      <alignment horizontal="center" wrapText="1"/>
    </xf>
    <xf numFmtId="0" fontId="2" fillId="2" borderId="77" xfId="0" applyFont="1" applyFill="1" applyBorder="1" applyAlignment="1">
      <alignment horizontal="center" wrapText="1"/>
    </xf>
    <xf numFmtId="0" fontId="2" fillId="19" borderId="45" xfId="0" applyFont="1" applyFill="1" applyBorder="1" applyAlignment="1">
      <alignment horizontal="center"/>
    </xf>
    <xf numFmtId="0" fontId="2" fillId="19" borderId="46" xfId="0" applyFont="1" applyFill="1" applyBorder="1" applyAlignment="1">
      <alignment horizontal="center"/>
    </xf>
    <xf numFmtId="0" fontId="2" fillId="19" borderId="34" xfId="0" applyFont="1" applyFill="1" applyBorder="1" applyAlignment="1">
      <alignment horizontal="center"/>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6" borderId="45" xfId="0" applyFont="1" applyFill="1" applyBorder="1" applyAlignment="1">
      <alignment horizontal="center" vertical="center"/>
    </xf>
    <xf numFmtId="0" fontId="2" fillId="6" borderId="46"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46" xfId="0" applyFont="1" applyFill="1" applyBorder="1" applyAlignment="1">
      <alignment horizontal="center" vertical="center"/>
    </xf>
    <xf numFmtId="0" fontId="2" fillId="2" borderId="34" xfId="0" applyFont="1" applyFill="1" applyBorder="1" applyAlignment="1">
      <alignment horizontal="center" vertical="center"/>
    </xf>
    <xf numFmtId="0" fontId="2" fillId="0" borderId="45" xfId="0" applyFont="1" applyBorder="1" applyAlignment="1">
      <alignment horizontal="left"/>
    </xf>
    <xf numFmtId="0" fontId="2" fillId="0" borderId="46" xfId="0" applyFont="1" applyBorder="1" applyAlignment="1">
      <alignment horizontal="left"/>
    </xf>
    <xf numFmtId="0" fontId="2" fillId="2" borderId="40" xfId="0" applyFont="1" applyFill="1" applyBorder="1" applyAlignment="1">
      <alignment horizontal="center"/>
    </xf>
    <xf numFmtId="0" fontId="2" fillId="2" borderId="74" xfId="0" applyFont="1" applyFill="1" applyBorder="1" applyAlignment="1">
      <alignment horizontal="center"/>
    </xf>
    <xf numFmtId="0" fontId="2" fillId="2" borderId="76" xfId="0" applyFont="1" applyFill="1" applyBorder="1" applyAlignment="1">
      <alignment horizontal="center"/>
    </xf>
    <xf numFmtId="0" fontId="2" fillId="2" borderId="3" xfId="0" applyFont="1" applyFill="1" applyBorder="1" applyAlignment="1">
      <alignment horizontal="center" vertical="center" wrapText="1"/>
    </xf>
    <xf numFmtId="3" fontId="2" fillId="2" borderId="45" xfId="0" applyNumberFormat="1" applyFont="1" applyFill="1" applyBorder="1" applyAlignment="1">
      <alignment horizontal="center" vertical="center"/>
    </xf>
    <xf numFmtId="3" fontId="2" fillId="2" borderId="46" xfId="0" applyNumberFormat="1" applyFont="1" applyFill="1" applyBorder="1" applyAlignment="1">
      <alignment horizontal="center" vertical="center"/>
    </xf>
    <xf numFmtId="3" fontId="2" fillId="2" borderId="34" xfId="0" applyNumberFormat="1" applyFont="1" applyFill="1" applyBorder="1" applyAlignment="1">
      <alignment horizontal="center" vertical="center"/>
    </xf>
    <xf numFmtId="0" fontId="2" fillId="2" borderId="27" xfId="0" applyFont="1" applyFill="1" applyBorder="1" applyAlignment="1">
      <alignment horizontal="center"/>
    </xf>
    <xf numFmtId="0" fontId="2" fillId="2" borderId="28" xfId="0" applyFont="1" applyFill="1" applyBorder="1" applyAlignment="1">
      <alignment horizontal="center"/>
    </xf>
    <xf numFmtId="0" fontId="2" fillId="2" borderId="66" xfId="0" applyFont="1" applyFill="1" applyBorder="1" applyAlignment="1">
      <alignment horizontal="center"/>
    </xf>
    <xf numFmtId="0" fontId="2" fillId="2" borderId="21" xfId="0" applyFont="1" applyFill="1" applyBorder="1" applyAlignment="1">
      <alignment horizontal="center"/>
    </xf>
    <xf numFmtId="3" fontId="2" fillId="2" borderId="24" xfId="0" applyNumberFormat="1" applyFont="1" applyFill="1" applyBorder="1" applyAlignment="1">
      <alignment horizontal="center"/>
    </xf>
    <xf numFmtId="3" fontId="2" fillId="2" borderId="28" xfId="0" applyNumberFormat="1" applyFont="1" applyFill="1" applyBorder="1" applyAlignment="1">
      <alignment horizontal="center"/>
    </xf>
    <xf numFmtId="3" fontId="2" fillId="2" borderId="21" xfId="0" applyNumberFormat="1" applyFont="1" applyFill="1" applyBorder="1" applyAlignment="1">
      <alignment horizontal="center"/>
    </xf>
    <xf numFmtId="3" fontId="2" fillId="0" borderId="45" xfId="0" applyNumberFormat="1" applyFont="1" applyBorder="1" applyAlignment="1">
      <alignment horizontal="left"/>
    </xf>
    <xf numFmtId="3" fontId="2" fillId="0" borderId="46" xfId="0" applyNumberFormat="1" applyFont="1" applyBorder="1" applyAlignment="1">
      <alignment horizontal="left"/>
    </xf>
    <xf numFmtId="3" fontId="2" fillId="0" borderId="34" xfId="0" applyNumberFormat="1" applyFont="1" applyBorder="1" applyAlignment="1">
      <alignment horizontal="left"/>
    </xf>
    <xf numFmtId="3" fontId="0" fillId="0" borderId="0" xfId="0" applyNumberFormat="1" applyFill="1" applyBorder="1" applyAlignment="1">
      <alignment horizontal="center"/>
    </xf>
    <xf numFmtId="0" fontId="0" fillId="0" borderId="0" xfId="0" applyFill="1" applyBorder="1" applyAlignment="1">
      <alignment horizontal="center"/>
    </xf>
    <xf numFmtId="0" fontId="2" fillId="6" borderId="52" xfId="0" applyFont="1" applyFill="1" applyBorder="1" applyAlignment="1">
      <alignment horizontal="center" wrapText="1"/>
    </xf>
    <xf numFmtId="0" fontId="2" fillId="6" borderId="22" xfId="0" applyFont="1" applyFill="1" applyBorder="1" applyAlignment="1">
      <alignment horizontal="center" wrapText="1"/>
    </xf>
    <xf numFmtId="0" fontId="2" fillId="6" borderId="70" xfId="0" applyFont="1" applyFill="1" applyBorder="1" applyAlignment="1">
      <alignment horizontal="center" wrapText="1"/>
    </xf>
    <xf numFmtId="0" fontId="2" fillId="6" borderId="17" xfId="0" applyFont="1" applyFill="1" applyBorder="1" applyAlignment="1">
      <alignment horizontal="left" vertical="top" wrapText="1"/>
    </xf>
    <xf numFmtId="0" fontId="2" fillId="6" borderId="38" xfId="0" applyFont="1" applyFill="1" applyBorder="1" applyAlignment="1">
      <alignment horizontal="left" vertical="top" wrapText="1"/>
    </xf>
    <xf numFmtId="0" fontId="2" fillId="6" borderId="53" xfId="0" applyFont="1" applyFill="1" applyBorder="1" applyAlignment="1">
      <alignment horizontal="center" vertical="top" wrapText="1"/>
    </xf>
    <xf numFmtId="0" fontId="2" fillId="6" borderId="45" xfId="0" applyFont="1" applyFill="1" applyBorder="1" applyAlignment="1">
      <alignment horizontal="center"/>
    </xf>
    <xf numFmtId="0" fontId="2" fillId="6" borderId="34" xfId="0" applyFont="1" applyFill="1" applyBorder="1" applyAlignment="1">
      <alignment horizontal="center"/>
    </xf>
    <xf numFmtId="0" fontId="8" fillId="6" borderId="46" xfId="0" applyFont="1" applyFill="1" applyBorder="1" applyAlignment="1">
      <alignment horizontal="center"/>
    </xf>
    <xf numFmtId="0" fontId="2" fillId="0" borderId="0" xfId="0" applyFont="1" applyAlignment="1">
      <alignment horizontal="left" wrapText="1" shrinkToFit="1"/>
    </xf>
    <xf numFmtId="0" fontId="2" fillId="6" borderId="39" xfId="0" applyFont="1" applyFill="1" applyBorder="1" applyAlignment="1">
      <alignment horizontal="center"/>
    </xf>
    <xf numFmtId="0" fontId="2" fillId="6" borderId="41" xfId="0" applyFont="1" applyFill="1" applyBorder="1" applyAlignment="1">
      <alignment horizontal="center"/>
    </xf>
    <xf numFmtId="0" fontId="2" fillId="6" borderId="47" xfId="0" applyFont="1" applyFill="1" applyBorder="1" applyAlignment="1">
      <alignment horizontal="center"/>
    </xf>
    <xf numFmtId="0" fontId="8" fillId="0" borderId="45" xfId="0" applyFont="1" applyBorder="1" applyAlignment="1">
      <alignment horizontal="center"/>
    </xf>
    <xf numFmtId="0" fontId="8" fillId="0" borderId="34" xfId="0" applyFont="1" applyBorder="1" applyAlignment="1">
      <alignment horizontal="center"/>
    </xf>
    <xf numFmtId="0" fontId="0" fillId="0" borderId="45" xfId="0" applyBorder="1" applyAlignment="1">
      <alignment horizontal="center"/>
    </xf>
    <xf numFmtId="0" fontId="0" fillId="0" borderId="34" xfId="0" applyBorder="1" applyAlignment="1">
      <alignment horizontal="center"/>
    </xf>
    <xf numFmtId="167" fontId="8" fillId="0" borderId="69" xfId="0" applyNumberFormat="1" applyFont="1" applyBorder="1" applyAlignment="1">
      <alignment horizontal="center"/>
    </xf>
    <xf numFmtId="167" fontId="8" fillId="0" borderId="64" xfId="0" applyNumberFormat="1" applyFont="1" applyBorder="1" applyAlignment="1">
      <alignment horizontal="center"/>
    </xf>
    <xf numFmtId="0" fontId="8" fillId="0" borderId="0" xfId="0" applyFont="1" applyAlignment="1">
      <alignment wrapText="1"/>
    </xf>
    <xf numFmtId="0" fontId="0" fillId="0" borderId="0" xfId="0" applyAlignment="1">
      <alignment wrapText="1"/>
    </xf>
    <xf numFmtId="0" fontId="2" fillId="6" borderId="67" xfId="0" applyFont="1" applyFill="1" applyBorder="1" applyAlignment="1">
      <alignment horizontal="center"/>
    </xf>
    <xf numFmtId="167" fontId="2" fillId="6" borderId="68" xfId="0" applyNumberFormat="1" applyFont="1" applyFill="1" applyBorder="1" applyAlignment="1">
      <alignment horizontal="center"/>
    </xf>
    <xf numFmtId="167" fontId="2" fillId="6" borderId="48" xfId="0" applyNumberFormat="1" applyFont="1" applyFill="1" applyBorder="1" applyAlignment="1">
      <alignment horizontal="center"/>
    </xf>
    <xf numFmtId="167" fontId="8" fillId="0" borderId="68" xfId="0" applyNumberFormat="1" applyFont="1" applyBorder="1" applyAlignment="1">
      <alignment horizontal="center"/>
    </xf>
    <xf numFmtId="167" fontId="8" fillId="0" borderId="48" xfId="0" applyNumberFormat="1" applyFont="1" applyBorder="1" applyAlignment="1">
      <alignment horizontal="center"/>
    </xf>
    <xf numFmtId="0" fontId="2" fillId="6" borderId="2" xfId="0" applyFont="1" applyFill="1" applyBorder="1" applyAlignment="1">
      <alignment horizontal="left" vertical="top" wrapText="1"/>
    </xf>
    <xf numFmtId="0" fontId="2" fillId="6" borderId="42" xfId="0" applyFont="1" applyFill="1" applyBorder="1" applyAlignment="1">
      <alignment horizontal="left" vertical="top" wrapText="1"/>
    </xf>
    <xf numFmtId="0" fontId="2" fillId="6" borderId="48" xfId="0" applyFont="1" applyFill="1" applyBorder="1" applyAlignment="1">
      <alignment horizontal="left" vertical="top" wrapText="1"/>
    </xf>
  </cellXfs>
  <cellStyles count="4">
    <cellStyle name="Comma 2" xfId="1"/>
    <cellStyle name="Normal" xfId="0" builtinId="0"/>
    <cellStyle name="Percent" xfId="2" builtinId="5"/>
    <cellStyle name="Percent 2" xfId="3"/>
  </cellStyles>
  <dxfs count="4">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C6E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aredStrings" Target="sharedStrings.xml"/></Relationships>
</file>

<file path=xl/ctrlProps/ctrlProp1.xml><?xml version="1.0" encoding="utf-8"?>
<formControlPr xmlns="http://schemas.microsoft.com/office/spreadsheetml/2009/9/main" objectType="Drop" dropLines="4" dropStyle="combo" dx="16" fmlaLink="selected" fmlaRange="Defaults!$B$17:$B$20" sel="4" val="0"/>
</file>

<file path=xl/ctrlProps/ctrlProp2.xml><?xml version="1.0" encoding="utf-8"?>
<formControlPr xmlns="http://schemas.microsoft.com/office/spreadsheetml/2009/9/main" objectType="Drop" dropLines="2" dropStyle="combo" dx="16" fmlaLink="Select2" fmlaRange="Defaults!$Q$22:$Q$23" sel="1" val="0"/>
</file>

<file path=xl/ctrlProps/ctrlProp3.xml><?xml version="1.0" encoding="utf-8"?>
<formControlPr xmlns="http://schemas.microsoft.com/office/spreadsheetml/2009/9/main" objectType="Drop" dropLines="41" dropStyle="combo" dx="16" fmlaLink="Select3" fmlaRange="Defaults!$V$8:$V$26" sel="3" val="0"/>
</file>

<file path=xl/ctrlProps/ctrlProp4.xml><?xml version="1.0" encoding="utf-8"?>
<formControlPr xmlns="http://schemas.microsoft.com/office/spreadsheetml/2009/9/main" objectType="Drop" dropLines="2" dropStyle="combo" dx="16" fmlaLink="Select2" fmlaRange="Defaults!$Q$22:$Q$23" sel="1" val="0"/>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9525</xdr:colOff>
      <xdr:row>4</xdr:row>
      <xdr:rowOff>114300</xdr:rowOff>
    </xdr:to>
    <xdr:pic>
      <xdr:nvPicPr>
        <xdr:cNvPr id="11273" name="Picture 3" descr="NGGIP">
          <a:extLst>
            <a:ext uri="{FF2B5EF4-FFF2-40B4-BE49-F238E27FC236}">
              <a16:creationId xmlns:a16="http://schemas.microsoft.com/office/drawing/2014/main" xmlns="" id="{00000000-0008-0000-0000-000009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3825" y="0"/>
          <a:ext cx="6553200" cy="7620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0</xdr:col>
          <xdr:colOff>0</xdr:colOff>
          <xdr:row>11</xdr:row>
          <xdr:rowOff>104775</xdr:rowOff>
        </xdr:from>
        <xdr:to>
          <xdr:col>9</xdr:col>
          <xdr:colOff>352425</xdr:colOff>
          <xdr:row>120</xdr:row>
          <xdr:rowOff>9525</xdr:rowOff>
        </xdr:to>
        <xdr:sp macro="" textlink="">
          <xdr:nvSpPr>
            <xdr:cNvPr id="11268" name="Object 4" hidden="1">
              <a:extLst>
                <a:ext uri="{63B3BB69-23CF-44E3-9099-C40C66FF867C}">
                  <a14:compatExt spid="_x0000_s11268"/>
                </a:ext>
                <a:ext uri="{FF2B5EF4-FFF2-40B4-BE49-F238E27FC236}">
                  <a16:creationId xmlns:a16="http://schemas.microsoft.com/office/drawing/2014/main" xmlns="" id="{00000000-0008-0000-0000-0000042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95250</xdr:colOff>
          <xdr:row>31</xdr:row>
          <xdr:rowOff>0</xdr:rowOff>
        </xdr:from>
        <xdr:to>
          <xdr:col>4</xdr:col>
          <xdr:colOff>0</xdr:colOff>
          <xdr:row>32</xdr:row>
          <xdr:rowOff>57150</xdr:rowOff>
        </xdr:to>
        <xdr:sp macro="" textlink="">
          <xdr:nvSpPr>
            <xdr:cNvPr id="14344" name="Drop Down 8" hidden="1">
              <a:extLst>
                <a:ext uri="{63B3BB69-23CF-44E3-9099-C40C66FF867C}">
                  <a14:compatExt spid="_x0000_s14344"/>
                </a:ext>
                <a:ext uri="{FF2B5EF4-FFF2-40B4-BE49-F238E27FC236}">
                  <a16:creationId xmlns:a16="http://schemas.microsoft.com/office/drawing/2014/main" xmlns="" id="{00000000-0008-0000-0100-000008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12</xdr:row>
          <xdr:rowOff>0</xdr:rowOff>
        </xdr:from>
        <xdr:to>
          <xdr:col>4</xdr:col>
          <xdr:colOff>0</xdr:colOff>
          <xdr:row>13</xdr:row>
          <xdr:rowOff>57150</xdr:rowOff>
        </xdr:to>
        <xdr:sp macro="" textlink="">
          <xdr:nvSpPr>
            <xdr:cNvPr id="14345" name="Drop Down 9" hidden="1">
              <a:extLst>
                <a:ext uri="{63B3BB69-23CF-44E3-9099-C40C66FF867C}">
                  <a14:compatExt spid="_x0000_s14345"/>
                </a:ext>
                <a:ext uri="{FF2B5EF4-FFF2-40B4-BE49-F238E27FC236}">
                  <a16:creationId xmlns:a16="http://schemas.microsoft.com/office/drawing/2014/main" xmlns="" id="{00000000-0008-0000-0100-000009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xdr:row>
          <xdr:rowOff>0</xdr:rowOff>
        </xdr:from>
        <xdr:to>
          <xdr:col>6</xdr:col>
          <xdr:colOff>0</xdr:colOff>
          <xdr:row>5</xdr:row>
          <xdr:rowOff>28575</xdr:rowOff>
        </xdr:to>
        <xdr:sp macro="" textlink="">
          <xdr:nvSpPr>
            <xdr:cNvPr id="14348" name="Drop Down 12" hidden="1">
              <a:extLst>
                <a:ext uri="{63B3BB69-23CF-44E3-9099-C40C66FF867C}">
                  <a14:compatExt spid="_x0000_s14348"/>
                </a:ext>
                <a:ext uri="{FF2B5EF4-FFF2-40B4-BE49-F238E27FC236}">
                  <a16:creationId xmlns:a16="http://schemas.microsoft.com/office/drawing/2014/main" xmlns="" id="{00000000-0008-0000-0100-00000C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xdr:colOff>
          <xdr:row>12</xdr:row>
          <xdr:rowOff>0</xdr:rowOff>
        </xdr:from>
        <xdr:to>
          <xdr:col>8</xdr:col>
          <xdr:colOff>647700</xdr:colOff>
          <xdr:row>13</xdr:row>
          <xdr:rowOff>57150</xdr:rowOff>
        </xdr:to>
        <xdr:sp macro="" textlink="">
          <xdr:nvSpPr>
            <xdr:cNvPr id="14381" name="Drop Down 45" hidden="1">
              <a:extLst>
                <a:ext uri="{63B3BB69-23CF-44E3-9099-C40C66FF867C}">
                  <a14:compatExt spid="_x0000_s14381"/>
                </a:ext>
                <a:ext uri="{FF2B5EF4-FFF2-40B4-BE49-F238E27FC236}">
                  <a16:creationId xmlns:a16="http://schemas.microsoft.com/office/drawing/2014/main" xmlns="" id="{00000000-0008-0000-0100-00002D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12</xdr:col>
      <xdr:colOff>0</xdr:colOff>
      <xdr:row>7</xdr:row>
      <xdr:rowOff>76200</xdr:rowOff>
    </xdr:from>
    <xdr:to>
      <xdr:col>15</xdr:col>
      <xdr:colOff>9525</xdr:colOff>
      <xdr:row>10</xdr:row>
      <xdr:rowOff>114300</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5953125" y="13430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28</xdr:col>
      <xdr:colOff>581025</xdr:colOff>
      <xdr:row>7</xdr:row>
      <xdr:rowOff>66675</xdr:rowOff>
    </xdr:from>
    <xdr:to>
      <xdr:col>32</xdr:col>
      <xdr:colOff>0</xdr:colOff>
      <xdr:row>10</xdr:row>
      <xdr:rowOff>104775</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13887450" y="1333500"/>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5</xdr:row>
      <xdr:rowOff>38100</xdr:rowOff>
    </xdr:from>
    <xdr:to>
      <xdr:col>8</xdr:col>
      <xdr:colOff>0</xdr:colOff>
      <xdr:row>95</xdr:row>
      <xdr:rowOff>19050</xdr:rowOff>
    </xdr:to>
    <xdr:sp macro="" textlink="">
      <xdr:nvSpPr>
        <xdr:cNvPr id="12289" name="Text Box 1">
          <a:extLst>
            <a:ext uri="{FF2B5EF4-FFF2-40B4-BE49-F238E27FC236}">
              <a16:creationId xmlns:a16="http://schemas.microsoft.com/office/drawing/2014/main" xmlns="" id="{00000000-0008-0000-0A00-000001300000}"/>
            </a:ext>
          </a:extLst>
        </xdr:cNvPr>
        <xdr:cNvSpPr txBox="1">
          <a:spLocks noChangeArrowheads="1"/>
        </xdr:cNvSpPr>
      </xdr:nvSpPr>
      <xdr:spPr bwMode="auto">
        <a:xfrm>
          <a:off x="47625" y="695325"/>
          <a:ext cx="5800725" cy="14554200"/>
        </a:xfrm>
        <a:prstGeom prst="rect">
          <a:avLst/>
        </a:prstGeom>
        <a:noFill/>
        <a:ln>
          <a:noFill/>
        </a:ln>
        <a:extLst/>
      </xdr:spPr>
      <xdr:txBody>
        <a:bodyPr vertOverflow="clip" wrap="square" lIns="27432" tIns="22860" rIns="0" bIns="0" anchor="t" upright="1"/>
        <a:lstStyle/>
        <a:p>
          <a:pPr algn="l" rtl="0">
            <a:defRPr sz="1000"/>
          </a:pPr>
          <a:r>
            <a:rPr lang="id-ID" sz="1000" b="1" i="0" u="none" strike="noStrike" baseline="0">
              <a:solidFill>
                <a:srgbClr val="000000"/>
              </a:solidFill>
              <a:latin typeface="Arial"/>
              <a:cs typeface="Arial"/>
            </a:rPr>
            <a:t>Theory and equations</a:t>
          </a:r>
          <a:endParaRPr lang="id-ID" sz="1000" b="0" i="0" u="none" strike="noStrike" baseline="0">
            <a:solidFill>
              <a:srgbClr val="000000"/>
            </a:solidFill>
            <a:latin typeface="Arial"/>
            <a:cs typeface="Arial"/>
          </a:endParaRP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basic equation for the first order decay model is:</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                  DDOCm = DDOCm(0) * e^-kt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where DDOCm(0) is the mass of decomposable degradable organic carbon (DOC) at the start of the reaction, when t=0 and e^-kt=1, k is the reaction constant and t is the time in years. DDOCm is the mass of DDOC at any time.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From equation (I) it is easy to see that at the end of year 1 (going from point 0 to point 1 on the time axis) the mass of DDOC left not decomposed in the SWDS is: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(2)                  DDOCm(1) = DDOCm(0)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and the mass of DDOC decomposed into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and CO</a:t>
          </a:r>
          <a:r>
            <a:rPr lang="id-ID" sz="1000" b="0" i="0" u="none" strike="noStrike" baseline="-25000">
              <a:solidFill>
                <a:srgbClr val="000000"/>
              </a:solidFill>
              <a:latin typeface="Arial"/>
              <a:cs typeface="Arial"/>
            </a:rPr>
            <a:t>2</a:t>
          </a:r>
          <a:r>
            <a:rPr lang="id-ID" sz="1000" b="0" i="0" u="none" strike="noStrike" baseline="0">
              <a:solidFill>
                <a:srgbClr val="000000"/>
              </a:solidFill>
              <a:latin typeface="Arial"/>
              <a:cs typeface="Arial"/>
            </a:rPr>
            <a:t> will be: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(3)                 DDOCmdecomp(1) = DDOCm(0) * (1 -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In a first order reaction, the amount of product (here decomposed DDOCm) is always proportional to the amount of reactant (here DDOCm). This means that it does not matter when the DDOCm was deposited. This also means that when the amount of DDOCm accumulated in the SWDS, plus last year's deposit, is known,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production can be calculated as if every year is year number one in the time series. Then all calculations can be done by equations (2) and (3) in a simple spreadsheet.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default assumption is that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from all the waste deposited each year begins on the 1st of January in the year after deposition. This is the same as an average six month delay until substantial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begins (the time it takes for anaerobic conditions to become well established). However, the worksheet includes the possibility of an earlier start to the reaction, in the year of deposition of the waste. This requires separate calculations for the deposition year. For longer delay times than 6 months, DDOCmd in the columns F and G cells in the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calculating sheets, have to be readdressed one cell down, and the number 13 in exp2 has to be changed to 25 (7 to 18 months delay time).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equations used in these spreadsheets are: (As the mathematics of every waste fraction/category is the same, indexing for fraction/category is omitted for equations 4-9.)</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To calculate mass of decomposable DOC (DDOCm) from amount of waste material (W):</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(4)  DDOCmd(T), = W(T) •  DOC * DOCf    •  MCF</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remaining not decomposed at the end of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(5) DDOCmrem(T) = DDOCmd(T) •  e^(-k • ((13-M)/12)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decomposed during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(6)  DDOCmdec(T) = DDOCmd(T) •  (1 – e^(-k • ((13-M)/12)))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DDOCm accumulated in the SWDS at the end of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(7) DDOCma(T) = DDOCmrem(T) + ( DDOCma(T-1)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total amount of DDOCm decomposed in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(8) DDOCmdecomp(T) = DDOCmdec(T)  + (DDOCma(T-1) •  (1 - e^-k))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from DOC decomposed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(9)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DDOCmdecomp(T)   •  F  • 16/12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(10)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 in year T = (</a:t>
          </a:r>
          <a:r>
            <a:rPr lang="el-GR" sz="1000" b="0" i="0" u="none" strike="noStrike" baseline="0">
              <a:solidFill>
                <a:srgbClr val="000000"/>
              </a:solidFill>
              <a:latin typeface="Arial"/>
              <a:cs typeface="Arial"/>
            </a:rPr>
            <a:t>Σ</a:t>
          </a:r>
          <a:r>
            <a:rPr lang="id-ID" sz="1000" b="0" i="0" u="none" strike="noStrike" baseline="0">
              <a:solidFill>
                <a:srgbClr val="000000"/>
              </a:solidFill>
              <a:latin typeface="Arial"/>
              <a:cs typeface="Arial"/>
            </a:rPr>
            <a:t>xCH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(x,T) – R(T)) •  (1- OX(T))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 Where: </a:t>
          </a:r>
        </a:p>
        <a:p>
          <a:pPr algn="l" rtl="0">
            <a:defRPr sz="1000"/>
          </a:pPr>
          <a:r>
            <a:rPr lang="id-ID" sz="1000" b="0" i="0" u="none" strike="noStrike" baseline="0">
              <a:solidFill>
                <a:srgbClr val="000000"/>
              </a:solidFill>
              <a:latin typeface="Arial"/>
              <a:cs typeface="Arial"/>
            </a:rPr>
            <a:t>          T = the year of inventory</a:t>
          </a:r>
        </a:p>
        <a:p>
          <a:pPr algn="l" rtl="0">
            <a:defRPr sz="1000"/>
          </a:pPr>
          <a:r>
            <a:rPr lang="id-ID" sz="1000" b="0" i="0" u="none" strike="noStrike" baseline="0">
              <a:solidFill>
                <a:srgbClr val="000000"/>
              </a:solidFill>
              <a:latin typeface="Arial"/>
              <a:cs typeface="Arial"/>
            </a:rPr>
            <a:t>          x = material fraction/waste category</a:t>
          </a:r>
        </a:p>
        <a:p>
          <a:pPr algn="l" rtl="0">
            <a:defRPr sz="1000"/>
          </a:pPr>
          <a:r>
            <a:rPr lang="id-ID" sz="1000" b="0" i="0" u="none" strike="noStrike" baseline="0">
              <a:solidFill>
                <a:srgbClr val="000000"/>
              </a:solidFill>
              <a:latin typeface="Arial"/>
              <a:cs typeface="Arial"/>
            </a:rPr>
            <a:t>          W(T) = amount deposited in year T</a:t>
          </a:r>
        </a:p>
        <a:p>
          <a:pPr algn="l" rtl="0">
            <a:defRPr sz="1000"/>
          </a:pPr>
          <a:r>
            <a:rPr lang="id-ID" sz="1000" b="0" i="0" u="none" strike="noStrike" baseline="0">
              <a:solidFill>
                <a:srgbClr val="000000"/>
              </a:solidFill>
              <a:latin typeface="Arial"/>
              <a:cs typeface="Arial"/>
            </a:rPr>
            <a:t>          MCF = Methane Correction Factor</a:t>
          </a:r>
        </a:p>
        <a:p>
          <a:pPr algn="l" rtl="0">
            <a:defRPr sz="1000"/>
          </a:pPr>
          <a:r>
            <a:rPr lang="id-ID" sz="1000" b="0" i="0" u="none" strike="noStrike" baseline="0">
              <a:solidFill>
                <a:srgbClr val="000000"/>
              </a:solidFill>
              <a:latin typeface="Arial"/>
              <a:cs typeface="Arial"/>
            </a:rPr>
            <a:t>          DOC = Degradable organic carbon (under aerobic conditions)</a:t>
          </a:r>
        </a:p>
        <a:p>
          <a:pPr algn="l" rtl="0">
            <a:defRPr sz="1000"/>
          </a:pPr>
          <a:r>
            <a:rPr lang="id-ID" sz="1000" b="0" i="0" u="none" strike="noStrike" baseline="0">
              <a:solidFill>
                <a:srgbClr val="000000"/>
              </a:solidFill>
              <a:latin typeface="Arial"/>
              <a:cs typeface="Arial"/>
            </a:rPr>
            <a:t>          DOCf = Fraction of DOC decomposing under anaerobic conditions</a:t>
          </a:r>
        </a:p>
        <a:p>
          <a:pPr algn="l" rtl="0">
            <a:defRPr sz="1000"/>
          </a:pPr>
          <a:r>
            <a:rPr lang="id-ID" sz="1000" b="0" i="0" u="none" strike="noStrike" baseline="0">
              <a:solidFill>
                <a:srgbClr val="000000"/>
              </a:solidFill>
              <a:latin typeface="Arial"/>
              <a:cs typeface="Arial"/>
            </a:rPr>
            <a:t>          DDOC = Decomposable Degradable Organic Carbon (under anaerobic conditions)</a:t>
          </a:r>
        </a:p>
        <a:p>
          <a:pPr algn="l" rtl="0">
            <a:defRPr sz="1000"/>
          </a:pPr>
          <a:r>
            <a:rPr lang="id-ID" sz="1000" b="0" i="0" u="none" strike="noStrike" baseline="0">
              <a:solidFill>
                <a:srgbClr val="000000"/>
              </a:solidFill>
              <a:latin typeface="Arial"/>
              <a:cs typeface="Arial"/>
            </a:rPr>
            <a:t>          DDOCmd(T) = mass of DDOC deposited year T</a:t>
          </a:r>
        </a:p>
        <a:p>
          <a:pPr algn="l" rtl="0">
            <a:defRPr sz="1000"/>
          </a:pPr>
          <a:r>
            <a:rPr lang="id-ID" sz="1000" b="0" i="0" u="none" strike="noStrike" baseline="0">
              <a:solidFill>
                <a:srgbClr val="000000"/>
              </a:solidFill>
              <a:latin typeface="Arial"/>
              <a:cs typeface="Arial"/>
            </a:rPr>
            <a:t>          DDOCmrem(T) = mass of DDOC deposited in inventory year T, remaining not decomposed at the           </a:t>
          </a:r>
        </a:p>
        <a:p>
          <a:pPr algn="l" rtl="0">
            <a:defRPr sz="1000"/>
          </a:pPr>
          <a:r>
            <a:rPr lang="id-ID" sz="1000" b="0" i="0" u="none" strike="noStrike" baseline="0">
              <a:solidFill>
                <a:srgbClr val="000000"/>
              </a:solidFill>
              <a:latin typeface="Arial"/>
              <a:cs typeface="Arial"/>
            </a:rPr>
            <a:t>                                   end of year.</a:t>
          </a:r>
        </a:p>
        <a:p>
          <a:pPr algn="l" rtl="0">
            <a:defRPr sz="1000"/>
          </a:pPr>
          <a:r>
            <a:rPr lang="id-ID" sz="1000" b="0" i="0" u="none" strike="noStrike" baseline="0">
              <a:solidFill>
                <a:srgbClr val="000000"/>
              </a:solidFill>
              <a:latin typeface="Arial"/>
              <a:cs typeface="Arial"/>
            </a:rPr>
            <a:t>          DDOCmdec(T) = mass of DDOC deposited in inventory year T, decomposed during the year.</a:t>
          </a:r>
        </a:p>
        <a:p>
          <a:pPr algn="l" rtl="0">
            <a:defRPr sz="1000"/>
          </a:pPr>
          <a:r>
            <a:rPr lang="id-ID" sz="1000" b="0" i="0" u="none" strike="noStrike" baseline="0">
              <a:solidFill>
                <a:srgbClr val="000000"/>
              </a:solidFill>
              <a:latin typeface="Arial"/>
              <a:cs typeface="Arial"/>
            </a:rPr>
            <a:t>          DDOCma(T) = total mass of DDOC left not decomposed at end of year T.        </a:t>
          </a:r>
        </a:p>
        <a:p>
          <a:pPr algn="l" rtl="0">
            <a:defRPr sz="1000"/>
          </a:pPr>
          <a:r>
            <a:rPr lang="id-ID" sz="1000" b="0" i="0" u="none" strike="noStrike" baseline="0">
              <a:solidFill>
                <a:srgbClr val="000000"/>
              </a:solidFill>
              <a:latin typeface="Arial"/>
              <a:cs typeface="Arial"/>
            </a:rPr>
            <a:t>          DDOCma(T-1) = total mass of DDOC left not decomposed at end of year T-1.</a:t>
          </a:r>
        </a:p>
        <a:p>
          <a:pPr algn="l" rtl="0">
            <a:defRPr sz="1000"/>
          </a:pPr>
          <a:r>
            <a:rPr lang="id-ID" sz="1000" b="0" i="0" u="none" strike="noStrike" baseline="0">
              <a:solidFill>
                <a:srgbClr val="000000"/>
              </a:solidFill>
              <a:latin typeface="Arial"/>
              <a:cs typeface="Arial"/>
            </a:rPr>
            <a:t>          DDOCmdecomp(T) = total mass of DDOC decomposed in year T.</a:t>
          </a:r>
        </a:p>
        <a:p>
          <a:pPr algn="l" rtl="0">
            <a:defRPr sz="1000"/>
          </a:pPr>
          <a:r>
            <a:rPr lang="id-ID" sz="1000" b="0" i="0" u="none" strike="noStrike" baseline="0">
              <a:solidFill>
                <a:srgbClr val="000000"/>
              </a:solidFill>
              <a:latin typeface="Arial"/>
              <a:cs typeface="Arial"/>
            </a:rPr>
            <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in year T</a:t>
          </a:r>
        </a:p>
        <a:p>
          <a:pPr algn="l" rtl="0">
            <a:defRPr sz="1000"/>
          </a:pPr>
          <a:r>
            <a:rPr lang="id-ID" sz="1000" b="0" i="0" u="none" strike="noStrike" baseline="0">
              <a:solidFill>
                <a:srgbClr val="000000"/>
              </a:solidFill>
              <a:latin typeface="Arial"/>
              <a:cs typeface="Arial"/>
            </a:rPr>
            <a:t>          F = Fraction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by volume in generated landfill gas</a:t>
          </a:r>
        </a:p>
        <a:p>
          <a:pPr algn="l" rtl="0">
            <a:defRPr sz="1000"/>
          </a:pPr>
          <a:r>
            <a:rPr lang="id-ID" sz="1000" b="0" i="0" u="none" strike="noStrike" baseline="0">
              <a:solidFill>
                <a:srgbClr val="000000"/>
              </a:solidFill>
              <a:latin typeface="Arial"/>
              <a:cs typeface="Arial"/>
            </a:rPr>
            <a:t>          16/12 = Molecular weight ratio CH4/C </a:t>
          </a:r>
        </a:p>
        <a:p>
          <a:pPr algn="l" rtl="0">
            <a:defRPr sz="1000"/>
          </a:pPr>
          <a:r>
            <a:rPr lang="id-ID" sz="1000" b="0" i="0" u="none" strike="noStrike" baseline="0">
              <a:solidFill>
                <a:srgbClr val="000000"/>
              </a:solidFill>
              <a:latin typeface="Arial"/>
              <a:cs typeface="Arial"/>
            </a:rPr>
            <a:t>          R(T) = Recovered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in year T</a:t>
          </a:r>
        </a:p>
        <a:p>
          <a:pPr algn="l" rtl="0">
            <a:defRPr sz="1000"/>
          </a:pPr>
          <a:r>
            <a:rPr lang="id-ID" sz="1000" b="0" i="0" u="none" strike="noStrike" baseline="0">
              <a:solidFill>
                <a:srgbClr val="000000"/>
              </a:solidFill>
              <a:latin typeface="Arial"/>
              <a:cs typeface="Arial"/>
            </a:rPr>
            <a:t>          OX(T) = Oxidation factor in year T (fraction)</a:t>
          </a:r>
        </a:p>
        <a:p>
          <a:pPr algn="l" rtl="0">
            <a:defRPr sz="1000"/>
          </a:pPr>
          <a:r>
            <a:rPr lang="id-ID" sz="1000" b="0" i="0" u="none" strike="noStrike" baseline="0">
              <a:solidFill>
                <a:srgbClr val="000000"/>
              </a:solidFill>
              <a:latin typeface="Arial"/>
              <a:cs typeface="Arial"/>
            </a:rPr>
            <a:t>          k = rate of reaction constant </a:t>
          </a:r>
        </a:p>
        <a:p>
          <a:pPr algn="l" rtl="0">
            <a:defRPr sz="1000"/>
          </a:pPr>
          <a:r>
            <a:rPr lang="id-ID" sz="1000" b="0" i="0" u="none" strike="noStrike" baseline="0">
              <a:solidFill>
                <a:srgbClr val="000000"/>
              </a:solidFill>
              <a:latin typeface="Arial"/>
              <a:cs typeface="Arial"/>
            </a:rPr>
            <a:t>          M = Month of reaction start (= delay time + 7)</a:t>
          </a:r>
        </a:p>
        <a:p>
          <a:pPr algn="l" rtl="0">
            <a:defRPr sz="1000"/>
          </a:pPr>
          <a:endParaRPr lang="id-ID" sz="1000" b="0" i="0" u="none" strike="noStrike" baseline="0">
            <a:solidFill>
              <a:srgbClr val="000000"/>
            </a:solidFill>
            <a:latin typeface="Arial"/>
            <a:cs typeface="Aria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C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D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E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F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0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2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3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4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IPCC2006\Volume%205%20Waste\IPCC_Waste_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IZ_GELAMAI/8_RAD%20GRK%20Revisi/Perhitungan%20BAU%20Baseline%20dan%20Mitigasi_Hitung%20Ulang/Limbah/Hitungan%20Limbah_Historis_IW/Kutim/KUTIM_Hitungan%20BaU-skenario-Rekap%20Emis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KUTIM_Hitungan%20BaU-skenario-Rekap%20Emisi_2011-20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row r="41">
          <cell r="E41">
            <v>1.3333333333333333</v>
          </cell>
        </row>
        <row r="43">
          <cell r="E43">
            <v>0</v>
          </cell>
        </row>
      </sheetData>
      <sheetData sheetId="2"/>
      <sheetData sheetId="3"/>
      <sheetData sheetId="4"/>
      <sheetData sheetId="5"/>
      <sheetData sheetId="6"/>
      <sheetData sheetId="7"/>
      <sheetData sheetId="8"/>
      <sheetData sheetId="9"/>
      <sheetData sheetId="10">
        <row r="5">
          <cell r="W5">
            <v>13</v>
          </cell>
        </row>
        <row r="8">
          <cell r="D8">
            <v>0.04</v>
          </cell>
          <cell r="E8" t="str">
            <v>0.03–0.05</v>
          </cell>
          <cell r="F8">
            <v>0.06</v>
          </cell>
          <cell r="G8" t="str">
            <v>0.05–0.07</v>
          </cell>
          <cell r="H8">
            <v>4.4999999999999998E-2</v>
          </cell>
          <cell r="I8" t="str">
            <v>0.04–0.06</v>
          </cell>
          <cell r="J8">
            <v>7.0000000000000007E-2</v>
          </cell>
          <cell r="K8" t="str">
            <v>0.06–0.085</v>
          </cell>
          <cell r="P8">
            <v>0.15</v>
          </cell>
          <cell r="Q8" t="str">
            <v>0.08-0.20</v>
          </cell>
          <cell r="W8">
            <v>18.8</v>
          </cell>
          <cell r="X8">
            <v>3.5</v>
          </cell>
          <cell r="Y8">
            <v>26.2</v>
          </cell>
          <cell r="Z8">
            <v>3.5</v>
          </cell>
          <cell r="AD8">
            <v>1</v>
          </cell>
          <cell r="AE8">
            <v>47</v>
          </cell>
          <cell r="AF8">
            <v>0.55000000000000004</v>
          </cell>
          <cell r="AG8">
            <v>0.55000000000000004</v>
          </cell>
          <cell r="AH8">
            <v>0.14000000000000001</v>
          </cell>
        </row>
        <row r="9">
          <cell r="D9">
            <v>0.02</v>
          </cell>
          <cell r="E9" t="str">
            <v>0.01–0.03</v>
          </cell>
          <cell r="F9">
            <v>0.03</v>
          </cell>
          <cell r="G9" t="str">
            <v>0.02–0.04</v>
          </cell>
          <cell r="H9">
            <v>2.5000000000000001E-2</v>
          </cell>
          <cell r="I9" t="str">
            <v>0.02–0.04</v>
          </cell>
          <cell r="J9">
            <v>3.5000000000000003E-2</v>
          </cell>
          <cell r="K9" t="str">
            <v>0.03–0.05</v>
          </cell>
          <cell r="P9">
            <v>0.2</v>
          </cell>
          <cell r="Q9" t="str">
            <v>0.18-0.22</v>
          </cell>
          <cell r="W9">
            <v>11.3</v>
          </cell>
          <cell r="X9">
            <v>2.5</v>
          </cell>
          <cell r="Y9">
            <v>40.299999999999997</v>
          </cell>
          <cell r="Z9">
            <v>7.9</v>
          </cell>
          <cell r="AD9">
            <v>0.8</v>
          </cell>
          <cell r="AE9">
            <v>37.20000000000001</v>
          </cell>
          <cell r="AF9">
            <v>0.21</v>
          </cell>
          <cell r="AG9">
            <v>0.74</v>
          </cell>
          <cell r="AH9">
            <v>0.15</v>
          </cell>
        </row>
        <row r="10">
          <cell r="D10">
            <v>0.05</v>
          </cell>
          <cell r="E10" t="str">
            <v>0.04–0.06</v>
          </cell>
          <cell r="F10">
            <v>0.1</v>
          </cell>
          <cell r="G10" t="str">
            <v>0.06–0.1</v>
          </cell>
          <cell r="H10">
            <v>6.5000000000000002E-2</v>
          </cell>
          <cell r="I10" t="str">
            <v>0.05–0.08</v>
          </cell>
          <cell r="J10">
            <v>0.17</v>
          </cell>
          <cell r="K10" t="str">
            <v>0.15–0.2</v>
          </cell>
          <cell r="P10">
            <v>0.4</v>
          </cell>
          <cell r="Q10" t="str">
            <v>0.36-0.45</v>
          </cell>
          <cell r="W10">
            <v>12.9</v>
          </cell>
          <cell r="X10">
            <v>2.7</v>
          </cell>
          <cell r="Y10">
            <v>43.5</v>
          </cell>
          <cell r="Z10">
            <v>9.9</v>
          </cell>
          <cell r="AD10">
            <v>0.9</v>
          </cell>
          <cell r="AE10">
            <v>30.099999999999994</v>
          </cell>
          <cell r="AF10">
            <v>0.27</v>
          </cell>
          <cell r="AG10">
            <v>0.59</v>
          </cell>
          <cell r="AH10">
            <v>0.17</v>
          </cell>
        </row>
        <row r="11">
          <cell r="D11">
            <v>0.06</v>
          </cell>
          <cell r="E11" t="str">
            <v>0.05–0.08</v>
          </cell>
          <cell r="F11">
            <v>0.185</v>
          </cell>
          <cell r="G11" t="str">
            <v>0.1–0.2</v>
          </cell>
          <cell r="H11">
            <v>8.5000000000000006E-2</v>
          </cell>
          <cell r="I11" t="str">
            <v>0.07–0.1</v>
          </cell>
          <cell r="J11">
            <v>0.4</v>
          </cell>
          <cell r="K11" t="str">
            <v xml:space="preserve">0.17–0.7 </v>
          </cell>
          <cell r="P11">
            <v>0.43</v>
          </cell>
          <cell r="Q11" t="str">
            <v>0.39-0.46</v>
          </cell>
          <cell r="W11">
            <v>18</v>
          </cell>
          <cell r="X11">
            <v>2.9</v>
          </cell>
          <cell r="Y11">
            <v>41.1</v>
          </cell>
          <cell r="Z11">
            <v>9.8000000000000007</v>
          </cell>
          <cell r="AD11">
            <v>0.6</v>
          </cell>
          <cell r="AE11">
            <v>27.600000000000009</v>
          </cell>
          <cell r="AF11">
            <v>0.42055555555555557</v>
          </cell>
          <cell r="AG11">
            <v>0.676111111111111</v>
          </cell>
          <cell r="AH11">
            <v>0.19</v>
          </cell>
        </row>
        <row r="12">
          <cell r="D12">
            <v>0.05</v>
          </cell>
          <cell r="E12" t="str">
            <v>0.04–0.06</v>
          </cell>
          <cell r="F12">
            <v>0.09</v>
          </cell>
          <cell r="G12" t="str">
            <v>0.08–0.1</v>
          </cell>
          <cell r="H12">
            <v>6.5000000000000002E-2</v>
          </cell>
          <cell r="I12" t="str">
            <v>0.05–0.08</v>
          </cell>
          <cell r="J12">
            <v>0.17</v>
          </cell>
          <cell r="K12" t="str">
            <v>0.15–0.2</v>
          </cell>
          <cell r="P12">
            <v>0.24</v>
          </cell>
          <cell r="Q12" t="str">
            <v>0.20-0.40</v>
          </cell>
          <cell r="W12">
            <v>7.7</v>
          </cell>
          <cell r="X12">
            <v>1.7</v>
          </cell>
          <cell r="Y12">
            <v>53.9</v>
          </cell>
          <cell r="Z12">
            <v>7</v>
          </cell>
          <cell r="AD12">
            <v>1.1000000000000001</v>
          </cell>
          <cell r="AE12">
            <v>28.600000000000009</v>
          </cell>
          <cell r="AF12">
            <v>0.28999999999999998</v>
          </cell>
          <cell r="AG12">
            <v>0.69</v>
          </cell>
          <cell r="AH12">
            <v>0.15</v>
          </cell>
        </row>
        <row r="13">
          <cell r="P13">
            <v>0.24</v>
          </cell>
          <cell r="Q13" t="str">
            <v>0.18-0.32</v>
          </cell>
          <cell r="W13">
            <v>16.8</v>
          </cell>
          <cell r="X13">
            <v>2.5</v>
          </cell>
          <cell r="Y13">
            <v>43.4</v>
          </cell>
          <cell r="Z13">
            <v>6.5</v>
          </cell>
          <cell r="AE13">
            <v>30.799999999999997</v>
          </cell>
          <cell r="AF13">
            <v>0.28999999999999998</v>
          </cell>
          <cell r="AG13">
            <v>0.69</v>
          </cell>
          <cell r="AH13">
            <v>0.17</v>
          </cell>
        </row>
        <row r="14">
          <cell r="P14">
            <v>0.05</v>
          </cell>
          <cell r="Q14" t="str">
            <v>0.04-0.05</v>
          </cell>
          <cell r="W14">
            <v>16.5</v>
          </cell>
          <cell r="X14">
            <v>2.5</v>
          </cell>
          <cell r="Y14">
            <v>51.1</v>
          </cell>
          <cell r="Z14">
            <v>2</v>
          </cell>
          <cell r="AE14">
            <v>27.900000000000006</v>
          </cell>
          <cell r="AF14">
            <v>0.28999999999999998</v>
          </cell>
          <cell r="AG14">
            <v>0.69</v>
          </cell>
          <cell r="AH14">
            <v>0.16</v>
          </cell>
        </row>
        <row r="15">
          <cell r="P15">
            <v>0.39</v>
          </cell>
          <cell r="Q15" t="str">
            <v>0.39</v>
          </cell>
          <cell r="W15">
            <v>25</v>
          </cell>
          <cell r="Y15">
            <v>23</v>
          </cell>
          <cell r="Z15">
            <v>15</v>
          </cell>
          <cell r="AE15">
            <v>37</v>
          </cell>
          <cell r="AF15">
            <v>0.28999999999999998</v>
          </cell>
          <cell r="AG15">
            <v>0.69</v>
          </cell>
          <cell r="AH15">
            <v>0.2</v>
          </cell>
        </row>
        <row r="16">
          <cell r="P16">
            <v>0.18</v>
          </cell>
          <cell r="Q16" t="str">
            <v>0.12-0.28</v>
          </cell>
          <cell r="W16">
            <v>9.8000000000000007</v>
          </cell>
          <cell r="X16">
            <v>1</v>
          </cell>
          <cell r="Y16">
            <v>40.4</v>
          </cell>
          <cell r="Z16">
            <v>4.4000000000000004</v>
          </cell>
          <cell r="AE16">
            <v>44.4</v>
          </cell>
          <cell r="AF16">
            <v>0.28999999999999998</v>
          </cell>
          <cell r="AG16">
            <v>0.69</v>
          </cell>
          <cell r="AH16">
            <v>0.12</v>
          </cell>
        </row>
        <row r="17">
          <cell r="G17">
            <v>2</v>
          </cell>
          <cell r="P17">
            <v>0.15</v>
          </cell>
          <cell r="Q17" t="str">
            <v>0-0.54</v>
          </cell>
          <cell r="W17">
            <v>21.8</v>
          </cell>
          <cell r="X17">
            <v>4.7</v>
          </cell>
          <cell r="Y17">
            <v>30.1</v>
          </cell>
          <cell r="Z17">
            <v>7.5</v>
          </cell>
          <cell r="AD17">
            <v>1.4</v>
          </cell>
          <cell r="AE17">
            <v>34.5</v>
          </cell>
          <cell r="AF17">
            <v>0.38</v>
          </cell>
          <cell r="AG17">
            <v>0.9</v>
          </cell>
          <cell r="AH17">
            <v>0.18</v>
          </cell>
        </row>
        <row r="18">
          <cell r="W18">
            <v>30.6</v>
          </cell>
          <cell r="X18">
            <v>2</v>
          </cell>
          <cell r="Y18">
            <v>23.8</v>
          </cell>
          <cell r="Z18">
            <v>10</v>
          </cell>
          <cell r="AE18">
            <v>33.599999999999994</v>
          </cell>
          <cell r="AF18">
            <v>0.64</v>
          </cell>
          <cell r="AG18">
            <v>0.47</v>
          </cell>
          <cell r="AH18">
            <v>0.21</v>
          </cell>
        </row>
        <row r="19">
          <cell r="W19">
            <v>17</v>
          </cell>
          <cell r="Y19">
            <v>36.9</v>
          </cell>
          <cell r="Z19">
            <v>10.6</v>
          </cell>
          <cell r="AE19">
            <v>35.5</v>
          </cell>
          <cell r="AF19">
            <v>0.52</v>
          </cell>
          <cell r="AG19">
            <v>0.85</v>
          </cell>
          <cell r="AH19">
            <v>0.17</v>
          </cell>
        </row>
        <row r="20">
          <cell r="O20">
            <v>1</v>
          </cell>
          <cell r="W20">
            <v>27.5</v>
          </cell>
          <cell r="Y20">
            <v>24.2</v>
          </cell>
          <cell r="Z20">
            <v>11</v>
          </cell>
          <cell r="AE20">
            <v>37.299999999999997</v>
          </cell>
          <cell r="AF20">
            <v>0.56000000000000005</v>
          </cell>
          <cell r="AG20">
            <v>0.47</v>
          </cell>
          <cell r="AH20">
            <v>0.19</v>
          </cell>
        </row>
        <row r="21">
          <cell r="W21">
            <v>30</v>
          </cell>
          <cell r="Y21">
            <v>36</v>
          </cell>
          <cell r="Z21">
            <v>24</v>
          </cell>
          <cell r="AE21">
            <v>10</v>
          </cell>
          <cell r="AF21">
            <v>0.69</v>
          </cell>
          <cell r="AG21">
            <v>0.85</v>
          </cell>
          <cell r="AH21">
            <v>0.28000000000000003</v>
          </cell>
        </row>
        <row r="22">
          <cell r="W22">
            <v>6</v>
          </cell>
          <cell r="Y22">
            <v>67.5</v>
          </cell>
          <cell r="Z22">
            <v>2.5</v>
          </cell>
          <cell r="AE22">
            <v>24</v>
          </cell>
          <cell r="AF22">
            <v>0.69</v>
          </cell>
          <cell r="AG22">
            <v>0.85</v>
          </cell>
          <cell r="AH22">
            <v>0.14000000000000001</v>
          </cell>
        </row>
        <row r="23">
          <cell r="W23">
            <v>23.2</v>
          </cell>
          <cell r="X23">
            <v>3.9</v>
          </cell>
          <cell r="Y23">
            <v>33.9</v>
          </cell>
          <cell r="Z23">
            <v>6.2</v>
          </cell>
          <cell r="AD23">
            <v>1.4</v>
          </cell>
          <cell r="AE23">
            <v>31.399999999999991</v>
          </cell>
          <cell r="AF23">
            <v>0.65</v>
          </cell>
          <cell r="AG23">
            <v>0.57999999999999996</v>
          </cell>
          <cell r="AH23">
            <v>0.19</v>
          </cell>
        </row>
        <row r="24">
          <cell r="W24">
            <v>13.7</v>
          </cell>
          <cell r="X24">
            <v>2.6</v>
          </cell>
          <cell r="Y24">
            <v>43.8</v>
          </cell>
          <cell r="Z24">
            <v>13.5</v>
          </cell>
          <cell r="AD24">
            <v>1.8</v>
          </cell>
          <cell r="AE24">
            <v>24.600000000000009</v>
          </cell>
          <cell r="AF24">
            <v>0.21</v>
          </cell>
          <cell r="AG24">
            <v>0.5</v>
          </cell>
          <cell r="AH24">
            <v>0.19</v>
          </cell>
        </row>
        <row r="25">
          <cell r="W25">
            <v>17.100000000000001</v>
          </cell>
          <cell r="X25">
            <v>2.6</v>
          </cell>
          <cell r="Y25">
            <v>44.9</v>
          </cell>
          <cell r="Z25">
            <v>4.7</v>
          </cell>
          <cell r="AD25">
            <v>0.7</v>
          </cell>
          <cell r="AE25">
            <v>30</v>
          </cell>
          <cell r="AF25">
            <v>0.26</v>
          </cell>
          <cell r="AG25">
            <v>0.54</v>
          </cell>
          <cell r="AH25">
            <v>0.16</v>
          </cell>
        </row>
        <row r="26">
          <cell r="W26">
            <v>17</v>
          </cell>
          <cell r="X26">
            <v>5.0999999999999996</v>
          </cell>
          <cell r="Y26">
            <v>46.9</v>
          </cell>
          <cell r="Z26">
            <v>2.4</v>
          </cell>
          <cell r="AD26">
            <v>1.9</v>
          </cell>
          <cell r="AE26">
            <v>26.699999999999989</v>
          </cell>
          <cell r="AF26">
            <v>0.49</v>
          </cell>
          <cell r="AG26">
            <v>0.83</v>
          </cell>
          <cell r="AH26">
            <v>0.17</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Frksi pengelolaan smph Mitigasi"/>
      <sheetName val="Rekapitulasi BaU Emisi GRK"/>
      <sheetName val="Rekap Emisi GRK dari Sawit"/>
      <sheetName val="Rekaptlasi Mitigasi Emisi GRK"/>
    </sheetNames>
    <sheetDataSet>
      <sheetData sheetId="0"/>
      <sheetData sheetId="1">
        <row r="30">
          <cell r="C30">
            <v>9.0937228799999996</v>
          </cell>
        </row>
        <row r="31">
          <cell r="C31">
            <v>9.3589770120000004</v>
          </cell>
        </row>
        <row r="32">
          <cell r="C32">
            <v>9.7755055199999994</v>
          </cell>
        </row>
        <row r="33">
          <cell r="C33">
            <v>10.081814555999999</v>
          </cell>
        </row>
        <row r="34">
          <cell r="C34">
            <v>10.375979724000002</v>
          </cell>
        </row>
        <row r="35">
          <cell r="C35">
            <v>10.901741399999999</v>
          </cell>
        </row>
        <row r="36">
          <cell r="C36">
            <v>11.204351796000001</v>
          </cell>
        </row>
        <row r="37">
          <cell r="C37">
            <v>11.510537544</v>
          </cell>
        </row>
        <row r="38">
          <cell r="C38">
            <v>11.818880832</v>
          </cell>
        </row>
        <row r="39">
          <cell r="C39">
            <v>12.127717272</v>
          </cell>
        </row>
        <row r="40">
          <cell r="C40">
            <v>15.758487228</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Rekapitulasi BaU Emisi GRK"/>
      <sheetName val="Rekap BAU_Gabung"/>
      <sheetName val="Rekap BAU Emisi Industri Sawitt"/>
      <sheetName val="Frksi pengelolaan smph Mitigasi"/>
      <sheetName val="Rekaptlasi Mitigasi Emisi GRK"/>
    </sheetNames>
    <sheetDataSet>
      <sheetData sheetId="0"/>
      <sheetData sheetId="1">
        <row r="29">
          <cell r="C29">
            <v>15.095775</v>
          </cell>
        </row>
        <row r="30">
          <cell r="C30">
            <v>15.780527760000002</v>
          </cell>
        </row>
        <row r="31">
          <cell r="C31">
            <v>16.487864640000002</v>
          </cell>
        </row>
        <row r="32">
          <cell r="C32">
            <v>17.202822960000002</v>
          </cell>
        </row>
        <row r="33">
          <cell r="C33">
            <v>17.939244599999999</v>
          </cell>
        </row>
        <row r="34">
          <cell r="C34">
            <v>18.694439639999999</v>
          </cell>
        </row>
        <row r="35">
          <cell r="C35">
            <v>18.780461039999999</v>
          </cell>
        </row>
        <row r="36">
          <cell r="C36">
            <v>19.480792920000003</v>
          </cell>
        </row>
        <row r="37">
          <cell r="C37">
            <v>20.181124799999999</v>
          </cell>
        </row>
        <row r="38">
          <cell r="C38">
            <v>20.881456680000003</v>
          </cell>
        </row>
        <row r="39">
          <cell r="C39">
            <v>21.58178856</v>
          </cell>
        </row>
        <row r="40">
          <cell r="C40">
            <v>22.282120440000003</v>
          </cell>
        </row>
        <row r="41">
          <cell r="C41">
            <v>22.982452320000004</v>
          </cell>
        </row>
        <row r="42">
          <cell r="C42">
            <v>23.6827842</v>
          </cell>
        </row>
        <row r="43">
          <cell r="C43">
            <v>24.383116080000004</v>
          </cell>
        </row>
        <row r="44">
          <cell r="C44">
            <v>25.083447960000001</v>
          </cell>
        </row>
        <row r="45">
          <cell r="C45">
            <v>25.783779840000005</v>
          </cell>
        </row>
        <row r="46">
          <cell r="C46">
            <v>26.484111720000001</v>
          </cell>
        </row>
        <row r="47">
          <cell r="C47">
            <v>27.184443600000002</v>
          </cell>
        </row>
        <row r="48">
          <cell r="C48">
            <v>27.884775480000002</v>
          </cell>
        </row>
      </sheetData>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Microsoft_Word_97_-_2003_Document1.doc"/><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7"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44"/>
    <pageSetUpPr fitToPage="1"/>
  </sheetPr>
  <dimension ref="B7:K135"/>
  <sheetViews>
    <sheetView workbookViewId="0">
      <selection activeCell="B7" sqref="B7:I7"/>
    </sheetView>
  </sheetViews>
  <sheetFormatPr defaultColWidth="11.42578125" defaultRowHeight="12.75"/>
  <cols>
    <col min="1" max="1" width="1.85546875" style="10" customWidth="1"/>
    <col min="2" max="7" width="11.42578125" style="10" customWidth="1"/>
    <col min="8" max="8" width="18.140625" style="10" customWidth="1"/>
    <col min="9" max="16384" width="11.42578125" style="10"/>
  </cols>
  <sheetData>
    <row r="7" spans="2:11" ht="18">
      <c r="B7" s="759" t="s">
        <v>212</v>
      </c>
      <c r="C7" s="759"/>
      <c r="D7" s="759"/>
      <c r="E7" s="759"/>
      <c r="F7" s="759"/>
      <c r="G7" s="759"/>
      <c r="H7" s="759"/>
      <c r="I7" s="759"/>
      <c r="J7" s="395"/>
      <c r="K7" s="395"/>
    </row>
    <row r="8" spans="2:11" s="9" customFormat="1">
      <c r="B8" s="10"/>
      <c r="C8" s="10"/>
      <c r="D8" s="10"/>
      <c r="E8" s="10"/>
      <c r="F8" s="10"/>
      <c r="G8" s="10"/>
      <c r="H8" s="10"/>
      <c r="I8" s="10"/>
      <c r="J8" s="10"/>
      <c r="K8" s="10"/>
    </row>
    <row r="9" spans="2:11" ht="44.1" customHeight="1">
      <c r="B9" s="760" t="s">
        <v>227</v>
      </c>
      <c r="C9" s="760"/>
      <c r="D9" s="760"/>
      <c r="E9" s="760"/>
      <c r="F9" s="760"/>
      <c r="G9" s="760"/>
      <c r="H9" s="760"/>
      <c r="I9" s="760"/>
      <c r="J9" s="396"/>
      <c r="K9" s="396"/>
    </row>
    <row r="10" spans="2:11" ht="14.45" customHeight="1">
      <c r="I10" s="397" t="s">
        <v>213</v>
      </c>
    </row>
    <row r="11" spans="2:11" ht="6.75" customHeight="1"/>
    <row r="135" spans="9:9">
      <c r="I135" s="397"/>
    </row>
  </sheetData>
  <sheetProtection password="CF65" sheet="1" objects="1" scenarios="1"/>
  <customSheetViews>
    <customSheetView guid="{B400968E-E9A7-41C3-9739-36597C9C6BC6}" showRuler="0" topLeftCell="A24">
      <selection activeCell="J28" sqref="J28"/>
      <pageMargins left="0.7" right="0.7" top="0.75" bottom="0.75" header="0.3" footer="0.3"/>
      <pageSetup paperSize="9" orientation="portrait"/>
      <headerFooter alignWithMargins="0"/>
    </customSheetView>
  </customSheetViews>
  <mergeCells count="2">
    <mergeCell ref="B7:I7"/>
    <mergeCell ref="B9:I9"/>
  </mergeCells>
  <phoneticPr fontId="16" type="noConversion"/>
  <pageMargins left="0.75" right="0.75" top="0.75" bottom="0.75" header="0.5" footer="0.5"/>
  <headerFooter alignWithMargins="0">
    <oddFooter>Page &amp;P of &amp;N</oddFooter>
  </headerFooter>
  <drawing r:id="rId1"/>
  <legacyDrawing r:id="rId2"/>
  <oleObjects>
    <mc:AlternateContent xmlns:mc="http://schemas.openxmlformats.org/markup-compatibility/2006">
      <mc:Choice Requires="x14">
        <oleObject progId="Word.Document.8" shapeId="11268" r:id="rId3">
          <objectPr defaultSize="0" autoPict="0" r:id="rId4">
            <anchor moveWithCells="1">
              <from>
                <xdr:col>0</xdr:col>
                <xdr:colOff>0</xdr:colOff>
                <xdr:row>11</xdr:row>
                <xdr:rowOff>104775</xdr:rowOff>
              </from>
              <to>
                <xdr:col>9</xdr:col>
                <xdr:colOff>352425</xdr:colOff>
                <xdr:row>120</xdr:row>
                <xdr:rowOff>9525</xdr:rowOff>
              </to>
            </anchor>
          </objectPr>
        </oleObject>
      </mc:Choice>
      <mc:Fallback>
        <oleObject progId="Word.Document.8" shapeId="11268" r:id="rId3"/>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indexed="34"/>
    <pageSetUpPr fitToPage="1"/>
  </sheetPr>
  <dimension ref="A1:R117"/>
  <sheetViews>
    <sheetView showGridLines="0" tabSelected="1" zoomScalePageLayoutView="150" workbookViewId="0">
      <pane xSplit="2" ySplit="10" topLeftCell="C15" activePane="bottomRight" state="frozen"/>
      <selection pane="topRight"/>
      <selection pane="bottomLeft"/>
      <selection pane="bottomRight" activeCell="E17" sqref="E17:E25"/>
    </sheetView>
  </sheetViews>
  <sheetFormatPr defaultColWidth="11.42578125" defaultRowHeight="12.75"/>
  <cols>
    <col min="1" max="1" width="2.7109375" customWidth="1"/>
    <col min="2" max="2" width="37.85546875" customWidth="1"/>
    <col min="3" max="5" width="10.42578125" customWidth="1"/>
    <col min="6" max="6" width="23.7109375" customWidth="1"/>
    <col min="7" max="7" width="3.42578125" customWidth="1"/>
    <col min="8" max="9" width="11.42578125" customWidth="1"/>
    <col min="10" max="10" width="10.42578125" customWidth="1"/>
    <col min="11" max="11" width="23.7109375" bestFit="1" customWidth="1"/>
    <col min="12" max="12" width="102.7109375" bestFit="1" customWidth="1"/>
    <col min="13" max="13" width="4" customWidth="1"/>
    <col min="14" max="14" width="21" customWidth="1"/>
    <col min="16" max="16" width="4.140625" customWidth="1"/>
    <col min="17" max="17" width="19.7109375" customWidth="1"/>
    <col min="18" max="18" width="10.85546875" customWidth="1"/>
  </cols>
  <sheetData>
    <row r="1" spans="1:18" ht="13.5" thickBot="1"/>
    <row r="2" spans="1:18" ht="16.5" thickBot="1">
      <c r="B2" s="12" t="s">
        <v>14</v>
      </c>
      <c r="C2" s="5" t="s">
        <v>265</v>
      </c>
      <c r="D2" s="770" t="s">
        <v>342</v>
      </c>
      <c r="E2" s="771"/>
      <c r="F2" s="772"/>
    </row>
    <row r="3" spans="1:18" ht="16.5" thickBot="1">
      <c r="B3" s="12"/>
      <c r="C3" s="5" t="s">
        <v>276</v>
      </c>
      <c r="D3" s="770" t="s">
        <v>337</v>
      </c>
      <c r="E3" s="771"/>
      <c r="F3" s="772"/>
    </row>
    <row r="4" spans="1:18" ht="16.5" thickBot="1">
      <c r="B4" s="12"/>
      <c r="C4" s="5" t="s">
        <v>30</v>
      </c>
      <c r="D4" s="770" t="s">
        <v>266</v>
      </c>
      <c r="E4" s="771"/>
      <c r="F4" s="772"/>
    </row>
    <row r="5" spans="1:18" ht="16.5" thickBot="1">
      <c r="B5" s="12"/>
      <c r="C5" s="5" t="s">
        <v>117</v>
      </c>
      <c r="D5" s="773"/>
      <c r="E5" s="774"/>
      <c r="F5" s="775"/>
    </row>
    <row r="6" spans="1:18">
      <c r="B6" s="13" t="s">
        <v>201</v>
      </c>
    </row>
    <row r="7" spans="1:18">
      <c r="B7" s="35" t="s">
        <v>31</v>
      </c>
    </row>
    <row r="8" spans="1:18" ht="13.5" thickBot="1">
      <c r="B8" s="35"/>
    </row>
    <row r="9" spans="1:18" ht="12.75" customHeight="1">
      <c r="A9" s="1"/>
      <c r="C9" s="776" t="s">
        <v>18</v>
      </c>
      <c r="D9" s="777"/>
      <c r="E9" s="783" t="s">
        <v>100</v>
      </c>
      <c r="F9" s="784"/>
      <c r="H9" s="776" t="s">
        <v>18</v>
      </c>
      <c r="I9" s="777"/>
      <c r="J9" s="783" t="s">
        <v>100</v>
      </c>
      <c r="K9" s="784"/>
    </row>
    <row r="10" spans="1:18" ht="13.5" thickBot="1">
      <c r="C10" s="143"/>
      <c r="D10" s="144"/>
      <c r="E10" s="274" t="s">
        <v>13</v>
      </c>
      <c r="F10" s="175" t="s">
        <v>19</v>
      </c>
      <c r="H10" s="143"/>
      <c r="I10" s="144"/>
      <c r="J10" s="274" t="s">
        <v>13</v>
      </c>
      <c r="K10" s="175" t="s">
        <v>19</v>
      </c>
      <c r="L10" s="394" t="s">
        <v>211</v>
      </c>
    </row>
    <row r="11" spans="1:18" ht="13.5" thickBot="1">
      <c r="B11" s="50" t="s">
        <v>90</v>
      </c>
      <c r="C11" s="145"/>
      <c r="D11" s="146">
        <v>1950</v>
      </c>
      <c r="E11" s="148">
        <v>2000</v>
      </c>
      <c r="F11" s="147"/>
      <c r="H11" s="145"/>
      <c r="I11" s="146">
        <f>D11</f>
        <v>1950</v>
      </c>
      <c r="J11" s="148">
        <f>year</f>
        <v>2000</v>
      </c>
      <c r="K11" s="147"/>
    </row>
    <row r="12" spans="1:18" ht="13.5" thickBot="1">
      <c r="B12" s="37"/>
      <c r="C12" s="781" t="s">
        <v>250</v>
      </c>
      <c r="D12" s="782"/>
      <c r="E12" s="781" t="s">
        <v>250</v>
      </c>
      <c r="F12" s="782"/>
      <c r="H12" s="781" t="s">
        <v>251</v>
      </c>
      <c r="I12" s="782"/>
      <c r="J12" s="781" t="s">
        <v>251</v>
      </c>
      <c r="K12" s="782"/>
      <c r="N12" t="s">
        <v>132</v>
      </c>
    </row>
    <row r="13" spans="1:18" ht="13.5" thickBot="1">
      <c r="B13" s="50" t="s">
        <v>131</v>
      </c>
      <c r="C13" s="330"/>
      <c r="D13" s="331"/>
      <c r="E13" s="332"/>
      <c r="F13" s="51"/>
      <c r="H13" s="330"/>
      <c r="I13" s="331"/>
      <c r="J13" s="332"/>
      <c r="K13" s="51"/>
    </row>
    <row r="14" spans="1:18" ht="13.5" thickBot="1">
      <c r="B14" s="50" t="s">
        <v>249</v>
      </c>
      <c r="C14" s="333" t="s">
        <v>113</v>
      </c>
      <c r="D14" s="334" t="s">
        <v>115</v>
      </c>
      <c r="E14" s="386"/>
      <c r="F14" s="178"/>
      <c r="H14" s="333" t="s">
        <v>113</v>
      </c>
      <c r="I14" s="334" t="s">
        <v>115</v>
      </c>
      <c r="J14" s="386"/>
      <c r="K14" s="178"/>
      <c r="N14" s="426" t="s">
        <v>252</v>
      </c>
      <c r="Q14" s="426" t="s">
        <v>253</v>
      </c>
    </row>
    <row r="15" spans="1:18">
      <c r="B15" s="8" t="str">
        <f>IF(Select2=1,"Food waste","Bulk MSW")</f>
        <v>Food waste</v>
      </c>
      <c r="C15" s="185" t="str">
        <f>INDEX(DOC_table,IF(Select2=1,1,14),2)</f>
        <v>0.20-0.50</v>
      </c>
      <c r="D15" s="47">
        <f>INDEX(DOC_table,IF(Select2=1,1,14),1)</f>
        <v>0.38</v>
      </c>
      <c r="E15" s="385">
        <f>D15</f>
        <v>0.38</v>
      </c>
      <c r="F15" s="152"/>
      <c r="H15" s="185" t="str">
        <f>INDEX(DOC_table,IF(Select2=1,1,14),4)</f>
        <v>0.08-0.20</v>
      </c>
      <c r="I15" s="47">
        <f>INDEX(DOC_table,IF(Select2=1,1,14),3)</f>
        <v>0.15</v>
      </c>
      <c r="J15" s="385">
        <f>I15</f>
        <v>0.15</v>
      </c>
      <c r="K15" s="152"/>
      <c r="L15" s="384" t="str">
        <f>IF(Select2=1,"May include garden waste provided that a suitable value of DOC is used","")</f>
        <v>May include garden waste provided that a suitable value of DOC is used</v>
      </c>
      <c r="N15" s="55" t="s">
        <v>6</v>
      </c>
      <c r="O15" s="55">
        <f>IF(Select2=1,E15,0)</f>
        <v>0.38</v>
      </c>
      <c r="Q15" s="55" t="s">
        <v>6</v>
      </c>
      <c r="R15" s="423">
        <f>IF(Select2=1,J15,0)</f>
        <v>0.15</v>
      </c>
    </row>
    <row r="16" spans="1:18">
      <c r="B16" s="8" t="str">
        <f>IF(Select2=1,"Paper/cardboard","Sewage sludge")</f>
        <v>Paper/cardboard</v>
      </c>
      <c r="C16" s="185" t="str">
        <f>INDEX(DOC_table,IF(Select2=1,2,13),2)</f>
        <v>0.40-0.50</v>
      </c>
      <c r="D16" s="47">
        <f>INDEX(DOC_table,IF(Select2=1,2,13),1)</f>
        <v>0.44</v>
      </c>
      <c r="E16" s="291">
        <f>D16</f>
        <v>0.44</v>
      </c>
      <c r="F16" s="271"/>
      <c r="H16" s="185" t="str">
        <f>INDEX(DOC_table,IF(Select2=1,2,13),4)</f>
        <v>0.36-0.45</v>
      </c>
      <c r="I16" s="47">
        <f>INDEX(DOC_table,IF(Select2=1,2,13),3)</f>
        <v>0.4</v>
      </c>
      <c r="J16" s="291">
        <f>I16</f>
        <v>0.4</v>
      </c>
      <c r="K16" s="271"/>
      <c r="L16" s="384"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16" s="446" t="s">
        <v>262</v>
      </c>
      <c r="O16" s="2">
        <f>IF(Select2=1,E16,E63)</f>
        <v>0.44</v>
      </c>
      <c r="Q16" s="446" t="s">
        <v>262</v>
      </c>
      <c r="R16" s="424">
        <f>IF(Select2=1,J16,J63)</f>
        <v>0.4</v>
      </c>
    </row>
    <row r="17" spans="2:18">
      <c r="B17" s="2" t="str">
        <f>IF(Select2=1,"Garden and Park waste","Industrial waste")</f>
        <v>Garden and Park waste</v>
      </c>
      <c r="C17" s="185" t="str">
        <f>INDEX(DOC_table,IF(Select2=1,3,15),2)</f>
        <v>0.45-0.55</v>
      </c>
      <c r="D17" s="47">
        <f>INDEX(DOC_table,IF(Select2=1,3,15),1)</f>
        <v>0.49</v>
      </c>
      <c r="E17" s="291">
        <f t="shared" ref="E17:E25" si="0">D17</f>
        <v>0.49</v>
      </c>
      <c r="F17" s="271"/>
      <c r="H17" s="185" t="str">
        <f>INDEX(DOC_table,IF(Select2=1,3,15),4)</f>
        <v>0.18-0.22</v>
      </c>
      <c r="I17" s="47">
        <f>INDEX(DOC_table,IF(Select2=1,3,15),3)</f>
        <v>0.2</v>
      </c>
      <c r="J17" s="291">
        <f>I17</f>
        <v>0.2</v>
      </c>
      <c r="K17" s="271"/>
      <c r="L17" s="6"/>
      <c r="N17" s="445" t="s">
        <v>261</v>
      </c>
      <c r="O17" s="2">
        <f>IF(Select2=1,E17,E62)</f>
        <v>0.49</v>
      </c>
      <c r="Q17" s="445" t="s">
        <v>261</v>
      </c>
      <c r="R17" s="424">
        <f>IF(Select2=1,J17,J62)</f>
        <v>0.2</v>
      </c>
    </row>
    <row r="18" spans="2:18">
      <c r="B18" s="2" t="str">
        <f>IF(Select2=1,"Textiles","")</f>
        <v>Textiles</v>
      </c>
      <c r="C18" s="186" t="str">
        <f>IF(Select2=1,INDEX(DOC_table,4,2),"")</f>
        <v>0.25-0.50</v>
      </c>
      <c r="D18" s="19">
        <f>IF(Select2=1,INDEX(DOC_table,4,1),"")</f>
        <v>0.3</v>
      </c>
      <c r="E18" s="291">
        <f t="shared" si="0"/>
        <v>0.3</v>
      </c>
      <c r="F18" s="271"/>
      <c r="H18" s="186" t="str">
        <f>IF(Select2=1,INDEX(DOC_table,4,4),"")</f>
        <v>0.20-0.40</v>
      </c>
      <c r="I18" s="19">
        <f>IF(Select2=1,INDEX(DOC_table,4,3),"")</f>
        <v>0.24</v>
      </c>
      <c r="J18" s="291">
        <f>I18</f>
        <v>0.24</v>
      </c>
      <c r="K18" s="271"/>
      <c r="L18" s="6"/>
      <c r="N18" s="2" t="s">
        <v>16</v>
      </c>
      <c r="O18" s="2">
        <f>IF(Select2=1,E18,0)</f>
        <v>0.3</v>
      </c>
      <c r="Q18" s="2" t="s">
        <v>16</v>
      </c>
      <c r="R18" s="424">
        <f>IF(Select2=1,J18,0)</f>
        <v>0.24</v>
      </c>
    </row>
    <row r="19" spans="2:18">
      <c r="B19" s="2" t="str">
        <f>IF(Select2=1,"Rubber and Leather","")</f>
        <v>Rubber and Leather</v>
      </c>
      <c r="C19" s="186" t="str">
        <f>IF(Select2=1,INDEX(DOC_table,5,2),"")</f>
        <v>0.47</v>
      </c>
      <c r="D19" s="19">
        <f>IF(Select2=1,INDEX(DOC_table,5,1),"")</f>
        <v>0.47</v>
      </c>
      <c r="E19" s="291">
        <f t="shared" si="0"/>
        <v>0.47</v>
      </c>
      <c r="F19" s="271"/>
      <c r="H19" s="186" t="str">
        <f>IF(Select2=1,INDEX(DOC_table,5,4),"")</f>
        <v>0.39</v>
      </c>
      <c r="I19" s="19">
        <f>IF(Select2=1,INDEX(DOC_table,5,3),"")</f>
        <v>0.39</v>
      </c>
      <c r="J19" s="291">
        <f t="shared" ref="J19:J25" si="1">I19</f>
        <v>0.39</v>
      </c>
      <c r="K19" s="271"/>
      <c r="L19" s="384" t="str">
        <f>IF(Select2=1,"Natural textiles such as wool and cotton. The default DOC value assumes 40% of textiles are synthetic materials that do not contain DOC","")</f>
        <v>Natural textiles such as wool and cotton. The default DOC value assumes 40% of textiles are synthetic materials that do not contain DOC</v>
      </c>
      <c r="N19" s="2" t="s">
        <v>229</v>
      </c>
      <c r="O19" s="2">
        <f>IF(Select2=1,E19,0)</f>
        <v>0.47</v>
      </c>
      <c r="Q19" s="2" t="s">
        <v>229</v>
      </c>
      <c r="R19" s="424">
        <f>IF(Select2=1,J19,0)</f>
        <v>0.39</v>
      </c>
    </row>
    <row r="20" spans="2:18">
      <c r="B20" s="2" t="str">
        <f>IF(Select2=1,"Wood","")</f>
        <v>Wood</v>
      </c>
      <c r="C20" s="186" t="str">
        <f>IF(Select2=1,INDEX(DOC_table,6,2),"")</f>
        <v>0.46-0.54</v>
      </c>
      <c r="D20" s="19">
        <f>IF(Select2=1,INDEX(DOC_table,6,1),"")</f>
        <v>0.5</v>
      </c>
      <c r="E20" s="291">
        <f t="shared" si="0"/>
        <v>0.5</v>
      </c>
      <c r="F20" s="271"/>
      <c r="H20" s="186" t="str">
        <f>IF(Select2=1,INDEX(DOC_table,6,4),"")</f>
        <v>0.39-0.46</v>
      </c>
      <c r="I20" s="19">
        <f>IF(Select2=1,INDEX(DOC_table,6,3),"")</f>
        <v>0.43</v>
      </c>
      <c r="J20" s="291">
        <f t="shared" si="1"/>
        <v>0.43</v>
      </c>
      <c r="K20" s="271"/>
      <c r="L20" s="581"/>
      <c r="N20" s="444" t="s">
        <v>2</v>
      </c>
      <c r="O20" s="2">
        <f>IF(Select2=1,E20,E64)</f>
        <v>0.5</v>
      </c>
      <c r="Q20" s="444" t="s">
        <v>2</v>
      </c>
      <c r="R20" s="424">
        <f>IF(Select2=1,J20,J64)</f>
        <v>0.43</v>
      </c>
    </row>
    <row r="21" spans="2:18">
      <c r="B21" s="2" t="str">
        <f>IF(Select2=1,"Nappies","")</f>
        <v>Nappies</v>
      </c>
      <c r="C21" s="186" t="str">
        <f>IF(Select2=1,INDEX(DOC_table,7,2),"")</f>
        <v>0.44-0.80</v>
      </c>
      <c r="D21" s="19">
        <f>IF(Select2=1,INDEX(DOC_table,7,1),"")</f>
        <v>0.6</v>
      </c>
      <c r="E21" s="291">
        <f t="shared" si="0"/>
        <v>0.6</v>
      </c>
      <c r="F21" s="271"/>
      <c r="H21" s="186" t="str">
        <f>IF(Select2=1,INDEX(DOC_table,7,4),"")</f>
        <v>0.18-0.32</v>
      </c>
      <c r="I21" s="19">
        <f>IF(Select2=1,INDEX(DOC_table,7,3),"")</f>
        <v>0.24</v>
      </c>
      <c r="J21" s="291">
        <f t="shared" si="1"/>
        <v>0.24</v>
      </c>
      <c r="K21" s="271"/>
      <c r="L21" s="581"/>
      <c r="N21" s="444" t="s">
        <v>267</v>
      </c>
      <c r="O21" s="2">
        <f>IF(Select2=1,E21,0)</f>
        <v>0.6</v>
      </c>
      <c r="Q21" s="444" t="s">
        <v>267</v>
      </c>
      <c r="R21" s="424">
        <f>IF(Select2=1,J21,0)</f>
        <v>0.24</v>
      </c>
    </row>
    <row r="22" spans="2:18">
      <c r="B22" s="166" t="str">
        <f>IF(Select2=1,"Plastics","")</f>
        <v>Plastics</v>
      </c>
      <c r="C22" s="187">
        <f>IF(Select2=1,INDEX(DOC_table,9,2),"")</f>
        <v>0</v>
      </c>
      <c r="D22" s="220">
        <f>IF(Select2=1,INDEX(DOC_table,9,1),"")</f>
        <v>0</v>
      </c>
      <c r="E22" s="291">
        <f t="shared" si="0"/>
        <v>0</v>
      </c>
      <c r="F22" s="271"/>
      <c r="H22" s="187">
        <f>IF(Select2=1,INDEX(DOC_table,9,4),"")</f>
        <v>0</v>
      </c>
      <c r="I22" s="220">
        <f>IF(Select2=1,INDEX(DOC_table,9,3),"")</f>
        <v>0</v>
      </c>
      <c r="J22" s="291">
        <f t="shared" si="1"/>
        <v>0</v>
      </c>
      <c r="K22" s="271"/>
      <c r="L22" s="290"/>
      <c r="N22" s="166" t="s">
        <v>230</v>
      </c>
      <c r="O22" s="2">
        <f>IF(Select2=1,E22,0)</f>
        <v>0</v>
      </c>
      <c r="Q22" s="166" t="s">
        <v>230</v>
      </c>
      <c r="R22" s="424">
        <f>IF(Select2=1,J22,0)</f>
        <v>0</v>
      </c>
    </row>
    <row r="23" spans="2:18">
      <c r="B23" s="166" t="str">
        <f>IF(Select2=1,"Metal","")</f>
        <v>Metal</v>
      </c>
      <c r="C23" s="187">
        <f>IF(Select2=1,INDEX(DOC_table,10,2),"")</f>
        <v>0</v>
      </c>
      <c r="D23" s="220">
        <f>IF(Select2=1,INDEX(DOC_table,10,1),"")</f>
        <v>0</v>
      </c>
      <c r="E23" s="291">
        <f t="shared" si="0"/>
        <v>0</v>
      </c>
      <c r="F23" s="271"/>
      <c r="H23" s="187">
        <f>IF(Select2=1,INDEX(DOC_table,10,4),"")</f>
        <v>0</v>
      </c>
      <c r="I23" s="220">
        <f>IF(Select2=1,INDEX(DOC_table,10,3),"")</f>
        <v>0</v>
      </c>
      <c r="J23" s="291">
        <f t="shared" si="1"/>
        <v>0</v>
      </c>
      <c r="K23" s="271"/>
      <c r="L23" s="290"/>
      <c r="N23" s="166" t="s">
        <v>231</v>
      </c>
      <c r="O23" s="2">
        <f>IF(Select2=1,E23,0)</f>
        <v>0</v>
      </c>
      <c r="Q23" s="166" t="s">
        <v>231</v>
      </c>
      <c r="R23" s="424">
        <f>IF(Select2=1,J23,0)</f>
        <v>0</v>
      </c>
    </row>
    <row r="24" spans="2:18">
      <c r="B24" s="166" t="str">
        <f>IF(Select2=1,"Glass","")</f>
        <v>Glass</v>
      </c>
      <c r="C24" s="187">
        <f>IF(Select2=1,INDEX(DOC_table,11,2),"")</f>
        <v>0</v>
      </c>
      <c r="D24" s="220">
        <f>IF(Select2=1,INDEX(DOC_table,11,1),"")</f>
        <v>0</v>
      </c>
      <c r="E24" s="291">
        <f t="shared" si="0"/>
        <v>0</v>
      </c>
      <c r="F24" s="271"/>
      <c r="H24" s="187">
        <f>IF(Select2=1,INDEX(DOC_table,11,4),"")</f>
        <v>0</v>
      </c>
      <c r="I24" s="220">
        <f>IF(Select2=1,INDEX(DOC_table,11,3),"")</f>
        <v>0</v>
      </c>
      <c r="J24" s="291">
        <f t="shared" si="1"/>
        <v>0</v>
      </c>
      <c r="K24" s="271"/>
      <c r="L24" s="290"/>
      <c r="N24" s="166" t="s">
        <v>232</v>
      </c>
      <c r="O24" s="2">
        <f>IF(Select2=1,E24,0)</f>
        <v>0</v>
      </c>
      <c r="Q24" s="166" t="s">
        <v>232</v>
      </c>
      <c r="R24" s="424">
        <f>IF(Select2=1,J24,0)</f>
        <v>0</v>
      </c>
    </row>
    <row r="25" spans="2:18">
      <c r="B25" s="166" t="str">
        <f>IF(Select2=1,"Other","")</f>
        <v>Other</v>
      </c>
      <c r="C25" s="187">
        <f>IF(Select2=1,INDEX(DOC_table,12,2),"")</f>
        <v>0</v>
      </c>
      <c r="D25" s="220">
        <f>IF(Select2=1,INDEX(DOC_table,12,1),"")</f>
        <v>0</v>
      </c>
      <c r="E25" s="291">
        <f t="shared" si="0"/>
        <v>0</v>
      </c>
      <c r="F25" s="271"/>
      <c r="H25" s="187">
        <f>IF(Select2=1,INDEX(DOC_table,12,4),"")</f>
        <v>0</v>
      </c>
      <c r="I25" s="220">
        <f>IF(Select2=1,INDEX(DOC_table,12,3),"")</f>
        <v>0</v>
      </c>
      <c r="J25" s="291">
        <f t="shared" si="1"/>
        <v>0</v>
      </c>
      <c r="K25" s="271"/>
      <c r="L25" s="290"/>
      <c r="N25" s="166" t="s">
        <v>233</v>
      </c>
      <c r="O25" s="2">
        <f>IF(Select2=1,E25,0)</f>
        <v>0</v>
      </c>
      <c r="Q25" s="166" t="s">
        <v>233</v>
      </c>
      <c r="R25" s="424">
        <f>IF(Select2=1,J25,0)</f>
        <v>0</v>
      </c>
    </row>
    <row r="26" spans="2:18">
      <c r="B26" s="166"/>
      <c r="C26" s="187"/>
      <c r="D26" s="220"/>
      <c r="E26" s="291"/>
      <c r="F26" s="271"/>
      <c r="H26" s="187"/>
      <c r="I26" s="220"/>
      <c r="J26" s="291"/>
      <c r="K26" s="271"/>
      <c r="L26" s="290"/>
      <c r="N26" s="444" t="s">
        <v>204</v>
      </c>
      <c r="O26" s="2">
        <f>IF(Select2=1,0,E15)</f>
        <v>0</v>
      </c>
      <c r="Q26" s="444" t="s">
        <v>204</v>
      </c>
      <c r="R26" s="424">
        <f>IF(Select2=1,0,J15)</f>
        <v>0</v>
      </c>
    </row>
    <row r="27" spans="2:18" ht="13.5" thickBot="1">
      <c r="B27" s="2" t="str">
        <f>IF(Select2=1,"Sewage sludge","")</f>
        <v>Sewage sludge</v>
      </c>
      <c r="C27" s="186" t="str">
        <f>IF(Select2=1,INDEX(DOC_table,13,2),"")</f>
        <v>N.A</v>
      </c>
      <c r="D27" s="465">
        <f>IF(Select2=1,INDEX(DOC_table,13,1),"")</f>
        <v>0</v>
      </c>
      <c r="E27" s="291">
        <f t="shared" ref="E27:E28" si="2">D27</f>
        <v>0</v>
      </c>
      <c r="F27" s="271"/>
      <c r="H27" s="186" t="str">
        <f>IF(Select2=1,INDEX(DOC_table,13,4),"")</f>
        <v>0.04-0.05</v>
      </c>
      <c r="I27" s="19">
        <f>IF(Select2=1,INDEX(DOC_table,13,3),"")</f>
        <v>0.05</v>
      </c>
      <c r="J27" s="291">
        <f>I27</f>
        <v>0.05</v>
      </c>
      <c r="K27" s="271"/>
      <c r="L27" s="6"/>
      <c r="N27" s="34" t="s">
        <v>135</v>
      </c>
      <c r="O27" s="34">
        <f>IF(Select2=1,E27,E16)</f>
        <v>0</v>
      </c>
      <c r="Q27" s="34" t="s">
        <v>135</v>
      </c>
      <c r="R27" s="425">
        <f>IF(Select2=1,J27,J16)</f>
        <v>0.05</v>
      </c>
    </row>
    <row r="28" spans="2:18" ht="13.5" thickBot="1">
      <c r="B28" s="34" t="str">
        <f>IF(Select2=1,"Industrial waste","")</f>
        <v>Industrial waste</v>
      </c>
      <c r="C28" s="577" t="str">
        <f>IF(Select2=1,INDEX(DOC_table,15,2),"")</f>
        <v>N.A</v>
      </c>
      <c r="D28" s="578">
        <f>IF(Select2=1,INDEX(DOC_table,15,1),"")</f>
        <v>0</v>
      </c>
      <c r="E28" s="292">
        <f t="shared" si="2"/>
        <v>0</v>
      </c>
      <c r="F28" s="579"/>
      <c r="H28" s="577" t="str">
        <f>IF(Select2=1,INDEX(DOC_table,15,4),"")</f>
        <v>0-0.54</v>
      </c>
      <c r="I28" s="578">
        <f>IF(Select2=1,INDEX(DOC_table,15,3),"")</f>
        <v>0.15</v>
      </c>
      <c r="J28" s="292">
        <f t="shared" ref="J28" si="3">I28</f>
        <v>0.15</v>
      </c>
      <c r="K28" s="579"/>
      <c r="L28" s="580"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28" s="34" t="s">
        <v>23</v>
      </c>
      <c r="O28" s="34">
        <f>IF(Select2=1,E28,E$17)</f>
        <v>0</v>
      </c>
      <c r="Q28" s="34" t="s">
        <v>23</v>
      </c>
      <c r="R28" s="34">
        <f>IF(Select2=1,J28,J$17)</f>
        <v>0.15</v>
      </c>
    </row>
    <row r="29" spans="2:18" ht="13.5" thickBot="1">
      <c r="B29" s="37"/>
      <c r="C29" s="17"/>
      <c r="D29" s="38"/>
      <c r="E29" s="6"/>
      <c r="F29" s="37"/>
      <c r="L29" s="6"/>
    </row>
    <row r="30" spans="2:18" ht="13.5" thickBot="1">
      <c r="B30" s="50" t="s">
        <v>43</v>
      </c>
      <c r="C30" s="443"/>
      <c r="D30" s="46">
        <v>0.5</v>
      </c>
      <c r="E30" s="387">
        <f>D30</f>
        <v>0.5</v>
      </c>
      <c r="F30" s="391"/>
      <c r="L30" s="6"/>
    </row>
    <row r="31" spans="2:18" ht="13.5" thickBot="1">
      <c r="B31" s="37"/>
      <c r="C31" s="328"/>
      <c r="D31" s="329"/>
      <c r="E31" s="388"/>
      <c r="F31" s="37"/>
      <c r="L31" s="6"/>
    </row>
    <row r="32" spans="2:18" ht="13.5" thickBot="1">
      <c r="B32" s="50" t="s">
        <v>208</v>
      </c>
      <c r="C32" s="330"/>
      <c r="D32" s="331"/>
      <c r="E32" s="389"/>
      <c r="F32" s="392"/>
      <c r="L32" s="6"/>
    </row>
    <row r="33" spans="2:15" ht="15" thickBot="1">
      <c r="B33" s="174" t="s">
        <v>193</v>
      </c>
      <c r="C33" s="335" t="s">
        <v>113</v>
      </c>
      <c r="D33" s="336" t="s">
        <v>115</v>
      </c>
      <c r="E33" s="390"/>
      <c r="F33" s="393"/>
      <c r="L33" s="6"/>
      <c r="N33" t="s">
        <v>130</v>
      </c>
    </row>
    <row r="34" spans="2:15">
      <c r="B34" s="8" t="str">
        <f>IF(Select2=1,"Food waste","Bulk MSW")</f>
        <v>Food waste</v>
      </c>
      <c r="C34" s="184" t="str">
        <f>INDEX(half_life,IF(Select2=1,4,5),selected*2)</f>
        <v xml:space="preserve">0.17–0.7 </v>
      </c>
      <c r="D34" s="113">
        <f>INDEX(half_life,IF(Select2=1,4,5),selected*2-1)</f>
        <v>0.4</v>
      </c>
      <c r="E34" s="629">
        <f t="shared" ref="E34:E39" si="4">D34</f>
        <v>0.4</v>
      </c>
      <c r="F34" s="152"/>
      <c r="L34" s="384" t="str">
        <f>IF(Select2=1,"May include garden waste provided that a suitable value of DOC is used","")</f>
        <v>May include garden waste provided that a suitable value of DOC is used</v>
      </c>
      <c r="N34" s="55" t="s">
        <v>6</v>
      </c>
      <c r="O34" s="55">
        <f t="shared" ref="O34:O44" si="5">IF(Select2=1,E34,0)</f>
        <v>0.4</v>
      </c>
    </row>
    <row r="35" spans="2:15">
      <c r="B35" s="8" t="str">
        <f>IF(Select2=1,"Paper/cardboard","Sewage sludge")</f>
        <v>Paper/cardboard</v>
      </c>
      <c r="C35" s="185" t="str">
        <f>INDEX(half_life,IF(Select2=1,1,4),selected*2)</f>
        <v>0.06–0.085</v>
      </c>
      <c r="D35" s="90">
        <f>INDEX(half_life,IF(Select2=1,1,4),selected*2-1)</f>
        <v>7.0000000000000007E-2</v>
      </c>
      <c r="E35" s="630">
        <f t="shared" si="4"/>
        <v>7.0000000000000007E-2</v>
      </c>
      <c r="F35" s="58"/>
      <c r="L35" s="384"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35" s="446" t="s">
        <v>262</v>
      </c>
      <c r="O35" s="2">
        <f t="shared" si="5"/>
        <v>7.0000000000000007E-2</v>
      </c>
    </row>
    <row r="36" spans="2:15">
      <c r="B36" s="2" t="str">
        <f>IF(Select2=1,"Garden and Park waste","Industrial waste")</f>
        <v>Garden and Park waste</v>
      </c>
      <c r="C36" s="185" t="str">
        <f>INDEX(half_life,IF(Select2=1,3,5),selected*2)</f>
        <v>0.15–0.2</v>
      </c>
      <c r="D36" s="90">
        <f>INDEX(half_life,IF(Select2=1,3,5),selected*2-1)</f>
        <v>0.17</v>
      </c>
      <c r="E36" s="630">
        <f t="shared" si="4"/>
        <v>0.17</v>
      </c>
      <c r="F36" s="58"/>
      <c r="L36" s="6"/>
      <c r="N36" s="445" t="s">
        <v>261</v>
      </c>
      <c r="O36" s="2">
        <f t="shared" si="5"/>
        <v>0.17</v>
      </c>
    </row>
    <row r="37" spans="2:15">
      <c r="B37" s="2" t="str">
        <f>IF(Select2=1,"Textiles","")</f>
        <v>Textiles</v>
      </c>
      <c r="C37" s="186" t="str">
        <f>IF(Select2=1,INDEX(half_life,1,selected*2),"")</f>
        <v>0.06–0.085</v>
      </c>
      <c r="D37" s="90">
        <f>IF(Select2=1,INDEX(half_life,1,selected*2-1),"")</f>
        <v>7.0000000000000007E-2</v>
      </c>
      <c r="E37" s="630">
        <f t="shared" si="4"/>
        <v>7.0000000000000007E-2</v>
      </c>
      <c r="F37" s="58"/>
      <c r="L37" s="6"/>
      <c r="N37" s="2" t="s">
        <v>16</v>
      </c>
      <c r="O37" s="2">
        <f t="shared" si="5"/>
        <v>7.0000000000000007E-2</v>
      </c>
    </row>
    <row r="38" spans="2:15">
      <c r="B38" s="2" t="str">
        <f>IF(Select2=1,"Rubber and Leather","")</f>
        <v>Rubber and Leather</v>
      </c>
      <c r="C38" s="186" t="str">
        <f>IF(Select2=1,INDEX(half_life,2,selected*2),"")</f>
        <v>0.03–0.05</v>
      </c>
      <c r="D38" s="90">
        <f>IF(Select2=1,INDEX(half_life,2,selected*2-1),"")</f>
        <v>3.5000000000000003E-2</v>
      </c>
      <c r="E38" s="631">
        <f t="shared" si="4"/>
        <v>3.5000000000000003E-2</v>
      </c>
      <c r="F38" s="271"/>
      <c r="L38" s="384" t="str">
        <f>IF(Select2=1,"Natural textiles such as wool and cotton. Synthetic textiles are assumed not to contain DOC","")</f>
        <v>Natural textiles such as wool and cotton. Synthetic textiles are assumed not to contain DOC</v>
      </c>
      <c r="N38" s="2" t="s">
        <v>229</v>
      </c>
      <c r="O38" s="2">
        <f t="shared" si="5"/>
        <v>3.5000000000000003E-2</v>
      </c>
    </row>
    <row r="39" spans="2:15">
      <c r="B39" s="2" t="str">
        <f>IF(Select2=1,"Wood","")</f>
        <v>Wood</v>
      </c>
      <c r="C39" s="186" t="str">
        <f>IF(Select2=1,INDEX(half_life,2,selected*2),"")</f>
        <v>0.03–0.05</v>
      </c>
      <c r="D39" s="90">
        <f>IF(Select2=1,INDEX(half_life,2,selected*2-1),"")</f>
        <v>3.5000000000000003E-2</v>
      </c>
      <c r="E39" s="631">
        <f t="shared" si="4"/>
        <v>3.5000000000000003E-2</v>
      </c>
      <c r="F39" s="271"/>
      <c r="N39" s="444" t="s">
        <v>2</v>
      </c>
      <c r="O39" s="2">
        <f t="shared" si="5"/>
        <v>3.5000000000000003E-2</v>
      </c>
    </row>
    <row r="40" spans="2:15">
      <c r="B40" s="2" t="str">
        <f>IF(Select2=1,"Nappies","")</f>
        <v>Nappies</v>
      </c>
      <c r="C40" s="186" t="str">
        <f>IF(Select2=1,INDEX(half_life,3,selected*2),"")</f>
        <v>0.15–0.2</v>
      </c>
      <c r="D40" s="90">
        <f>IF(Select2=1,INDEX(half_life,3,selected*2-1),"")</f>
        <v>0.17</v>
      </c>
      <c r="E40" s="631">
        <f>D40</f>
        <v>0.17</v>
      </c>
      <c r="F40" s="271"/>
      <c r="N40" s="444" t="s">
        <v>267</v>
      </c>
      <c r="O40" s="2">
        <f t="shared" si="5"/>
        <v>0.17</v>
      </c>
    </row>
    <row r="41" spans="2:15">
      <c r="B41" s="166" t="str">
        <f>IF(Select2=1,"Plastics","")</f>
        <v>Plastics</v>
      </c>
      <c r="C41" s="186">
        <f t="shared" ref="C41:D44" si="6">IF(Select2=1,0,"")</f>
        <v>0</v>
      </c>
      <c r="D41" s="464">
        <f t="shared" si="6"/>
        <v>0</v>
      </c>
      <c r="E41" s="631">
        <f>D41</f>
        <v>0</v>
      </c>
      <c r="F41" s="271"/>
      <c r="N41" s="166" t="s">
        <v>230</v>
      </c>
      <c r="O41" s="2">
        <f t="shared" si="5"/>
        <v>0</v>
      </c>
    </row>
    <row r="42" spans="2:15">
      <c r="B42" s="166" t="str">
        <f>IF(Select2=1,"Metal","")</f>
        <v>Metal</v>
      </c>
      <c r="C42" s="186">
        <f t="shared" si="6"/>
        <v>0</v>
      </c>
      <c r="D42" s="464">
        <f t="shared" si="6"/>
        <v>0</v>
      </c>
      <c r="E42" s="631">
        <f>D42</f>
        <v>0</v>
      </c>
      <c r="F42" s="271"/>
      <c r="N42" s="166" t="s">
        <v>231</v>
      </c>
      <c r="O42" s="2">
        <f t="shared" si="5"/>
        <v>0</v>
      </c>
    </row>
    <row r="43" spans="2:15">
      <c r="B43" s="166" t="str">
        <f>IF(Select2=1,"Glass","")</f>
        <v>Glass</v>
      </c>
      <c r="C43" s="186">
        <f t="shared" si="6"/>
        <v>0</v>
      </c>
      <c r="D43" s="464">
        <f t="shared" si="6"/>
        <v>0</v>
      </c>
      <c r="E43" s="631">
        <f>D43</f>
        <v>0</v>
      </c>
      <c r="F43" s="271"/>
      <c r="N43" s="166" t="s">
        <v>232</v>
      </c>
      <c r="O43" s="2">
        <f t="shared" si="5"/>
        <v>0</v>
      </c>
    </row>
    <row r="44" spans="2:15">
      <c r="B44" s="166" t="str">
        <f>IF(Select2=1,"Other","")</f>
        <v>Other</v>
      </c>
      <c r="C44" s="186">
        <f t="shared" si="6"/>
        <v>0</v>
      </c>
      <c r="D44" s="464">
        <f t="shared" si="6"/>
        <v>0</v>
      </c>
      <c r="E44" s="631">
        <f>D44</f>
        <v>0</v>
      </c>
      <c r="F44" s="271"/>
      <c r="N44" s="166" t="s">
        <v>233</v>
      </c>
      <c r="O44" s="2">
        <f t="shared" si="5"/>
        <v>0</v>
      </c>
    </row>
    <row r="45" spans="2:15">
      <c r="B45" s="166"/>
      <c r="C45" s="186"/>
      <c r="D45" s="90"/>
      <c r="E45" s="631"/>
      <c r="F45" s="271"/>
      <c r="N45" s="444" t="s">
        <v>204</v>
      </c>
      <c r="O45" s="2">
        <f>IF(Select2=1,0,E$34)</f>
        <v>0</v>
      </c>
    </row>
    <row r="46" spans="2:15" ht="13.5" thickBot="1">
      <c r="B46" s="2" t="str">
        <f>IF(Select2=1,"Sewage sludge","")</f>
        <v>Sewage sludge</v>
      </c>
      <c r="C46" s="186" t="str">
        <f>IF(Select2=1,INDEX(half_life,4,selected*2),"")</f>
        <v xml:space="preserve">0.17–0.7 </v>
      </c>
      <c r="D46" s="90">
        <f>IF(Select2=1,INDEX(half_life,4,selected*2-1),"")</f>
        <v>0.4</v>
      </c>
      <c r="E46" s="631">
        <f>D46</f>
        <v>0.4</v>
      </c>
      <c r="F46" s="271"/>
      <c r="N46" s="34" t="s">
        <v>135</v>
      </c>
      <c r="O46" s="34">
        <f>IF(Select2=1,E46,E$35)</f>
        <v>0.4</v>
      </c>
    </row>
    <row r="47" spans="2:15" ht="13.5" thickBot="1">
      <c r="B47" s="34" t="str">
        <f>IF(Select2=1,"Industrial waste","")</f>
        <v>Industrial waste</v>
      </c>
      <c r="C47" s="577" t="str">
        <f>IF(Select2=1,INDEX(half_life,5,selected*2),"")</f>
        <v>0.15–0.2</v>
      </c>
      <c r="D47" s="582">
        <f>IF(Select2=1,INDEX(half_life,5,selected*2-1),"")</f>
        <v>0.17</v>
      </c>
      <c r="E47" s="632">
        <f t="shared" ref="E47" si="7">D47</f>
        <v>0.17</v>
      </c>
      <c r="F47" s="579"/>
      <c r="L47" s="583"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47" s="34" t="s">
        <v>23</v>
      </c>
      <c r="O47" s="34">
        <f>IF(Select2=1,E47,E$36)</f>
        <v>0.17</v>
      </c>
    </row>
    <row r="48" spans="2:15" ht="13.5" thickBot="1">
      <c r="B48" s="37"/>
      <c r="C48" s="17"/>
      <c r="D48" s="38"/>
      <c r="E48" s="20"/>
      <c r="F48" s="38"/>
    </row>
    <row r="49" spans="1:18" ht="13.5" thickBot="1">
      <c r="B49" s="50" t="s">
        <v>42</v>
      </c>
      <c r="C49" s="53"/>
      <c r="D49" s="46">
        <v>6</v>
      </c>
      <c r="E49" s="633">
        <v>6</v>
      </c>
      <c r="F49" s="57"/>
    </row>
    <row r="50" spans="1:18" ht="13.5" thickBot="1">
      <c r="B50" s="37"/>
      <c r="C50" s="17"/>
      <c r="D50" s="38"/>
      <c r="E50" s="39"/>
      <c r="F50" s="38"/>
    </row>
    <row r="51" spans="1:18" ht="13.5" thickBot="1">
      <c r="B51" s="50" t="s">
        <v>207</v>
      </c>
      <c r="C51" s="53"/>
      <c r="D51" s="36">
        <v>0.5</v>
      </c>
      <c r="E51" s="633">
        <f>D51</f>
        <v>0.5</v>
      </c>
      <c r="F51" s="57"/>
    </row>
    <row r="52" spans="1:18" ht="13.5" thickBot="1">
      <c r="B52" s="37"/>
      <c r="C52" s="17"/>
      <c r="D52" s="38"/>
      <c r="E52" s="20"/>
      <c r="F52" s="38"/>
    </row>
    <row r="53" spans="1:18" ht="16.5" thickBot="1">
      <c r="B53" s="50" t="s">
        <v>21</v>
      </c>
      <c r="C53" s="53"/>
      <c r="D53" s="41">
        <f>16/12</f>
        <v>1.3333333333333333</v>
      </c>
      <c r="E53" s="42">
        <f>16/12</f>
        <v>1.3333333333333333</v>
      </c>
      <c r="F53" s="43"/>
    </row>
    <row r="54" spans="1:18" ht="13.5" thickBot="1">
      <c r="B54" s="37"/>
      <c r="C54" s="17"/>
      <c r="D54" s="38"/>
      <c r="E54" s="20"/>
      <c r="F54" s="38"/>
    </row>
    <row r="55" spans="1:18" ht="13.5" thickBot="1">
      <c r="B55" s="50" t="s">
        <v>22</v>
      </c>
      <c r="C55" s="53"/>
      <c r="D55" s="36">
        <v>0</v>
      </c>
      <c r="E55" s="633">
        <f>D55</f>
        <v>0</v>
      </c>
      <c r="F55" s="57"/>
    </row>
    <row r="56" spans="1:18" ht="13.5" thickBot="1">
      <c r="B56" s="44"/>
      <c r="C56" s="17"/>
      <c r="D56" s="45"/>
      <c r="E56" s="40"/>
      <c r="F56" s="38"/>
    </row>
    <row r="57" spans="1:18" ht="13.5" thickBot="1">
      <c r="A57" s="31"/>
      <c r="B57" s="50" t="s">
        <v>80</v>
      </c>
      <c r="C57" s="53"/>
      <c r="D57" s="51"/>
      <c r="E57" s="52"/>
      <c r="F57" s="51"/>
      <c r="L57" s="31"/>
    </row>
    <row r="58" spans="1:18">
      <c r="A58" s="31"/>
      <c r="B58" s="315" t="s">
        <v>195</v>
      </c>
      <c r="C58" s="307"/>
      <c r="D58" s="312">
        <v>0</v>
      </c>
      <c r="E58" s="634">
        <f>D58</f>
        <v>0</v>
      </c>
      <c r="F58" s="114"/>
      <c r="L58" s="31"/>
    </row>
    <row r="59" spans="1:18" ht="13.5" thickBot="1">
      <c r="B59" s="316" t="s">
        <v>196</v>
      </c>
      <c r="C59" s="313"/>
      <c r="D59" s="314">
        <v>0</v>
      </c>
      <c r="E59" s="635">
        <f>D59</f>
        <v>0</v>
      </c>
      <c r="F59" s="56"/>
    </row>
    <row r="60" spans="1:18" ht="13.5" thickBot="1">
      <c r="B60" s="158"/>
      <c r="C60" s="294"/>
      <c r="D60" s="295"/>
      <c r="E60" s="297"/>
      <c r="F60" s="296"/>
    </row>
    <row r="61" spans="1:18" s="31" customFormat="1" ht="26.25" thickBot="1">
      <c r="A61"/>
      <c r="B61" s="303" t="s">
        <v>209</v>
      </c>
      <c r="C61" s="177"/>
      <c r="D61" s="778" t="s">
        <v>250</v>
      </c>
      <c r="E61" s="779"/>
      <c r="F61" s="780"/>
      <c r="H61" s="53"/>
      <c r="I61" s="778" t="s">
        <v>251</v>
      </c>
      <c r="J61" s="779"/>
      <c r="K61" s="780"/>
      <c r="L61"/>
      <c r="N61"/>
      <c r="O61"/>
      <c r="P61"/>
    </row>
    <row r="62" spans="1:18" s="31" customFormat="1" ht="13.5" thickBot="1">
      <c r="A62"/>
      <c r="B62" s="304" t="str">
        <f>IF(Select2=1,"","DOC for garden waste")</f>
        <v/>
      </c>
      <c r="C62" s="307"/>
      <c r="D62" s="310" t="str">
        <f>IF(Select2=1,"",INDEX(DOC_table,3,1))</f>
        <v/>
      </c>
      <c r="E62" s="322" t="str">
        <f>D62</f>
        <v/>
      </c>
      <c r="F62" s="323"/>
      <c r="H62" s="307"/>
      <c r="I62" s="310" t="str">
        <f>IF(Select2=1,"",INDEX(DOC_table,3,3))</f>
        <v/>
      </c>
      <c r="J62" s="322" t="str">
        <f>I62</f>
        <v/>
      </c>
      <c r="K62" s="323"/>
      <c r="L62"/>
      <c r="N62" s="462" t="s">
        <v>278</v>
      </c>
      <c r="O62" s="55" t="str">
        <f>IF(Select2=2,E62,"")</f>
        <v/>
      </c>
      <c r="Q62" s="462" t="s">
        <v>278</v>
      </c>
      <c r="R62" s="55" t="str">
        <f>IF(Select2=2,J62,"")</f>
        <v/>
      </c>
    </row>
    <row r="63" spans="1:18" ht="13.5" thickBot="1">
      <c r="B63" s="305" t="str">
        <f>IF(Select2=1,"","DOC for paper and cardboard")</f>
        <v/>
      </c>
      <c r="C63" s="308"/>
      <c r="D63" s="311" t="str">
        <f>IF(Select2=1,"",INDEX(DOC_table,2,1))</f>
        <v/>
      </c>
      <c r="E63" s="324" t="str">
        <f>D63</f>
        <v/>
      </c>
      <c r="F63" s="325"/>
      <c r="H63" s="308"/>
      <c r="I63" s="311" t="str">
        <f>IF(Select2=1,"",INDEX(DOC_table,2,3))</f>
        <v/>
      </c>
      <c r="J63" s="324" t="str">
        <f>I63</f>
        <v/>
      </c>
      <c r="K63" s="325"/>
      <c r="N63" s="462" t="s">
        <v>279</v>
      </c>
      <c r="O63" s="2" t="str">
        <f>IF(Select2=2,E63,"")</f>
        <v/>
      </c>
      <c r="P63" s="31"/>
      <c r="Q63" s="462" t="s">
        <v>279</v>
      </c>
      <c r="R63" s="2" t="str">
        <f>IF(Select2=2,J63,"")</f>
        <v/>
      </c>
    </row>
    <row r="64" spans="1:18" ht="13.5" thickBot="1">
      <c r="B64" s="306" t="str">
        <f>IF(Select2=1,"","DOC for wood and straw")</f>
        <v/>
      </c>
      <c r="C64" s="309"/>
      <c r="D64" s="317" t="str">
        <f>IF(Select2=1,"",INDEX(DOC_table,6,1))</f>
        <v/>
      </c>
      <c r="E64" s="326" t="str">
        <f>D64</f>
        <v/>
      </c>
      <c r="F64" s="327"/>
      <c r="H64" s="309"/>
      <c r="I64" s="317" t="str">
        <f>IF(Select2=1,"",INDEX(DOC_table,6,3))</f>
        <v/>
      </c>
      <c r="J64" s="326" t="str">
        <f>I64</f>
        <v/>
      </c>
      <c r="K64" s="327"/>
      <c r="N64" s="462" t="s">
        <v>280</v>
      </c>
      <c r="O64" s="34" t="str">
        <f>IF(Select2=2,E64,"")</f>
        <v/>
      </c>
      <c r="Q64" s="462" t="s">
        <v>280</v>
      </c>
      <c r="R64" s="34" t="str">
        <f>IF(Select2=2,J64,"")</f>
        <v/>
      </c>
    </row>
    <row r="69" spans="2:8">
      <c r="B69" s="613" t="s">
        <v>336</v>
      </c>
    </row>
    <row r="71" spans="2:8">
      <c r="B71" s="765" t="s">
        <v>317</v>
      </c>
      <c r="C71" s="765"/>
      <c r="D71" s="766" t="s">
        <v>318</v>
      </c>
      <c r="E71" s="766"/>
      <c r="F71" s="766"/>
      <c r="G71" s="766"/>
      <c r="H71" s="766"/>
    </row>
    <row r="72" spans="2:8">
      <c r="B72" s="765" t="s">
        <v>319</v>
      </c>
      <c r="C72" s="765"/>
      <c r="D72" s="766" t="s">
        <v>320</v>
      </c>
      <c r="E72" s="766"/>
      <c r="F72" s="766"/>
      <c r="G72" s="766"/>
      <c r="H72" s="766"/>
    </row>
    <row r="73" spans="2:8">
      <c r="B73" s="765" t="s">
        <v>321</v>
      </c>
      <c r="C73" s="765"/>
      <c r="D73" s="766" t="s">
        <v>322</v>
      </c>
      <c r="E73" s="766"/>
      <c r="F73" s="766"/>
      <c r="G73" s="766"/>
      <c r="H73" s="766"/>
    </row>
    <row r="74" spans="2:8">
      <c r="B74" s="765" t="s">
        <v>323</v>
      </c>
      <c r="C74" s="765"/>
      <c r="D74" s="766" t="s">
        <v>324</v>
      </c>
      <c r="E74" s="766"/>
      <c r="F74" s="766"/>
      <c r="G74" s="766"/>
      <c r="H74" s="766"/>
    </row>
    <row r="75" spans="2:8">
      <c r="B75" s="611"/>
      <c r="C75" s="612"/>
      <c r="D75" s="612"/>
      <c r="E75" s="612"/>
      <c r="F75" s="612"/>
      <c r="G75" s="612"/>
      <c r="H75" s="612"/>
    </row>
    <row r="76" spans="2:8">
      <c r="B76" s="614"/>
      <c r="C76" s="615" t="s">
        <v>325</v>
      </c>
      <c r="D76" s="616" t="s">
        <v>87</v>
      </c>
      <c r="E76" s="616" t="s">
        <v>88</v>
      </c>
    </row>
    <row r="77" spans="2:8">
      <c r="B77" s="767" t="s">
        <v>133</v>
      </c>
      <c r="C77" s="617" t="s">
        <v>326</v>
      </c>
      <c r="D77" s="618" t="s">
        <v>327</v>
      </c>
      <c r="E77" s="618" t="s">
        <v>9</v>
      </c>
      <c r="F77" s="525"/>
      <c r="G77" s="597"/>
      <c r="H77" s="6"/>
    </row>
    <row r="78" spans="2:8">
      <c r="B78" s="768"/>
      <c r="C78" s="619"/>
      <c r="D78" s="620"/>
      <c r="E78" s="621"/>
      <c r="F78" s="6"/>
      <c r="G78" s="525"/>
      <c r="H78" s="6"/>
    </row>
    <row r="79" spans="2:8">
      <c r="B79" s="768"/>
      <c r="C79" s="619"/>
      <c r="D79" s="620"/>
      <c r="E79" s="621"/>
      <c r="F79" s="6"/>
      <c r="G79" s="525"/>
      <c r="H79" s="6"/>
    </row>
    <row r="80" spans="2:8">
      <c r="B80" s="768"/>
      <c r="C80" s="619"/>
      <c r="D80" s="620"/>
      <c r="E80" s="621"/>
      <c r="F80" s="6"/>
      <c r="G80" s="525"/>
      <c r="H80" s="6"/>
    </row>
    <row r="81" spans="2:8">
      <c r="B81" s="768"/>
      <c r="C81" s="619"/>
      <c r="D81" s="620"/>
      <c r="E81" s="621"/>
      <c r="F81" s="6"/>
      <c r="G81" s="525"/>
      <c r="H81" s="6"/>
    </row>
    <row r="82" spans="2:8">
      <c r="B82" s="768"/>
      <c r="C82" s="619"/>
      <c r="D82" s="620" t="s">
        <v>328</v>
      </c>
      <c r="E82" s="621"/>
      <c r="F82" s="6"/>
      <c r="G82" s="525"/>
      <c r="H82" s="6"/>
    </row>
    <row r="83" spans="2:8" ht="13.5" thickBot="1">
      <c r="B83" s="769"/>
      <c r="C83" s="622"/>
      <c r="D83" s="622"/>
      <c r="E83" s="623" t="s">
        <v>329</v>
      </c>
      <c r="F83" s="6"/>
      <c r="G83" s="6"/>
      <c r="H83" s="6"/>
    </row>
    <row r="84" spans="2:8" ht="13.5" thickTop="1">
      <c r="B84" s="614"/>
      <c r="C84" s="621"/>
      <c r="D84" s="614"/>
      <c r="E84" s="624"/>
      <c r="F84" s="6"/>
      <c r="G84" s="6"/>
      <c r="H84" s="6"/>
    </row>
    <row r="85" spans="2:8">
      <c r="B85" s="761" t="s">
        <v>330</v>
      </c>
      <c r="C85" s="762"/>
      <c r="D85" s="762"/>
      <c r="E85" s="763"/>
      <c r="F85" s="6"/>
      <c r="G85" s="6"/>
      <c r="H85" s="6"/>
    </row>
    <row r="86" spans="2:8">
      <c r="B86" s="625" t="s">
        <v>6</v>
      </c>
      <c r="C86" s="626">
        <v>0.63560000000000005</v>
      </c>
      <c r="D86" s="627">
        <v>0.15</v>
      </c>
      <c r="E86" s="627">
        <f>C86*D86</f>
        <v>9.5340000000000008E-2</v>
      </c>
      <c r="F86" s="6"/>
      <c r="G86" s="6"/>
      <c r="H86" s="6"/>
    </row>
    <row r="87" spans="2:8">
      <c r="B87" s="625" t="s">
        <v>256</v>
      </c>
      <c r="C87" s="626">
        <v>0.1042</v>
      </c>
      <c r="D87" s="627">
        <v>0.4</v>
      </c>
      <c r="E87" s="627">
        <f t="shared" ref="E87:E94" si="8">C87*D87</f>
        <v>4.1680000000000002E-2</v>
      </c>
      <c r="F87" s="6"/>
      <c r="G87" s="6"/>
      <c r="H87" s="6"/>
    </row>
    <row r="88" spans="2:8">
      <c r="B88" s="625" t="s">
        <v>2</v>
      </c>
      <c r="C88" s="626">
        <v>0</v>
      </c>
      <c r="D88" s="627">
        <v>0.43</v>
      </c>
      <c r="E88" s="627">
        <f t="shared" si="8"/>
        <v>0</v>
      </c>
      <c r="F88" s="6"/>
      <c r="G88" s="6"/>
      <c r="H88" s="6"/>
    </row>
    <row r="89" spans="2:8">
      <c r="B89" s="625" t="s">
        <v>16</v>
      </c>
      <c r="C89" s="626">
        <v>0</v>
      </c>
      <c r="D89" s="627">
        <v>0.24</v>
      </c>
      <c r="E89" s="627">
        <f t="shared" si="8"/>
        <v>0</v>
      </c>
      <c r="F89" s="6"/>
      <c r="G89" s="6"/>
      <c r="H89" s="6"/>
    </row>
    <row r="90" spans="2:8">
      <c r="B90" s="625" t="s">
        <v>331</v>
      </c>
      <c r="C90" s="626">
        <v>0</v>
      </c>
      <c r="D90" s="627">
        <v>0.39</v>
      </c>
      <c r="E90" s="627">
        <f t="shared" si="8"/>
        <v>0</v>
      </c>
    </row>
    <row r="91" spans="2:8">
      <c r="B91" s="625" t="s">
        <v>332</v>
      </c>
      <c r="C91" s="626">
        <v>1.4500000000000001E-2</v>
      </c>
      <c r="D91" s="627">
        <v>0</v>
      </c>
      <c r="E91" s="627">
        <f t="shared" si="8"/>
        <v>0</v>
      </c>
    </row>
    <row r="92" spans="2:8">
      <c r="B92" s="625" t="s">
        <v>231</v>
      </c>
      <c r="C92" s="626">
        <v>9.7600000000000006E-2</v>
      </c>
      <c r="D92" s="627">
        <v>0</v>
      </c>
      <c r="E92" s="627">
        <f t="shared" si="8"/>
        <v>0</v>
      </c>
    </row>
    <row r="93" spans="2:8">
      <c r="B93" s="625" t="s">
        <v>232</v>
      </c>
      <c r="C93" s="626">
        <v>1.7000000000000001E-2</v>
      </c>
      <c r="D93" s="627">
        <v>0</v>
      </c>
      <c r="E93" s="627">
        <f t="shared" si="8"/>
        <v>0</v>
      </c>
    </row>
    <row r="94" spans="2:8">
      <c r="B94" s="625" t="s">
        <v>233</v>
      </c>
      <c r="C94" s="626">
        <f>(0.95+12.16)/100</f>
        <v>0.13109999999999999</v>
      </c>
      <c r="D94" s="627">
        <v>0</v>
      </c>
      <c r="E94" s="627">
        <f t="shared" si="8"/>
        <v>0</v>
      </c>
    </row>
    <row r="95" spans="2:8">
      <c r="B95" s="764" t="s">
        <v>333</v>
      </c>
      <c r="C95" s="764"/>
      <c r="D95" s="764"/>
      <c r="E95" s="628">
        <f>SUM(E86:E94)</f>
        <v>0.13702</v>
      </c>
    </row>
    <row r="96" spans="2:8">
      <c r="B96" s="761" t="s">
        <v>334</v>
      </c>
      <c r="C96" s="762"/>
      <c r="D96" s="762"/>
      <c r="E96" s="763"/>
    </row>
    <row r="97" spans="2:5">
      <c r="B97" s="625" t="s">
        <v>6</v>
      </c>
      <c r="C97" s="626">
        <f>79.37/100</f>
        <v>0.79370000000000007</v>
      </c>
      <c r="D97" s="627">
        <v>0.15</v>
      </c>
      <c r="E97" s="627">
        <f>C97*D97</f>
        <v>0.11905500000000001</v>
      </c>
    </row>
    <row r="98" spans="2:5">
      <c r="B98" s="625" t="s">
        <v>256</v>
      </c>
      <c r="C98" s="626">
        <f>8.57/100</f>
        <v>8.5699999999999998E-2</v>
      </c>
      <c r="D98" s="627">
        <v>0.4</v>
      </c>
      <c r="E98" s="627">
        <f t="shared" ref="E98:E105" si="9">C98*D98</f>
        <v>3.4279999999999998E-2</v>
      </c>
    </row>
    <row r="99" spans="2:5">
      <c r="B99" s="625" t="s">
        <v>2</v>
      </c>
      <c r="C99" s="626">
        <f>0.75/100</f>
        <v>7.4999999999999997E-3</v>
      </c>
      <c r="D99" s="627">
        <v>0.43</v>
      </c>
      <c r="E99" s="627">
        <f t="shared" si="9"/>
        <v>3.225E-3</v>
      </c>
    </row>
    <row r="100" spans="2:5">
      <c r="B100" s="625" t="s">
        <v>16</v>
      </c>
      <c r="C100" s="626">
        <f>0.79/100</f>
        <v>7.9000000000000008E-3</v>
      </c>
      <c r="D100" s="627">
        <v>0.24</v>
      </c>
      <c r="E100" s="627">
        <f t="shared" si="9"/>
        <v>1.8960000000000001E-3</v>
      </c>
    </row>
    <row r="101" spans="2:5">
      <c r="B101" s="625" t="s">
        <v>331</v>
      </c>
      <c r="C101" s="626">
        <f>0.35/100</f>
        <v>3.4999999999999996E-3</v>
      </c>
      <c r="D101" s="627">
        <v>0.39</v>
      </c>
      <c r="E101" s="627">
        <f t="shared" si="9"/>
        <v>1.3649999999999999E-3</v>
      </c>
    </row>
    <row r="102" spans="2:5">
      <c r="B102" s="625" t="s">
        <v>332</v>
      </c>
      <c r="C102" s="626">
        <f>6.51/100</f>
        <v>6.5099999999999991E-2</v>
      </c>
      <c r="D102" s="627">
        <v>0</v>
      </c>
      <c r="E102" s="627">
        <f t="shared" si="9"/>
        <v>0</v>
      </c>
    </row>
    <row r="103" spans="2:5">
      <c r="B103" s="625" t="s">
        <v>231</v>
      </c>
      <c r="C103" s="626">
        <f>1.45/100</f>
        <v>1.4499999999999999E-2</v>
      </c>
      <c r="D103" s="627">
        <v>0</v>
      </c>
      <c r="E103" s="627">
        <f t="shared" si="9"/>
        <v>0</v>
      </c>
    </row>
    <row r="104" spans="2:5">
      <c r="B104" s="625" t="s">
        <v>232</v>
      </c>
      <c r="C104" s="626">
        <f>1.54/100</f>
        <v>1.54E-2</v>
      </c>
      <c r="D104" s="627">
        <v>0</v>
      </c>
      <c r="E104" s="627">
        <f t="shared" si="9"/>
        <v>0</v>
      </c>
    </row>
    <row r="105" spans="2:5">
      <c r="B105" s="625" t="s">
        <v>233</v>
      </c>
      <c r="C105" s="626">
        <f>0.67/100</f>
        <v>6.7000000000000002E-3</v>
      </c>
      <c r="D105" s="627">
        <v>0</v>
      </c>
      <c r="E105" s="627">
        <f t="shared" si="9"/>
        <v>0</v>
      </c>
    </row>
    <row r="106" spans="2:5">
      <c r="B106" s="764" t="s">
        <v>333</v>
      </c>
      <c r="C106" s="764"/>
      <c r="D106" s="764"/>
      <c r="E106" s="628">
        <f>SUM(E97:E105)</f>
        <v>0.15982100000000002</v>
      </c>
    </row>
    <row r="107" spans="2:5">
      <c r="B107" s="761" t="s">
        <v>335</v>
      </c>
      <c r="C107" s="762"/>
      <c r="D107" s="762"/>
      <c r="E107" s="763"/>
    </row>
    <row r="108" spans="2:5">
      <c r="B108" s="625" t="s">
        <v>6</v>
      </c>
      <c r="C108" s="626">
        <f>(59.47+6.92)/100</f>
        <v>0.66390000000000005</v>
      </c>
      <c r="D108" s="627">
        <v>0.15</v>
      </c>
      <c r="E108" s="627">
        <f>C108*D108</f>
        <v>9.9585000000000007E-2</v>
      </c>
    </row>
    <row r="109" spans="2:5">
      <c r="B109" s="625" t="s">
        <v>256</v>
      </c>
      <c r="C109" s="626">
        <f>12.85/100</f>
        <v>0.1285</v>
      </c>
      <c r="D109" s="627">
        <v>0.4</v>
      </c>
      <c r="E109" s="627">
        <f t="shared" ref="E109:E116" si="10">C109*D109</f>
        <v>5.1400000000000001E-2</v>
      </c>
    </row>
    <row r="110" spans="2:5">
      <c r="B110" s="625" t="s">
        <v>2</v>
      </c>
      <c r="C110" s="626">
        <v>0</v>
      </c>
      <c r="D110" s="627">
        <v>0.43</v>
      </c>
      <c r="E110" s="627">
        <f t="shared" si="10"/>
        <v>0</v>
      </c>
    </row>
    <row r="111" spans="2:5">
      <c r="B111" s="625" t="s">
        <v>16</v>
      </c>
      <c r="C111" s="626">
        <f>0.81/100</f>
        <v>8.1000000000000013E-3</v>
      </c>
      <c r="D111" s="627">
        <v>0.24</v>
      </c>
      <c r="E111" s="627">
        <f t="shared" si="10"/>
        <v>1.9440000000000002E-3</v>
      </c>
    </row>
    <row r="112" spans="2:5">
      <c r="B112" s="625" t="s">
        <v>331</v>
      </c>
      <c r="C112" s="626">
        <v>0</v>
      </c>
      <c r="D112" s="627">
        <v>0.39</v>
      </c>
      <c r="E112" s="627">
        <f t="shared" si="10"/>
        <v>0</v>
      </c>
    </row>
    <row r="113" spans="2:5">
      <c r="B113" s="625" t="s">
        <v>332</v>
      </c>
      <c r="C113" s="626">
        <f>10.71/100</f>
        <v>0.10710000000000001</v>
      </c>
      <c r="D113" s="627">
        <v>0</v>
      </c>
      <c r="E113" s="627">
        <f t="shared" si="10"/>
        <v>0</v>
      </c>
    </row>
    <row r="114" spans="2:5">
      <c r="B114" s="625" t="s">
        <v>231</v>
      </c>
      <c r="C114" s="626">
        <f>1.77/100</f>
        <v>1.77E-2</v>
      </c>
      <c r="D114" s="627">
        <v>0</v>
      </c>
      <c r="E114" s="627">
        <f t="shared" si="10"/>
        <v>0</v>
      </c>
    </row>
    <row r="115" spans="2:5">
      <c r="B115" s="625" t="s">
        <v>232</v>
      </c>
      <c r="C115" s="626">
        <f>1.33/100</f>
        <v>1.3300000000000001E-2</v>
      </c>
      <c r="D115" s="627">
        <v>0</v>
      </c>
      <c r="E115" s="627">
        <f t="shared" si="10"/>
        <v>0</v>
      </c>
    </row>
    <row r="116" spans="2:5">
      <c r="B116" s="625" t="s">
        <v>233</v>
      </c>
      <c r="C116" s="626">
        <f>6.21/100</f>
        <v>6.2100000000000002E-2</v>
      </c>
      <c r="D116" s="627">
        <v>0</v>
      </c>
      <c r="E116" s="627">
        <f t="shared" si="10"/>
        <v>0</v>
      </c>
    </row>
    <row r="117" spans="2:5">
      <c r="B117" s="764" t="s">
        <v>333</v>
      </c>
      <c r="C117" s="764"/>
      <c r="D117" s="764"/>
      <c r="E117" s="628">
        <f>SUM(E108:E116)</f>
        <v>0.15292900000000001</v>
      </c>
    </row>
  </sheetData>
  <customSheetViews>
    <customSheetView guid="{B400968E-E9A7-41C3-9739-36597C9C6BC6}" showGridLines="0" showRuler="0">
      <pane xSplit="2" ySplit="8" topLeftCell="C28" activePane="bottomRight" state="frozenSplit"/>
      <selection pane="bottomRight" activeCell="B30" sqref="B30"/>
      <pageMargins left="0.7" right="0.7" top="0.75" bottom="0.75" header="0.3" footer="0.3"/>
      <pageSetup paperSize="9" orientation="portrait"/>
      <headerFooter alignWithMargins="0"/>
    </customSheetView>
  </customSheetViews>
  <mergeCells count="29">
    <mergeCell ref="D61:F61"/>
    <mergeCell ref="I61:K61"/>
    <mergeCell ref="C12:D12"/>
    <mergeCell ref="E12:F12"/>
    <mergeCell ref="J9:K9"/>
    <mergeCell ref="H12:I12"/>
    <mergeCell ref="J12:K12"/>
    <mergeCell ref="C9:D9"/>
    <mergeCell ref="E9:F9"/>
    <mergeCell ref="D3:F3"/>
    <mergeCell ref="D4:F4"/>
    <mergeCell ref="D2:F2"/>
    <mergeCell ref="D5:F5"/>
    <mergeCell ref="H9:I9"/>
    <mergeCell ref="B71:C71"/>
    <mergeCell ref="D71:H71"/>
    <mergeCell ref="B72:C72"/>
    <mergeCell ref="D72:H72"/>
    <mergeCell ref="B73:C73"/>
    <mergeCell ref="D73:H73"/>
    <mergeCell ref="B96:E96"/>
    <mergeCell ref="B106:D106"/>
    <mergeCell ref="B107:E107"/>
    <mergeCell ref="B117:D117"/>
    <mergeCell ref="B74:C74"/>
    <mergeCell ref="D74:H74"/>
    <mergeCell ref="B77:B83"/>
    <mergeCell ref="B85:E85"/>
    <mergeCell ref="B95:D95"/>
  </mergeCells>
  <phoneticPr fontId="16" type="noConversion"/>
  <conditionalFormatting sqref="L38 L34 L19:L21 L15">
    <cfRule type="expression" dxfId="3" priority="3" stopIfTrue="1">
      <formula>IF(Select2=1,TRUE,FALSE)</formula>
    </cfRule>
  </conditionalFormatting>
  <conditionalFormatting sqref="L35 L16">
    <cfRule type="expression" dxfId="2" priority="4" stopIfTrue="1">
      <formula>IF(Select2=1,TRUE,FALSE)</formula>
    </cfRule>
    <cfRule type="expression" dxfId="1" priority="5" stopIfTrue="1">
      <formula>IF(Select2=2,TRUE,FALSE)</formula>
    </cfRule>
  </conditionalFormatting>
  <conditionalFormatting sqref="L28 L47">
    <cfRule type="expression" dxfId="0" priority="2" stopIfTrue="1">
      <formula>IF(Select2=1,TRUE,FALSE)</formula>
    </cfRule>
  </conditionalFormatting>
  <dataValidations xWindow="517" yWindow="449" count="5">
    <dataValidation type="whole" allowBlank="1" showInputMessage="1" showErrorMessage="1" errorTitle="Error in delay time" error="Please enter a whole number of months between 0 and 24" sqref="E49">
      <formula1>0</formula1>
      <formula2>24</formula2>
    </dataValidation>
    <dataValidation type="decimal" allowBlank="1" showInputMessage="1" showErrorMessage="1" error="Please enter a number between 0 and 1" sqref="E51 E55">
      <formula1>0</formula1>
      <formula2>1</formula2>
    </dataValidation>
    <dataValidation type="decimal" allowBlank="1" showInputMessage="1" showErrorMessage="1" error="Please enter a number between 0 and 10000" sqref="E34:E47">
      <formula1>0</formula1>
      <formula2>10000</formula2>
    </dataValidation>
    <dataValidation type="decimal" allowBlank="1" showInputMessage="1" showErrorMessage="1" errorTitle="Error in DOCf" error="Please enter a number between 0 and 1" promptTitle="DOCf" prompt="Please enter the fraction of the DOC which will dissimilate in the SWDS" sqref="E30">
      <formula1>0</formula1>
      <formula2>1</formula2>
    </dataValidation>
    <dataValidation type="decimal" allowBlank="1" showInputMessage="1" showErrorMessage="1" errorTitle="Error in DOC" error="Please enter a number between 0 and 1" promptTitle="DOC" prompt="Please enter the fraction of the waste by weight which is degradable organic carbon" sqref="J15:J28 E15:E28">
      <formula1>0</formula1>
      <formula2>1</formula2>
    </dataValidation>
  </dataValidations>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4344" r:id="rId3" name="Drop Down 8">
              <controlPr defaultSize="0" autoLine="0" autoPict="0">
                <anchor moveWithCells="1">
                  <from>
                    <xdr:col>2</xdr:col>
                    <xdr:colOff>95250</xdr:colOff>
                    <xdr:row>31</xdr:row>
                    <xdr:rowOff>0</xdr:rowOff>
                  </from>
                  <to>
                    <xdr:col>4</xdr:col>
                    <xdr:colOff>0</xdr:colOff>
                    <xdr:row>32</xdr:row>
                    <xdr:rowOff>57150</xdr:rowOff>
                  </to>
                </anchor>
              </controlPr>
            </control>
          </mc:Choice>
        </mc:AlternateContent>
        <mc:AlternateContent xmlns:mc="http://schemas.openxmlformats.org/markup-compatibility/2006">
          <mc:Choice Requires="x14">
            <control shapeId="14345" r:id="rId4" name="Drop Down 9">
              <controlPr defaultSize="0" autoLine="0" autoPict="0">
                <anchor moveWithCells="1">
                  <from>
                    <xdr:col>2</xdr:col>
                    <xdr:colOff>95250</xdr:colOff>
                    <xdr:row>12</xdr:row>
                    <xdr:rowOff>0</xdr:rowOff>
                  </from>
                  <to>
                    <xdr:col>4</xdr:col>
                    <xdr:colOff>0</xdr:colOff>
                    <xdr:row>13</xdr:row>
                    <xdr:rowOff>57150</xdr:rowOff>
                  </to>
                </anchor>
              </controlPr>
            </control>
          </mc:Choice>
        </mc:AlternateContent>
        <mc:AlternateContent xmlns:mc="http://schemas.openxmlformats.org/markup-compatibility/2006">
          <mc:Choice Requires="x14">
            <control shapeId="14348" r:id="rId5" name="Drop Down 12">
              <controlPr defaultSize="0" autoLine="0" autoPict="0">
                <anchor moveWithCells="1">
                  <from>
                    <xdr:col>3</xdr:col>
                    <xdr:colOff>28575</xdr:colOff>
                    <xdr:row>4</xdr:row>
                    <xdr:rowOff>0</xdr:rowOff>
                  </from>
                  <to>
                    <xdr:col>6</xdr:col>
                    <xdr:colOff>0</xdr:colOff>
                    <xdr:row>5</xdr:row>
                    <xdr:rowOff>28575</xdr:rowOff>
                  </to>
                </anchor>
              </controlPr>
            </control>
          </mc:Choice>
        </mc:AlternateContent>
        <mc:AlternateContent xmlns:mc="http://schemas.openxmlformats.org/markup-compatibility/2006">
          <mc:Choice Requires="x14">
            <control shapeId="14381" r:id="rId6" name="Drop Down 45">
              <controlPr defaultSize="0" autoLine="0" autoPict="0">
                <anchor moveWithCells="1">
                  <from>
                    <xdr:col>7</xdr:col>
                    <xdr:colOff>95250</xdr:colOff>
                    <xdr:row>12</xdr:row>
                    <xdr:rowOff>0</xdr:rowOff>
                  </from>
                  <to>
                    <xdr:col>8</xdr:col>
                    <xdr:colOff>647700</xdr:colOff>
                    <xdr:row>13</xdr:row>
                    <xdr:rowOff>57150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indexed="13"/>
  </sheetPr>
  <dimension ref="B2:T100"/>
  <sheetViews>
    <sheetView showGridLines="0" zoomScale="85" zoomScaleNormal="85" zoomScalePageLayoutView="150" workbookViewId="0">
      <pane xSplit="2" ySplit="17" topLeftCell="C18" activePane="bottomRight" state="frozen"/>
      <selection activeCell="E19" sqref="E19"/>
      <selection pane="topRight" activeCell="E19" sqref="E19"/>
      <selection pane="bottomLeft" activeCell="E19" sqref="E19"/>
      <selection pane="bottomRight" activeCell="H10" sqref="H10"/>
    </sheetView>
  </sheetViews>
  <sheetFormatPr defaultColWidth="11.42578125" defaultRowHeight="12.75"/>
  <cols>
    <col min="1" max="1" width="3.42578125" customWidth="1"/>
    <col min="2" max="2" width="15.28515625" customWidth="1"/>
    <col min="3" max="4" width="10.140625" bestFit="1" customWidth="1"/>
    <col min="5" max="5" width="9.42578125" customWidth="1"/>
    <col min="6" max="6" width="11.28515625" customWidth="1"/>
    <col min="7" max="7" width="9.42578125" customWidth="1"/>
    <col min="8" max="8" width="8.42578125" customWidth="1"/>
    <col min="9" max="10" width="10.85546875" customWidth="1"/>
    <col min="11" max="11" width="9.42578125" bestFit="1" customWidth="1"/>
    <col min="12" max="12" width="10.28515625" customWidth="1"/>
    <col min="13" max="13" width="10.140625" customWidth="1"/>
    <col min="14" max="14" width="8.42578125" customWidth="1"/>
    <col min="15" max="15" width="23.7109375" customWidth="1"/>
    <col min="16" max="16" width="9.28515625" customWidth="1"/>
    <col min="17" max="17" width="3.85546875" customWidth="1"/>
    <col min="18" max="19" width="13" customWidth="1"/>
    <col min="20" max="20" width="9.42578125" customWidth="1"/>
  </cols>
  <sheetData>
    <row r="2" spans="2:20" ht="15.75">
      <c r="C2" s="4" t="s">
        <v>106</v>
      </c>
      <c r="Q2" s="788" t="s">
        <v>107</v>
      </c>
      <c r="R2" s="788"/>
      <c r="S2" s="788"/>
      <c r="T2" s="788"/>
    </row>
    <row r="4" spans="2:20">
      <c r="C4" t="s">
        <v>26</v>
      </c>
    </row>
    <row r="5" spans="2:20">
      <c r="C5" t="s">
        <v>281</v>
      </c>
    </row>
    <row r="6" spans="2:20">
      <c r="C6" t="s">
        <v>29</v>
      </c>
    </row>
    <row r="7" spans="2:20">
      <c r="C7" t="s">
        <v>109</v>
      </c>
    </row>
    <row r="8" spans="2:20" ht="13.5" thickBot="1"/>
    <row r="9" spans="2:20" ht="13.5" thickBot="1">
      <c r="C9" s="789" t="s">
        <v>95</v>
      </c>
      <c r="D9" s="790"/>
      <c r="E9" s="790"/>
      <c r="F9" s="790"/>
      <c r="G9" s="790"/>
      <c r="H9" s="791"/>
      <c r="I9" s="797" t="s">
        <v>308</v>
      </c>
      <c r="J9" s="798"/>
      <c r="K9" s="798"/>
      <c r="L9" s="798"/>
      <c r="M9" s="798"/>
      <c r="N9" s="799"/>
      <c r="R9" s="174" t="s">
        <v>95</v>
      </c>
      <c r="S9" s="467" t="s">
        <v>308</v>
      </c>
    </row>
    <row r="10" spans="2:20" s="1" customFormat="1" ht="38.25" customHeight="1">
      <c r="B10" s="26"/>
      <c r="C10" s="637" t="s">
        <v>341</v>
      </c>
      <c r="D10" s="27" t="s">
        <v>340</v>
      </c>
      <c r="E10" s="27" t="s">
        <v>338</v>
      </c>
      <c r="F10" s="27" t="s">
        <v>206</v>
      </c>
      <c r="G10" s="27" t="s">
        <v>339</v>
      </c>
      <c r="H10" s="28" t="s">
        <v>161</v>
      </c>
      <c r="I10" s="584" t="s">
        <v>104</v>
      </c>
      <c r="J10" s="585" t="s">
        <v>105</v>
      </c>
      <c r="K10" s="585" t="s">
        <v>0</v>
      </c>
      <c r="L10" s="585" t="s">
        <v>206</v>
      </c>
      <c r="M10" s="585" t="s">
        <v>103</v>
      </c>
      <c r="N10" s="586" t="s">
        <v>161</v>
      </c>
      <c r="O10" s="466" t="s">
        <v>28</v>
      </c>
      <c r="R10" s="792" t="s">
        <v>147</v>
      </c>
      <c r="S10" s="792" t="s">
        <v>315</v>
      </c>
    </row>
    <row r="11" spans="2:20" s="3" customFormat="1" ht="13.5" thickBot="1">
      <c r="B11" s="23"/>
      <c r="C11" s="23" t="s">
        <v>11</v>
      </c>
      <c r="D11" s="24" t="s">
        <v>11</v>
      </c>
      <c r="E11" s="24" t="s">
        <v>11</v>
      </c>
      <c r="F11" s="24" t="s">
        <v>11</v>
      </c>
      <c r="G11" s="24" t="s">
        <v>11</v>
      </c>
      <c r="H11" s="25"/>
      <c r="I11" s="23" t="s">
        <v>11</v>
      </c>
      <c r="J11" s="24" t="s">
        <v>11</v>
      </c>
      <c r="K11" s="24" t="s">
        <v>11</v>
      </c>
      <c r="L11" s="24" t="s">
        <v>11</v>
      </c>
      <c r="M11" s="24" t="s">
        <v>11</v>
      </c>
      <c r="N11" s="25"/>
      <c r="O11" s="587"/>
      <c r="R11" s="793"/>
      <c r="S11" s="793"/>
    </row>
    <row r="12" spans="2:20" s="3" customFormat="1" ht="13.5" thickBot="1">
      <c r="B12" s="172" t="s">
        <v>25</v>
      </c>
      <c r="C12" s="170">
        <v>0.4</v>
      </c>
      <c r="D12" s="22">
        <v>0.8</v>
      </c>
      <c r="E12" s="22">
        <v>1</v>
      </c>
      <c r="F12" s="22">
        <v>0.5</v>
      </c>
      <c r="G12" s="22">
        <v>0.6</v>
      </c>
      <c r="H12" s="14"/>
      <c r="I12" s="170">
        <v>0.4</v>
      </c>
      <c r="J12" s="22">
        <v>0.8</v>
      </c>
      <c r="K12" s="22">
        <v>1</v>
      </c>
      <c r="L12" s="22">
        <v>0.5</v>
      </c>
      <c r="M12" s="22">
        <v>0.6</v>
      </c>
      <c r="N12" s="14"/>
      <c r="O12" s="588"/>
      <c r="R12" s="793"/>
      <c r="S12" s="793"/>
    </row>
    <row r="13" spans="2:20" s="3" customFormat="1" ht="26.25" thickBot="1">
      <c r="B13" s="172" t="s">
        <v>159</v>
      </c>
      <c r="C13" s="171">
        <f>C12</f>
        <v>0.4</v>
      </c>
      <c r="D13" s="60">
        <f>D12</f>
        <v>0.8</v>
      </c>
      <c r="E13" s="60">
        <f>E12</f>
        <v>1</v>
      </c>
      <c r="F13" s="60">
        <f>F12</f>
        <v>0.5</v>
      </c>
      <c r="G13" s="60">
        <f>G12</f>
        <v>0.6</v>
      </c>
      <c r="H13" s="168"/>
      <c r="I13" s="171">
        <v>0.4</v>
      </c>
      <c r="J13" s="60">
        <v>0.8</v>
      </c>
      <c r="K13" s="60">
        <v>1</v>
      </c>
      <c r="L13" s="60">
        <v>0.5</v>
      </c>
      <c r="M13" s="60">
        <v>0.6</v>
      </c>
      <c r="N13" s="168"/>
      <c r="O13" s="589"/>
      <c r="R13" s="793"/>
      <c r="S13" s="793"/>
    </row>
    <row r="14" spans="2:20" s="3" customFormat="1" ht="13.5" thickBot="1">
      <c r="B14" s="32"/>
      <c r="C14" s="32"/>
      <c r="D14" s="21"/>
      <c r="E14" s="21"/>
      <c r="F14" s="21"/>
      <c r="G14" s="21"/>
      <c r="H14" s="169"/>
      <c r="I14" s="32"/>
      <c r="J14" s="21"/>
      <c r="K14" s="21"/>
      <c r="L14" s="21"/>
      <c r="M14" s="21"/>
      <c r="N14" s="169"/>
      <c r="O14" s="590"/>
      <c r="R14" s="793"/>
      <c r="S14" s="793"/>
    </row>
    <row r="15" spans="2:20" s="3" customFormat="1" ht="12.75" customHeight="1" thickBot="1">
      <c r="B15" s="266"/>
      <c r="C15" s="785" t="s">
        <v>158</v>
      </c>
      <c r="D15" s="786"/>
      <c r="E15" s="786"/>
      <c r="F15" s="786"/>
      <c r="G15" s="786"/>
      <c r="H15" s="787"/>
      <c r="I15" s="785" t="s">
        <v>158</v>
      </c>
      <c r="J15" s="786"/>
      <c r="K15" s="786"/>
      <c r="L15" s="786"/>
      <c r="M15" s="786"/>
      <c r="N15" s="787"/>
      <c r="O15" s="591"/>
      <c r="R15" s="793"/>
      <c r="S15" s="793"/>
    </row>
    <row r="16" spans="2:20" s="3" customFormat="1" ht="26.25" thickBot="1">
      <c r="B16" s="172" t="s">
        <v>160</v>
      </c>
      <c r="C16" s="269">
        <v>0</v>
      </c>
      <c r="D16" s="270">
        <v>1</v>
      </c>
      <c r="E16" s="270">
        <v>0</v>
      </c>
      <c r="F16" s="270">
        <v>0</v>
      </c>
      <c r="G16" s="270">
        <v>0</v>
      </c>
      <c r="H16" s="795" t="s">
        <v>36</v>
      </c>
      <c r="I16" s="592">
        <v>0.2</v>
      </c>
      <c r="J16" s="593">
        <v>0.3</v>
      </c>
      <c r="K16" s="593">
        <v>0.25</v>
      </c>
      <c r="L16" s="593">
        <v>0.05</v>
      </c>
      <c r="M16" s="593">
        <v>0.2</v>
      </c>
      <c r="N16" s="795" t="s">
        <v>36</v>
      </c>
      <c r="O16" s="594"/>
      <c r="R16" s="794"/>
      <c r="S16" s="794"/>
    </row>
    <row r="17" spans="2:19" s="3" customFormat="1" ht="13.5" thickBot="1">
      <c r="B17" s="15" t="s">
        <v>1</v>
      </c>
      <c r="C17" s="15" t="s">
        <v>24</v>
      </c>
      <c r="D17" s="16" t="s">
        <v>24</v>
      </c>
      <c r="E17" s="16" t="s">
        <v>24</v>
      </c>
      <c r="F17" s="16" t="s">
        <v>24</v>
      </c>
      <c r="G17" s="16" t="s">
        <v>24</v>
      </c>
      <c r="H17" s="796"/>
      <c r="I17" s="15" t="s">
        <v>24</v>
      </c>
      <c r="J17" s="16" t="s">
        <v>24</v>
      </c>
      <c r="K17" s="16" t="s">
        <v>24</v>
      </c>
      <c r="L17" s="16" t="s">
        <v>24</v>
      </c>
      <c r="M17" s="16" t="s">
        <v>24</v>
      </c>
      <c r="N17" s="796"/>
      <c r="O17" s="587"/>
      <c r="R17" s="172" t="s">
        <v>157</v>
      </c>
      <c r="S17" s="595" t="s">
        <v>157</v>
      </c>
    </row>
    <row r="18" spans="2:19">
      <c r="B18" s="300">
        <f>year</f>
        <v>2000</v>
      </c>
      <c r="C18" s="267">
        <f>C$16</f>
        <v>0</v>
      </c>
      <c r="D18" s="268">
        <f t="shared" ref="D18:G33" si="0">D$16</f>
        <v>1</v>
      </c>
      <c r="E18" s="268">
        <f t="shared" si="0"/>
        <v>0</v>
      </c>
      <c r="F18" s="268">
        <f t="shared" si="0"/>
        <v>0</v>
      </c>
      <c r="G18" s="268">
        <f t="shared" si="0"/>
        <v>0</v>
      </c>
      <c r="H18" s="33">
        <f>SUM(C18:G18)</f>
        <v>1</v>
      </c>
      <c r="I18" s="267">
        <f>I$16</f>
        <v>0.2</v>
      </c>
      <c r="J18" s="268">
        <f t="shared" ref="J18:M33" si="1">J$16</f>
        <v>0.3</v>
      </c>
      <c r="K18" s="268">
        <f t="shared" si="1"/>
        <v>0.25</v>
      </c>
      <c r="L18" s="268">
        <f t="shared" si="1"/>
        <v>0.05</v>
      </c>
      <c r="M18" s="268">
        <f t="shared" si="1"/>
        <v>0.2</v>
      </c>
      <c r="N18" s="33">
        <f>SUM(I18:M18)</f>
        <v>1</v>
      </c>
      <c r="O18" s="58"/>
      <c r="R18" s="173">
        <f>C18*C$13+D18*D$13+E18*E$13+F18*F$13+G18*G$13</f>
        <v>0.8</v>
      </c>
      <c r="S18" s="596">
        <f>I18*I$13+J18*J$13+K18*K$13+L18*L$13+M18*M$13</f>
        <v>0.71500000000000008</v>
      </c>
    </row>
    <row r="19" spans="2:19">
      <c r="B19" s="301">
        <f t="shared" ref="B19:B50" si="2">B18+1</f>
        <v>2001</v>
      </c>
      <c r="C19" s="61">
        <f t="shared" ref="C19:G50" si="3">C$16</f>
        <v>0</v>
      </c>
      <c r="D19" s="62">
        <f t="shared" si="0"/>
        <v>1</v>
      </c>
      <c r="E19" s="62">
        <f t="shared" si="0"/>
        <v>0</v>
      </c>
      <c r="F19" s="62">
        <f t="shared" si="0"/>
        <v>0</v>
      </c>
      <c r="G19" s="62">
        <f t="shared" si="0"/>
        <v>0</v>
      </c>
      <c r="H19" s="29">
        <f t="shared" ref="H19:H82" si="4">SUM(C19:G19)</f>
        <v>1</v>
      </c>
      <c r="I19" s="61">
        <f t="shared" ref="I19:M50" si="5">I$16</f>
        <v>0.2</v>
      </c>
      <c r="J19" s="62">
        <f t="shared" si="1"/>
        <v>0.3</v>
      </c>
      <c r="K19" s="62">
        <f t="shared" si="1"/>
        <v>0.25</v>
      </c>
      <c r="L19" s="62">
        <f t="shared" si="1"/>
        <v>0.05</v>
      </c>
      <c r="M19" s="62">
        <f t="shared" si="1"/>
        <v>0.2</v>
      </c>
      <c r="N19" s="29">
        <f t="shared" ref="N19:N82" si="6">SUM(I19:M19)</f>
        <v>1</v>
      </c>
      <c r="O19" s="271"/>
      <c r="R19" s="173">
        <f t="shared" ref="R19:R82" si="7">C19*C$13+D19*D$13+E19*E$13+F19*F$13+G19*G$13</f>
        <v>0.8</v>
      </c>
      <c r="S19" s="596">
        <f t="shared" ref="S19:S82" si="8">I19*I$13+J19*J$13+K19*K$13+L19*L$13+M19*M$13</f>
        <v>0.71500000000000008</v>
      </c>
    </row>
    <row r="20" spans="2:19">
      <c r="B20" s="301">
        <f t="shared" si="2"/>
        <v>2002</v>
      </c>
      <c r="C20" s="61">
        <f t="shared" si="3"/>
        <v>0</v>
      </c>
      <c r="D20" s="62">
        <f t="shared" si="0"/>
        <v>1</v>
      </c>
      <c r="E20" s="62">
        <f t="shared" si="0"/>
        <v>0</v>
      </c>
      <c r="F20" s="62">
        <f t="shared" si="0"/>
        <v>0</v>
      </c>
      <c r="G20" s="62">
        <f t="shared" si="0"/>
        <v>0</v>
      </c>
      <c r="H20" s="29">
        <f t="shared" si="4"/>
        <v>1</v>
      </c>
      <c r="I20" s="61">
        <f t="shared" si="5"/>
        <v>0.2</v>
      </c>
      <c r="J20" s="62">
        <f t="shared" si="1"/>
        <v>0.3</v>
      </c>
      <c r="K20" s="62">
        <f t="shared" si="1"/>
        <v>0.25</v>
      </c>
      <c r="L20" s="62">
        <f t="shared" si="1"/>
        <v>0.05</v>
      </c>
      <c r="M20" s="62">
        <f t="shared" si="1"/>
        <v>0.2</v>
      </c>
      <c r="N20" s="29">
        <f t="shared" si="6"/>
        <v>1</v>
      </c>
      <c r="O20" s="271"/>
      <c r="R20" s="173">
        <f t="shared" si="7"/>
        <v>0.8</v>
      </c>
      <c r="S20" s="596">
        <f t="shared" si="8"/>
        <v>0.71500000000000008</v>
      </c>
    </row>
    <row r="21" spans="2:19">
      <c r="B21" s="301">
        <f t="shared" si="2"/>
        <v>2003</v>
      </c>
      <c r="C21" s="61">
        <f t="shared" si="3"/>
        <v>0</v>
      </c>
      <c r="D21" s="62">
        <f t="shared" si="0"/>
        <v>1</v>
      </c>
      <c r="E21" s="62">
        <f t="shared" si="0"/>
        <v>0</v>
      </c>
      <c r="F21" s="62">
        <f t="shared" si="0"/>
        <v>0</v>
      </c>
      <c r="G21" s="62">
        <f t="shared" si="0"/>
        <v>0</v>
      </c>
      <c r="H21" s="29">
        <f t="shared" si="4"/>
        <v>1</v>
      </c>
      <c r="I21" s="61">
        <f t="shared" si="5"/>
        <v>0.2</v>
      </c>
      <c r="J21" s="62">
        <f t="shared" si="1"/>
        <v>0.3</v>
      </c>
      <c r="K21" s="62">
        <f t="shared" si="1"/>
        <v>0.25</v>
      </c>
      <c r="L21" s="62">
        <f t="shared" si="1"/>
        <v>0.05</v>
      </c>
      <c r="M21" s="62">
        <f t="shared" si="1"/>
        <v>0.2</v>
      </c>
      <c r="N21" s="29">
        <f t="shared" si="6"/>
        <v>1</v>
      </c>
      <c r="O21" s="271"/>
      <c r="R21" s="173">
        <f t="shared" si="7"/>
        <v>0.8</v>
      </c>
      <c r="S21" s="596">
        <f t="shared" si="8"/>
        <v>0.71500000000000008</v>
      </c>
    </row>
    <row r="22" spans="2:19">
      <c r="B22" s="301">
        <f t="shared" si="2"/>
        <v>2004</v>
      </c>
      <c r="C22" s="61">
        <f t="shared" si="3"/>
        <v>0</v>
      </c>
      <c r="D22" s="62">
        <f t="shared" si="0"/>
        <v>1</v>
      </c>
      <c r="E22" s="62">
        <f t="shared" si="0"/>
        <v>0</v>
      </c>
      <c r="F22" s="62">
        <f t="shared" si="0"/>
        <v>0</v>
      </c>
      <c r="G22" s="62">
        <f t="shared" si="0"/>
        <v>0</v>
      </c>
      <c r="H22" s="29">
        <f t="shared" si="4"/>
        <v>1</v>
      </c>
      <c r="I22" s="61">
        <f t="shared" si="5"/>
        <v>0.2</v>
      </c>
      <c r="J22" s="62">
        <f t="shared" si="1"/>
        <v>0.3</v>
      </c>
      <c r="K22" s="62">
        <f t="shared" si="1"/>
        <v>0.25</v>
      </c>
      <c r="L22" s="62">
        <f t="shared" si="1"/>
        <v>0.05</v>
      </c>
      <c r="M22" s="62">
        <f t="shared" si="1"/>
        <v>0.2</v>
      </c>
      <c r="N22" s="29">
        <f t="shared" si="6"/>
        <v>1</v>
      </c>
      <c r="O22" s="271"/>
      <c r="R22" s="173">
        <f t="shared" si="7"/>
        <v>0.8</v>
      </c>
      <c r="S22" s="596">
        <f t="shared" si="8"/>
        <v>0.71500000000000008</v>
      </c>
    </row>
    <row r="23" spans="2:19">
      <c r="B23" s="301">
        <f t="shared" si="2"/>
        <v>2005</v>
      </c>
      <c r="C23" s="61">
        <f t="shared" si="3"/>
        <v>0</v>
      </c>
      <c r="D23" s="62">
        <f t="shared" si="0"/>
        <v>1</v>
      </c>
      <c r="E23" s="62">
        <f t="shared" si="0"/>
        <v>0</v>
      </c>
      <c r="F23" s="62">
        <f t="shared" si="0"/>
        <v>0</v>
      </c>
      <c r="G23" s="62">
        <f t="shared" si="0"/>
        <v>0</v>
      </c>
      <c r="H23" s="29">
        <f t="shared" si="4"/>
        <v>1</v>
      </c>
      <c r="I23" s="61">
        <f t="shared" si="5"/>
        <v>0.2</v>
      </c>
      <c r="J23" s="62">
        <f t="shared" si="1"/>
        <v>0.3</v>
      </c>
      <c r="K23" s="62">
        <f t="shared" si="1"/>
        <v>0.25</v>
      </c>
      <c r="L23" s="62">
        <f t="shared" si="1"/>
        <v>0.05</v>
      </c>
      <c r="M23" s="62">
        <f t="shared" si="1"/>
        <v>0.2</v>
      </c>
      <c r="N23" s="29">
        <f t="shared" si="6"/>
        <v>1</v>
      </c>
      <c r="O23" s="271"/>
      <c r="R23" s="173">
        <f t="shared" si="7"/>
        <v>0.8</v>
      </c>
      <c r="S23" s="596">
        <f t="shared" si="8"/>
        <v>0.71500000000000008</v>
      </c>
    </row>
    <row r="24" spans="2:19">
      <c r="B24" s="301">
        <f t="shared" si="2"/>
        <v>2006</v>
      </c>
      <c r="C24" s="61">
        <f t="shared" si="3"/>
        <v>0</v>
      </c>
      <c r="D24" s="62">
        <f t="shared" si="0"/>
        <v>1</v>
      </c>
      <c r="E24" s="62">
        <f t="shared" si="0"/>
        <v>0</v>
      </c>
      <c r="F24" s="62">
        <f t="shared" si="0"/>
        <v>0</v>
      </c>
      <c r="G24" s="62">
        <f t="shared" si="0"/>
        <v>0</v>
      </c>
      <c r="H24" s="29">
        <f t="shared" si="4"/>
        <v>1</v>
      </c>
      <c r="I24" s="61">
        <f t="shared" si="5"/>
        <v>0.2</v>
      </c>
      <c r="J24" s="62">
        <f t="shared" si="1"/>
        <v>0.3</v>
      </c>
      <c r="K24" s="62">
        <f t="shared" si="1"/>
        <v>0.25</v>
      </c>
      <c r="L24" s="62">
        <f t="shared" si="1"/>
        <v>0.05</v>
      </c>
      <c r="M24" s="62">
        <f t="shared" si="1"/>
        <v>0.2</v>
      </c>
      <c r="N24" s="29">
        <f t="shared" si="6"/>
        <v>1</v>
      </c>
      <c r="O24" s="271"/>
      <c r="R24" s="173">
        <f t="shared" si="7"/>
        <v>0.8</v>
      </c>
      <c r="S24" s="596">
        <f t="shared" si="8"/>
        <v>0.71500000000000008</v>
      </c>
    </row>
    <row r="25" spans="2:19">
      <c r="B25" s="301">
        <f t="shared" si="2"/>
        <v>2007</v>
      </c>
      <c r="C25" s="61">
        <f t="shared" si="3"/>
        <v>0</v>
      </c>
      <c r="D25" s="62">
        <f t="shared" si="0"/>
        <v>1</v>
      </c>
      <c r="E25" s="62">
        <f t="shared" si="0"/>
        <v>0</v>
      </c>
      <c r="F25" s="62">
        <f t="shared" si="0"/>
        <v>0</v>
      </c>
      <c r="G25" s="62">
        <f t="shared" si="0"/>
        <v>0</v>
      </c>
      <c r="H25" s="29">
        <f t="shared" si="4"/>
        <v>1</v>
      </c>
      <c r="I25" s="61">
        <f t="shared" si="5"/>
        <v>0.2</v>
      </c>
      <c r="J25" s="62">
        <f t="shared" si="1"/>
        <v>0.3</v>
      </c>
      <c r="K25" s="62">
        <f t="shared" si="1"/>
        <v>0.25</v>
      </c>
      <c r="L25" s="62">
        <f t="shared" si="1"/>
        <v>0.05</v>
      </c>
      <c r="M25" s="62">
        <f t="shared" si="1"/>
        <v>0.2</v>
      </c>
      <c r="N25" s="29">
        <f t="shared" si="6"/>
        <v>1</v>
      </c>
      <c r="O25" s="271"/>
      <c r="R25" s="173">
        <f t="shared" si="7"/>
        <v>0.8</v>
      </c>
      <c r="S25" s="596">
        <f t="shared" si="8"/>
        <v>0.71500000000000008</v>
      </c>
    </row>
    <row r="26" spans="2:19">
      <c r="B26" s="301">
        <f t="shared" si="2"/>
        <v>2008</v>
      </c>
      <c r="C26" s="61">
        <f t="shared" si="3"/>
        <v>0</v>
      </c>
      <c r="D26" s="62">
        <f t="shared" si="0"/>
        <v>1</v>
      </c>
      <c r="E26" s="62">
        <f t="shared" si="0"/>
        <v>0</v>
      </c>
      <c r="F26" s="62">
        <f t="shared" si="0"/>
        <v>0</v>
      </c>
      <c r="G26" s="62">
        <f t="shared" si="0"/>
        <v>0</v>
      </c>
      <c r="H26" s="29">
        <f t="shared" si="4"/>
        <v>1</v>
      </c>
      <c r="I26" s="61">
        <f t="shared" si="5"/>
        <v>0.2</v>
      </c>
      <c r="J26" s="62">
        <f t="shared" si="1"/>
        <v>0.3</v>
      </c>
      <c r="K26" s="62">
        <f t="shared" si="1"/>
        <v>0.25</v>
      </c>
      <c r="L26" s="62">
        <f t="shared" si="1"/>
        <v>0.05</v>
      </c>
      <c r="M26" s="62">
        <f t="shared" si="1"/>
        <v>0.2</v>
      </c>
      <c r="N26" s="29">
        <f t="shared" si="6"/>
        <v>1</v>
      </c>
      <c r="O26" s="271"/>
      <c r="R26" s="173">
        <f t="shared" si="7"/>
        <v>0.8</v>
      </c>
      <c r="S26" s="596">
        <f t="shared" si="8"/>
        <v>0.71500000000000008</v>
      </c>
    </row>
    <row r="27" spans="2:19">
      <c r="B27" s="301">
        <f t="shared" si="2"/>
        <v>2009</v>
      </c>
      <c r="C27" s="61">
        <f t="shared" si="3"/>
        <v>0</v>
      </c>
      <c r="D27" s="62">
        <f t="shared" si="0"/>
        <v>1</v>
      </c>
      <c r="E27" s="62">
        <f t="shared" si="0"/>
        <v>0</v>
      </c>
      <c r="F27" s="62">
        <f t="shared" si="0"/>
        <v>0</v>
      </c>
      <c r="G27" s="62">
        <f t="shared" si="0"/>
        <v>0</v>
      </c>
      <c r="H27" s="29">
        <f t="shared" si="4"/>
        <v>1</v>
      </c>
      <c r="I27" s="61">
        <f t="shared" si="5"/>
        <v>0.2</v>
      </c>
      <c r="J27" s="62">
        <f t="shared" si="1"/>
        <v>0.3</v>
      </c>
      <c r="K27" s="62">
        <f t="shared" si="1"/>
        <v>0.25</v>
      </c>
      <c r="L27" s="62">
        <f t="shared" si="1"/>
        <v>0.05</v>
      </c>
      <c r="M27" s="62">
        <f t="shared" si="1"/>
        <v>0.2</v>
      </c>
      <c r="N27" s="29">
        <f t="shared" si="6"/>
        <v>1</v>
      </c>
      <c r="O27" s="271"/>
      <c r="R27" s="173">
        <f t="shared" si="7"/>
        <v>0.8</v>
      </c>
      <c r="S27" s="596">
        <f t="shared" si="8"/>
        <v>0.71500000000000008</v>
      </c>
    </row>
    <row r="28" spans="2:19">
      <c r="B28" s="301">
        <f t="shared" si="2"/>
        <v>2010</v>
      </c>
      <c r="C28" s="61">
        <f t="shared" si="3"/>
        <v>0</v>
      </c>
      <c r="D28" s="62">
        <f t="shared" si="0"/>
        <v>1</v>
      </c>
      <c r="E28" s="62">
        <f t="shared" si="0"/>
        <v>0</v>
      </c>
      <c r="F28" s="62">
        <f t="shared" si="0"/>
        <v>0</v>
      </c>
      <c r="G28" s="62">
        <f t="shared" si="0"/>
        <v>0</v>
      </c>
      <c r="H28" s="29">
        <f t="shared" si="4"/>
        <v>1</v>
      </c>
      <c r="I28" s="61">
        <f t="shared" si="5"/>
        <v>0.2</v>
      </c>
      <c r="J28" s="62">
        <f t="shared" si="1"/>
        <v>0.3</v>
      </c>
      <c r="K28" s="62">
        <f t="shared" si="1"/>
        <v>0.25</v>
      </c>
      <c r="L28" s="62">
        <f t="shared" si="1"/>
        <v>0.05</v>
      </c>
      <c r="M28" s="62">
        <f t="shared" si="1"/>
        <v>0.2</v>
      </c>
      <c r="N28" s="29">
        <f t="shared" si="6"/>
        <v>1</v>
      </c>
      <c r="O28" s="271"/>
      <c r="R28" s="173">
        <f t="shared" si="7"/>
        <v>0.8</v>
      </c>
      <c r="S28" s="596">
        <f t="shared" si="8"/>
        <v>0.71500000000000008</v>
      </c>
    </row>
    <row r="29" spans="2:19">
      <c r="B29" s="301">
        <f t="shared" si="2"/>
        <v>2011</v>
      </c>
      <c r="C29" s="61">
        <f t="shared" si="3"/>
        <v>0</v>
      </c>
      <c r="D29" s="62">
        <f t="shared" si="0"/>
        <v>1</v>
      </c>
      <c r="E29" s="62">
        <f t="shared" si="0"/>
        <v>0</v>
      </c>
      <c r="F29" s="62">
        <f t="shared" si="0"/>
        <v>0</v>
      </c>
      <c r="G29" s="62">
        <f t="shared" si="0"/>
        <v>0</v>
      </c>
      <c r="H29" s="29">
        <f t="shared" si="4"/>
        <v>1</v>
      </c>
      <c r="I29" s="61">
        <f t="shared" si="5"/>
        <v>0.2</v>
      </c>
      <c r="J29" s="62">
        <f t="shared" si="1"/>
        <v>0.3</v>
      </c>
      <c r="K29" s="62">
        <f t="shared" si="1"/>
        <v>0.25</v>
      </c>
      <c r="L29" s="62">
        <f t="shared" si="1"/>
        <v>0.05</v>
      </c>
      <c r="M29" s="62">
        <f t="shared" si="1"/>
        <v>0.2</v>
      </c>
      <c r="N29" s="29">
        <f t="shared" si="6"/>
        <v>1</v>
      </c>
      <c r="O29" s="271"/>
      <c r="R29" s="173">
        <f t="shared" si="7"/>
        <v>0.8</v>
      </c>
      <c r="S29" s="596">
        <f t="shared" si="8"/>
        <v>0.71500000000000008</v>
      </c>
    </row>
    <row r="30" spans="2:19">
      <c r="B30" s="301">
        <f t="shared" si="2"/>
        <v>2012</v>
      </c>
      <c r="C30" s="61">
        <f t="shared" si="3"/>
        <v>0</v>
      </c>
      <c r="D30" s="62">
        <f t="shared" si="0"/>
        <v>1</v>
      </c>
      <c r="E30" s="62">
        <f t="shared" si="0"/>
        <v>0</v>
      </c>
      <c r="F30" s="62">
        <f t="shared" si="0"/>
        <v>0</v>
      </c>
      <c r="G30" s="62">
        <f t="shared" si="0"/>
        <v>0</v>
      </c>
      <c r="H30" s="29">
        <f t="shared" si="4"/>
        <v>1</v>
      </c>
      <c r="I30" s="61">
        <f t="shared" si="5"/>
        <v>0.2</v>
      </c>
      <c r="J30" s="62">
        <f t="shared" si="1"/>
        <v>0.3</v>
      </c>
      <c r="K30" s="62">
        <f t="shared" si="1"/>
        <v>0.25</v>
      </c>
      <c r="L30" s="62">
        <f t="shared" si="1"/>
        <v>0.05</v>
      </c>
      <c r="M30" s="62">
        <f t="shared" si="1"/>
        <v>0.2</v>
      </c>
      <c r="N30" s="29">
        <f t="shared" si="6"/>
        <v>1</v>
      </c>
      <c r="O30" s="271"/>
      <c r="R30" s="173">
        <f t="shared" si="7"/>
        <v>0.8</v>
      </c>
      <c r="S30" s="596">
        <f t="shared" si="8"/>
        <v>0.71500000000000008</v>
      </c>
    </row>
    <row r="31" spans="2:19">
      <c r="B31" s="301">
        <f t="shared" si="2"/>
        <v>2013</v>
      </c>
      <c r="C31" s="61">
        <f t="shared" si="3"/>
        <v>0</v>
      </c>
      <c r="D31" s="62">
        <f t="shared" si="0"/>
        <v>1</v>
      </c>
      <c r="E31" s="62">
        <f t="shared" si="0"/>
        <v>0</v>
      </c>
      <c r="F31" s="62">
        <f t="shared" si="0"/>
        <v>0</v>
      </c>
      <c r="G31" s="62">
        <f t="shared" si="0"/>
        <v>0</v>
      </c>
      <c r="H31" s="29">
        <f t="shared" si="4"/>
        <v>1</v>
      </c>
      <c r="I31" s="61">
        <f t="shared" si="5"/>
        <v>0.2</v>
      </c>
      <c r="J31" s="62">
        <f t="shared" si="1"/>
        <v>0.3</v>
      </c>
      <c r="K31" s="62">
        <f t="shared" si="1"/>
        <v>0.25</v>
      </c>
      <c r="L31" s="62">
        <f t="shared" si="1"/>
        <v>0.05</v>
      </c>
      <c r="M31" s="62">
        <f t="shared" si="1"/>
        <v>0.2</v>
      </c>
      <c r="N31" s="29">
        <f t="shared" si="6"/>
        <v>1</v>
      </c>
      <c r="O31" s="271"/>
      <c r="R31" s="173">
        <f t="shared" si="7"/>
        <v>0.8</v>
      </c>
      <c r="S31" s="596">
        <f t="shared" si="8"/>
        <v>0.71500000000000008</v>
      </c>
    </row>
    <row r="32" spans="2:19">
      <c r="B32" s="301">
        <f t="shared" si="2"/>
        <v>2014</v>
      </c>
      <c r="C32" s="61">
        <f t="shared" si="3"/>
        <v>0</v>
      </c>
      <c r="D32" s="62">
        <f t="shared" si="0"/>
        <v>1</v>
      </c>
      <c r="E32" s="62">
        <f t="shared" si="0"/>
        <v>0</v>
      </c>
      <c r="F32" s="62">
        <f t="shared" si="0"/>
        <v>0</v>
      </c>
      <c r="G32" s="62">
        <f t="shared" si="0"/>
        <v>0</v>
      </c>
      <c r="H32" s="29">
        <f t="shared" si="4"/>
        <v>1</v>
      </c>
      <c r="I32" s="61">
        <f t="shared" si="5"/>
        <v>0.2</v>
      </c>
      <c r="J32" s="62">
        <f t="shared" si="1"/>
        <v>0.3</v>
      </c>
      <c r="K32" s="62">
        <f t="shared" si="1"/>
        <v>0.25</v>
      </c>
      <c r="L32" s="62">
        <f t="shared" si="1"/>
        <v>0.05</v>
      </c>
      <c r="M32" s="62">
        <f t="shared" si="1"/>
        <v>0.2</v>
      </c>
      <c r="N32" s="29">
        <f t="shared" si="6"/>
        <v>1</v>
      </c>
      <c r="O32" s="271"/>
      <c r="R32" s="173">
        <f t="shared" si="7"/>
        <v>0.8</v>
      </c>
      <c r="S32" s="596">
        <f t="shared" si="8"/>
        <v>0.71500000000000008</v>
      </c>
    </row>
    <row r="33" spans="2:19">
      <c r="B33" s="301">
        <f t="shared" si="2"/>
        <v>2015</v>
      </c>
      <c r="C33" s="61">
        <f t="shared" si="3"/>
        <v>0</v>
      </c>
      <c r="D33" s="62">
        <f t="shared" si="0"/>
        <v>1</v>
      </c>
      <c r="E33" s="62">
        <f t="shared" si="0"/>
        <v>0</v>
      </c>
      <c r="F33" s="62">
        <f t="shared" si="0"/>
        <v>0</v>
      </c>
      <c r="G33" s="62">
        <f t="shared" si="0"/>
        <v>0</v>
      </c>
      <c r="H33" s="29">
        <f t="shared" si="4"/>
        <v>1</v>
      </c>
      <c r="I33" s="61">
        <f t="shared" si="5"/>
        <v>0.2</v>
      </c>
      <c r="J33" s="62">
        <f t="shared" si="1"/>
        <v>0.3</v>
      </c>
      <c r="K33" s="62">
        <f t="shared" si="1"/>
        <v>0.25</v>
      </c>
      <c r="L33" s="62">
        <f t="shared" si="1"/>
        <v>0.05</v>
      </c>
      <c r="M33" s="62">
        <f t="shared" si="1"/>
        <v>0.2</v>
      </c>
      <c r="N33" s="29">
        <f t="shared" si="6"/>
        <v>1</v>
      </c>
      <c r="O33" s="271"/>
      <c r="R33" s="173">
        <f t="shared" si="7"/>
        <v>0.8</v>
      </c>
      <c r="S33" s="596">
        <f t="shared" si="8"/>
        <v>0.71500000000000008</v>
      </c>
    </row>
    <row r="34" spans="2:19">
      <c r="B34" s="301">
        <f t="shared" si="2"/>
        <v>2016</v>
      </c>
      <c r="C34" s="61">
        <f t="shared" si="3"/>
        <v>0</v>
      </c>
      <c r="D34" s="62">
        <f t="shared" si="3"/>
        <v>1</v>
      </c>
      <c r="E34" s="62">
        <f t="shared" si="3"/>
        <v>0</v>
      </c>
      <c r="F34" s="62">
        <f t="shared" si="3"/>
        <v>0</v>
      </c>
      <c r="G34" s="62">
        <f t="shared" si="3"/>
        <v>0</v>
      </c>
      <c r="H34" s="29">
        <f t="shared" si="4"/>
        <v>1</v>
      </c>
      <c r="I34" s="61">
        <f t="shared" si="5"/>
        <v>0.2</v>
      </c>
      <c r="J34" s="62">
        <f t="shared" si="5"/>
        <v>0.3</v>
      </c>
      <c r="K34" s="62">
        <f t="shared" si="5"/>
        <v>0.25</v>
      </c>
      <c r="L34" s="62">
        <f t="shared" si="5"/>
        <v>0.05</v>
      </c>
      <c r="M34" s="62">
        <f t="shared" si="5"/>
        <v>0.2</v>
      </c>
      <c r="N34" s="29">
        <f t="shared" si="6"/>
        <v>1</v>
      </c>
      <c r="O34" s="271"/>
      <c r="R34" s="173">
        <f t="shared" si="7"/>
        <v>0.8</v>
      </c>
      <c r="S34" s="596">
        <f t="shared" si="8"/>
        <v>0.71500000000000008</v>
      </c>
    </row>
    <row r="35" spans="2:19">
      <c r="B35" s="301">
        <f t="shared" si="2"/>
        <v>2017</v>
      </c>
      <c r="C35" s="61">
        <f t="shared" si="3"/>
        <v>0</v>
      </c>
      <c r="D35" s="62">
        <f t="shared" si="3"/>
        <v>1</v>
      </c>
      <c r="E35" s="62">
        <f t="shared" si="3"/>
        <v>0</v>
      </c>
      <c r="F35" s="62">
        <f t="shared" si="3"/>
        <v>0</v>
      </c>
      <c r="G35" s="62">
        <f t="shared" si="3"/>
        <v>0</v>
      </c>
      <c r="H35" s="29">
        <f t="shared" si="4"/>
        <v>1</v>
      </c>
      <c r="I35" s="61">
        <f t="shared" si="5"/>
        <v>0.2</v>
      </c>
      <c r="J35" s="62">
        <f t="shared" si="5"/>
        <v>0.3</v>
      </c>
      <c r="K35" s="62">
        <f t="shared" si="5"/>
        <v>0.25</v>
      </c>
      <c r="L35" s="62">
        <f t="shared" si="5"/>
        <v>0.05</v>
      </c>
      <c r="M35" s="62">
        <f t="shared" si="5"/>
        <v>0.2</v>
      </c>
      <c r="N35" s="29">
        <f t="shared" si="6"/>
        <v>1</v>
      </c>
      <c r="O35" s="271"/>
      <c r="R35" s="173">
        <f t="shared" si="7"/>
        <v>0.8</v>
      </c>
      <c r="S35" s="596">
        <f t="shared" si="8"/>
        <v>0.71500000000000008</v>
      </c>
    </row>
    <row r="36" spans="2:19">
      <c r="B36" s="301">
        <f t="shared" si="2"/>
        <v>2018</v>
      </c>
      <c r="C36" s="61">
        <f t="shared" si="3"/>
        <v>0</v>
      </c>
      <c r="D36" s="62">
        <f t="shared" si="3"/>
        <v>1</v>
      </c>
      <c r="E36" s="62">
        <f t="shared" si="3"/>
        <v>0</v>
      </c>
      <c r="F36" s="62">
        <f t="shared" si="3"/>
        <v>0</v>
      </c>
      <c r="G36" s="62">
        <f t="shared" si="3"/>
        <v>0</v>
      </c>
      <c r="H36" s="29">
        <f t="shared" si="4"/>
        <v>1</v>
      </c>
      <c r="I36" s="61">
        <f t="shared" si="5"/>
        <v>0.2</v>
      </c>
      <c r="J36" s="62">
        <f t="shared" si="5"/>
        <v>0.3</v>
      </c>
      <c r="K36" s="62">
        <f t="shared" si="5"/>
        <v>0.25</v>
      </c>
      <c r="L36" s="62">
        <f t="shared" si="5"/>
        <v>0.05</v>
      </c>
      <c r="M36" s="62">
        <f t="shared" si="5"/>
        <v>0.2</v>
      </c>
      <c r="N36" s="29">
        <f t="shared" si="6"/>
        <v>1</v>
      </c>
      <c r="O36" s="271"/>
      <c r="R36" s="173">
        <f t="shared" si="7"/>
        <v>0.8</v>
      </c>
      <c r="S36" s="596">
        <f t="shared" si="8"/>
        <v>0.71500000000000008</v>
      </c>
    </row>
    <row r="37" spans="2:19">
      <c r="B37" s="301">
        <f t="shared" si="2"/>
        <v>2019</v>
      </c>
      <c r="C37" s="61">
        <f t="shared" si="3"/>
        <v>0</v>
      </c>
      <c r="D37" s="62">
        <f t="shared" si="3"/>
        <v>1</v>
      </c>
      <c r="E37" s="62">
        <f t="shared" si="3"/>
        <v>0</v>
      </c>
      <c r="F37" s="62">
        <f t="shared" si="3"/>
        <v>0</v>
      </c>
      <c r="G37" s="62">
        <f t="shared" si="3"/>
        <v>0</v>
      </c>
      <c r="H37" s="29">
        <f t="shared" si="4"/>
        <v>1</v>
      </c>
      <c r="I37" s="61">
        <f t="shared" si="5"/>
        <v>0.2</v>
      </c>
      <c r="J37" s="62">
        <f t="shared" si="5"/>
        <v>0.3</v>
      </c>
      <c r="K37" s="62">
        <f t="shared" si="5"/>
        <v>0.25</v>
      </c>
      <c r="L37" s="62">
        <f t="shared" si="5"/>
        <v>0.05</v>
      </c>
      <c r="M37" s="62">
        <f t="shared" si="5"/>
        <v>0.2</v>
      </c>
      <c r="N37" s="29">
        <f t="shared" si="6"/>
        <v>1</v>
      </c>
      <c r="O37" s="271"/>
      <c r="R37" s="173">
        <f t="shared" si="7"/>
        <v>0.8</v>
      </c>
      <c r="S37" s="596">
        <f t="shared" si="8"/>
        <v>0.71500000000000008</v>
      </c>
    </row>
    <row r="38" spans="2:19">
      <c r="B38" s="301">
        <f t="shared" si="2"/>
        <v>2020</v>
      </c>
      <c r="C38" s="61">
        <f t="shared" si="3"/>
        <v>0</v>
      </c>
      <c r="D38" s="62">
        <f t="shared" si="3"/>
        <v>1</v>
      </c>
      <c r="E38" s="62">
        <f t="shared" si="3"/>
        <v>0</v>
      </c>
      <c r="F38" s="62">
        <f t="shared" si="3"/>
        <v>0</v>
      </c>
      <c r="G38" s="62">
        <f t="shared" si="3"/>
        <v>0</v>
      </c>
      <c r="H38" s="29">
        <f t="shared" si="4"/>
        <v>1</v>
      </c>
      <c r="I38" s="61">
        <f t="shared" si="5"/>
        <v>0.2</v>
      </c>
      <c r="J38" s="62">
        <f t="shared" si="5"/>
        <v>0.3</v>
      </c>
      <c r="K38" s="62">
        <f t="shared" si="5"/>
        <v>0.25</v>
      </c>
      <c r="L38" s="62">
        <f t="shared" si="5"/>
        <v>0.05</v>
      </c>
      <c r="M38" s="62">
        <f t="shared" si="5"/>
        <v>0.2</v>
      </c>
      <c r="N38" s="29">
        <f t="shared" si="6"/>
        <v>1</v>
      </c>
      <c r="O38" s="271"/>
      <c r="R38" s="173">
        <f t="shared" si="7"/>
        <v>0.8</v>
      </c>
      <c r="S38" s="596">
        <f t="shared" si="8"/>
        <v>0.71500000000000008</v>
      </c>
    </row>
    <row r="39" spans="2:19">
      <c r="B39" s="301">
        <f t="shared" si="2"/>
        <v>2021</v>
      </c>
      <c r="C39" s="61">
        <f t="shared" si="3"/>
        <v>0</v>
      </c>
      <c r="D39" s="62">
        <f t="shared" si="3"/>
        <v>1</v>
      </c>
      <c r="E39" s="62">
        <f t="shared" si="3"/>
        <v>0</v>
      </c>
      <c r="F39" s="62">
        <f t="shared" si="3"/>
        <v>0</v>
      </c>
      <c r="G39" s="62">
        <f t="shared" si="3"/>
        <v>0</v>
      </c>
      <c r="H39" s="29">
        <f t="shared" si="4"/>
        <v>1</v>
      </c>
      <c r="I39" s="61">
        <f t="shared" si="5"/>
        <v>0.2</v>
      </c>
      <c r="J39" s="62">
        <f t="shared" si="5"/>
        <v>0.3</v>
      </c>
      <c r="K39" s="62">
        <f t="shared" si="5"/>
        <v>0.25</v>
      </c>
      <c r="L39" s="62">
        <f t="shared" si="5"/>
        <v>0.05</v>
      </c>
      <c r="M39" s="62">
        <f t="shared" si="5"/>
        <v>0.2</v>
      </c>
      <c r="N39" s="29">
        <f t="shared" si="6"/>
        <v>1</v>
      </c>
      <c r="O39" s="271"/>
      <c r="R39" s="173">
        <f t="shared" si="7"/>
        <v>0.8</v>
      </c>
      <c r="S39" s="596">
        <f t="shared" si="8"/>
        <v>0.71500000000000008</v>
      </c>
    </row>
    <row r="40" spans="2:19">
      <c r="B40" s="301">
        <f t="shared" si="2"/>
        <v>2022</v>
      </c>
      <c r="C40" s="61">
        <f t="shared" si="3"/>
        <v>0</v>
      </c>
      <c r="D40" s="62">
        <f t="shared" si="3"/>
        <v>1</v>
      </c>
      <c r="E40" s="62">
        <f t="shared" si="3"/>
        <v>0</v>
      </c>
      <c r="F40" s="62">
        <f t="shared" si="3"/>
        <v>0</v>
      </c>
      <c r="G40" s="62">
        <f t="shared" si="3"/>
        <v>0</v>
      </c>
      <c r="H40" s="29">
        <f t="shared" si="4"/>
        <v>1</v>
      </c>
      <c r="I40" s="61">
        <f t="shared" si="5"/>
        <v>0.2</v>
      </c>
      <c r="J40" s="62">
        <f t="shared" si="5"/>
        <v>0.3</v>
      </c>
      <c r="K40" s="62">
        <f t="shared" si="5"/>
        <v>0.25</v>
      </c>
      <c r="L40" s="62">
        <f t="shared" si="5"/>
        <v>0.05</v>
      </c>
      <c r="M40" s="62">
        <f t="shared" si="5"/>
        <v>0.2</v>
      </c>
      <c r="N40" s="29">
        <f t="shared" si="6"/>
        <v>1</v>
      </c>
      <c r="O40" s="271"/>
      <c r="R40" s="173">
        <f t="shared" si="7"/>
        <v>0.8</v>
      </c>
      <c r="S40" s="596">
        <f t="shared" si="8"/>
        <v>0.71500000000000008</v>
      </c>
    </row>
    <row r="41" spans="2:19">
      <c r="B41" s="301">
        <f t="shared" si="2"/>
        <v>2023</v>
      </c>
      <c r="C41" s="61">
        <f t="shared" si="3"/>
        <v>0</v>
      </c>
      <c r="D41" s="62">
        <f t="shared" si="3"/>
        <v>1</v>
      </c>
      <c r="E41" s="62">
        <f t="shared" si="3"/>
        <v>0</v>
      </c>
      <c r="F41" s="62">
        <f t="shared" si="3"/>
        <v>0</v>
      </c>
      <c r="G41" s="62">
        <f t="shared" si="3"/>
        <v>0</v>
      </c>
      <c r="H41" s="29">
        <f t="shared" si="4"/>
        <v>1</v>
      </c>
      <c r="I41" s="61">
        <f t="shared" si="5"/>
        <v>0.2</v>
      </c>
      <c r="J41" s="62">
        <f t="shared" si="5"/>
        <v>0.3</v>
      </c>
      <c r="K41" s="62">
        <f t="shared" si="5"/>
        <v>0.25</v>
      </c>
      <c r="L41" s="62">
        <f t="shared" si="5"/>
        <v>0.05</v>
      </c>
      <c r="M41" s="62">
        <f t="shared" si="5"/>
        <v>0.2</v>
      </c>
      <c r="N41" s="29">
        <f t="shared" si="6"/>
        <v>1</v>
      </c>
      <c r="O41" s="271"/>
      <c r="R41" s="173">
        <f t="shared" si="7"/>
        <v>0.8</v>
      </c>
      <c r="S41" s="596">
        <f t="shared" si="8"/>
        <v>0.71500000000000008</v>
      </c>
    </row>
    <row r="42" spans="2:19">
      <c r="B42" s="301">
        <f t="shared" si="2"/>
        <v>2024</v>
      </c>
      <c r="C42" s="61">
        <f t="shared" si="3"/>
        <v>0</v>
      </c>
      <c r="D42" s="62">
        <f t="shared" si="3"/>
        <v>1</v>
      </c>
      <c r="E42" s="62">
        <f t="shared" si="3"/>
        <v>0</v>
      </c>
      <c r="F42" s="62">
        <f t="shared" si="3"/>
        <v>0</v>
      </c>
      <c r="G42" s="62">
        <f t="shared" si="3"/>
        <v>0</v>
      </c>
      <c r="H42" s="29">
        <f t="shared" si="4"/>
        <v>1</v>
      </c>
      <c r="I42" s="61">
        <f t="shared" si="5"/>
        <v>0.2</v>
      </c>
      <c r="J42" s="62">
        <f t="shared" si="5"/>
        <v>0.3</v>
      </c>
      <c r="K42" s="62">
        <f t="shared" si="5"/>
        <v>0.25</v>
      </c>
      <c r="L42" s="62">
        <f t="shared" si="5"/>
        <v>0.05</v>
      </c>
      <c r="M42" s="62">
        <f t="shared" si="5"/>
        <v>0.2</v>
      </c>
      <c r="N42" s="29">
        <f t="shared" si="6"/>
        <v>1</v>
      </c>
      <c r="O42" s="271"/>
      <c r="R42" s="173">
        <f t="shared" si="7"/>
        <v>0.8</v>
      </c>
      <c r="S42" s="596">
        <f t="shared" si="8"/>
        <v>0.71500000000000008</v>
      </c>
    </row>
    <row r="43" spans="2:19">
      <c r="B43" s="301">
        <f t="shared" si="2"/>
        <v>2025</v>
      </c>
      <c r="C43" s="61">
        <f t="shared" si="3"/>
        <v>0</v>
      </c>
      <c r="D43" s="62">
        <f t="shared" si="3"/>
        <v>1</v>
      </c>
      <c r="E43" s="62">
        <f t="shared" si="3"/>
        <v>0</v>
      </c>
      <c r="F43" s="62">
        <f t="shared" si="3"/>
        <v>0</v>
      </c>
      <c r="G43" s="62">
        <f t="shared" si="3"/>
        <v>0</v>
      </c>
      <c r="H43" s="29">
        <f t="shared" si="4"/>
        <v>1</v>
      </c>
      <c r="I43" s="61">
        <f t="shared" si="5"/>
        <v>0.2</v>
      </c>
      <c r="J43" s="62">
        <f t="shared" si="5"/>
        <v>0.3</v>
      </c>
      <c r="K43" s="62">
        <f t="shared" si="5"/>
        <v>0.25</v>
      </c>
      <c r="L43" s="62">
        <f t="shared" si="5"/>
        <v>0.05</v>
      </c>
      <c r="M43" s="62">
        <f t="shared" si="5"/>
        <v>0.2</v>
      </c>
      <c r="N43" s="29">
        <f t="shared" si="6"/>
        <v>1</v>
      </c>
      <c r="O43" s="271"/>
      <c r="R43" s="173">
        <f t="shared" si="7"/>
        <v>0.8</v>
      </c>
      <c r="S43" s="596">
        <f t="shared" si="8"/>
        <v>0.71500000000000008</v>
      </c>
    </row>
    <row r="44" spans="2:19">
      <c r="B44" s="301">
        <f t="shared" si="2"/>
        <v>2026</v>
      </c>
      <c r="C44" s="61">
        <f t="shared" si="3"/>
        <v>0</v>
      </c>
      <c r="D44" s="62">
        <f t="shared" si="3"/>
        <v>1</v>
      </c>
      <c r="E44" s="62">
        <f t="shared" si="3"/>
        <v>0</v>
      </c>
      <c r="F44" s="62">
        <f t="shared" si="3"/>
        <v>0</v>
      </c>
      <c r="G44" s="62">
        <f t="shared" si="3"/>
        <v>0</v>
      </c>
      <c r="H44" s="29">
        <f t="shared" si="4"/>
        <v>1</v>
      </c>
      <c r="I44" s="61">
        <f t="shared" si="5"/>
        <v>0.2</v>
      </c>
      <c r="J44" s="62">
        <f t="shared" si="5"/>
        <v>0.3</v>
      </c>
      <c r="K44" s="62">
        <f t="shared" si="5"/>
        <v>0.25</v>
      </c>
      <c r="L44" s="62">
        <f t="shared" si="5"/>
        <v>0.05</v>
      </c>
      <c r="M44" s="62">
        <f t="shared" si="5"/>
        <v>0.2</v>
      </c>
      <c r="N44" s="29">
        <f t="shared" si="6"/>
        <v>1</v>
      </c>
      <c r="O44" s="271"/>
      <c r="R44" s="173">
        <f t="shared" si="7"/>
        <v>0.8</v>
      </c>
      <c r="S44" s="596">
        <f t="shared" si="8"/>
        <v>0.71500000000000008</v>
      </c>
    </row>
    <row r="45" spans="2:19">
      <c r="B45" s="301">
        <f t="shared" si="2"/>
        <v>2027</v>
      </c>
      <c r="C45" s="61">
        <f t="shared" si="3"/>
        <v>0</v>
      </c>
      <c r="D45" s="62">
        <f t="shared" si="3"/>
        <v>1</v>
      </c>
      <c r="E45" s="62">
        <f t="shared" si="3"/>
        <v>0</v>
      </c>
      <c r="F45" s="62">
        <f t="shared" si="3"/>
        <v>0</v>
      </c>
      <c r="G45" s="62">
        <f t="shared" si="3"/>
        <v>0</v>
      </c>
      <c r="H45" s="29">
        <f t="shared" si="4"/>
        <v>1</v>
      </c>
      <c r="I45" s="61">
        <f t="shared" si="5"/>
        <v>0.2</v>
      </c>
      <c r="J45" s="62">
        <f t="shared" si="5"/>
        <v>0.3</v>
      </c>
      <c r="K45" s="62">
        <f t="shared" si="5"/>
        <v>0.25</v>
      </c>
      <c r="L45" s="62">
        <f t="shared" si="5"/>
        <v>0.05</v>
      </c>
      <c r="M45" s="62">
        <f t="shared" si="5"/>
        <v>0.2</v>
      </c>
      <c r="N45" s="29">
        <f t="shared" si="6"/>
        <v>1</v>
      </c>
      <c r="O45" s="271"/>
      <c r="R45" s="173">
        <f t="shared" si="7"/>
        <v>0.8</v>
      </c>
      <c r="S45" s="596">
        <f t="shared" si="8"/>
        <v>0.71500000000000008</v>
      </c>
    </row>
    <row r="46" spans="2:19">
      <c r="B46" s="301">
        <f t="shared" si="2"/>
        <v>2028</v>
      </c>
      <c r="C46" s="61">
        <f t="shared" si="3"/>
        <v>0</v>
      </c>
      <c r="D46" s="62">
        <f t="shared" si="3"/>
        <v>1</v>
      </c>
      <c r="E46" s="62">
        <f t="shared" si="3"/>
        <v>0</v>
      </c>
      <c r="F46" s="62">
        <f t="shared" si="3"/>
        <v>0</v>
      </c>
      <c r="G46" s="62">
        <f t="shared" si="3"/>
        <v>0</v>
      </c>
      <c r="H46" s="29">
        <f t="shared" si="4"/>
        <v>1</v>
      </c>
      <c r="I46" s="61">
        <f t="shared" si="5"/>
        <v>0.2</v>
      </c>
      <c r="J46" s="62">
        <f t="shared" si="5"/>
        <v>0.3</v>
      </c>
      <c r="K46" s="62">
        <f t="shared" si="5"/>
        <v>0.25</v>
      </c>
      <c r="L46" s="62">
        <f t="shared" si="5"/>
        <v>0.05</v>
      </c>
      <c r="M46" s="62">
        <f t="shared" si="5"/>
        <v>0.2</v>
      </c>
      <c r="N46" s="29">
        <f t="shared" si="6"/>
        <v>1</v>
      </c>
      <c r="O46" s="271"/>
      <c r="R46" s="173">
        <f t="shared" si="7"/>
        <v>0.8</v>
      </c>
      <c r="S46" s="596">
        <f t="shared" si="8"/>
        <v>0.71500000000000008</v>
      </c>
    </row>
    <row r="47" spans="2:19">
      <c r="B47" s="301">
        <f t="shared" si="2"/>
        <v>2029</v>
      </c>
      <c r="C47" s="61">
        <f t="shared" si="3"/>
        <v>0</v>
      </c>
      <c r="D47" s="62">
        <f t="shared" si="3"/>
        <v>1</v>
      </c>
      <c r="E47" s="62">
        <f t="shared" si="3"/>
        <v>0</v>
      </c>
      <c r="F47" s="62">
        <f t="shared" si="3"/>
        <v>0</v>
      </c>
      <c r="G47" s="62">
        <f t="shared" si="3"/>
        <v>0</v>
      </c>
      <c r="H47" s="29">
        <f t="shared" si="4"/>
        <v>1</v>
      </c>
      <c r="I47" s="61">
        <f t="shared" si="5"/>
        <v>0.2</v>
      </c>
      <c r="J47" s="62">
        <f t="shared" si="5"/>
        <v>0.3</v>
      </c>
      <c r="K47" s="62">
        <f t="shared" si="5"/>
        <v>0.25</v>
      </c>
      <c r="L47" s="62">
        <f t="shared" si="5"/>
        <v>0.05</v>
      </c>
      <c r="M47" s="62">
        <f t="shared" si="5"/>
        <v>0.2</v>
      </c>
      <c r="N47" s="29">
        <f t="shared" si="6"/>
        <v>1</v>
      </c>
      <c r="O47" s="271"/>
      <c r="R47" s="173">
        <f t="shared" si="7"/>
        <v>0.8</v>
      </c>
      <c r="S47" s="596">
        <f t="shared" si="8"/>
        <v>0.71500000000000008</v>
      </c>
    </row>
    <row r="48" spans="2:19">
      <c r="B48" s="301">
        <f t="shared" si="2"/>
        <v>2030</v>
      </c>
      <c r="C48" s="61">
        <f t="shared" si="3"/>
        <v>0</v>
      </c>
      <c r="D48" s="62">
        <f t="shared" si="3"/>
        <v>1</v>
      </c>
      <c r="E48" s="62">
        <f t="shared" si="3"/>
        <v>0</v>
      </c>
      <c r="F48" s="62">
        <f t="shared" si="3"/>
        <v>0</v>
      </c>
      <c r="G48" s="62">
        <f t="shared" si="3"/>
        <v>0</v>
      </c>
      <c r="H48" s="29">
        <f t="shared" si="4"/>
        <v>1</v>
      </c>
      <c r="I48" s="61">
        <f t="shared" si="5"/>
        <v>0.2</v>
      </c>
      <c r="J48" s="62">
        <f t="shared" si="5"/>
        <v>0.3</v>
      </c>
      <c r="K48" s="62">
        <f t="shared" si="5"/>
        <v>0.25</v>
      </c>
      <c r="L48" s="62">
        <f t="shared" si="5"/>
        <v>0.05</v>
      </c>
      <c r="M48" s="62">
        <f t="shared" si="5"/>
        <v>0.2</v>
      </c>
      <c r="N48" s="29">
        <f t="shared" si="6"/>
        <v>1</v>
      </c>
      <c r="O48" s="271"/>
      <c r="R48" s="173">
        <f t="shared" si="7"/>
        <v>0.8</v>
      </c>
      <c r="S48" s="596">
        <f t="shared" si="8"/>
        <v>0.71500000000000008</v>
      </c>
    </row>
    <row r="49" spans="2:19">
      <c r="B49" s="301">
        <f t="shared" si="2"/>
        <v>2031</v>
      </c>
      <c r="C49" s="61">
        <f t="shared" si="3"/>
        <v>0</v>
      </c>
      <c r="D49" s="62">
        <f t="shared" si="3"/>
        <v>1</v>
      </c>
      <c r="E49" s="62">
        <f t="shared" si="3"/>
        <v>0</v>
      </c>
      <c r="F49" s="62">
        <f t="shared" si="3"/>
        <v>0</v>
      </c>
      <c r="G49" s="62">
        <f t="shared" si="3"/>
        <v>0</v>
      </c>
      <c r="H49" s="29">
        <f t="shared" si="4"/>
        <v>1</v>
      </c>
      <c r="I49" s="61">
        <f t="shared" si="5"/>
        <v>0.2</v>
      </c>
      <c r="J49" s="62">
        <f t="shared" si="5"/>
        <v>0.3</v>
      </c>
      <c r="K49" s="62">
        <f t="shared" si="5"/>
        <v>0.25</v>
      </c>
      <c r="L49" s="62">
        <f t="shared" si="5"/>
        <v>0.05</v>
      </c>
      <c r="M49" s="62">
        <f t="shared" si="5"/>
        <v>0.2</v>
      </c>
      <c r="N49" s="29">
        <f t="shared" si="6"/>
        <v>1</v>
      </c>
      <c r="O49" s="271"/>
      <c r="R49" s="173">
        <f t="shared" si="7"/>
        <v>0.8</v>
      </c>
      <c r="S49" s="596">
        <f t="shared" si="8"/>
        <v>0.71500000000000008</v>
      </c>
    </row>
    <row r="50" spans="2:19">
      <c r="B50" s="301">
        <f t="shared" si="2"/>
        <v>2032</v>
      </c>
      <c r="C50" s="61">
        <f t="shared" si="3"/>
        <v>0</v>
      </c>
      <c r="D50" s="62">
        <f t="shared" si="3"/>
        <v>1</v>
      </c>
      <c r="E50" s="62">
        <f t="shared" si="3"/>
        <v>0</v>
      </c>
      <c r="F50" s="62">
        <f t="shared" si="3"/>
        <v>0</v>
      </c>
      <c r="G50" s="62">
        <f t="shared" si="3"/>
        <v>0</v>
      </c>
      <c r="H50" s="29">
        <f t="shared" si="4"/>
        <v>1</v>
      </c>
      <c r="I50" s="61">
        <f t="shared" si="5"/>
        <v>0.2</v>
      </c>
      <c r="J50" s="62">
        <f t="shared" si="5"/>
        <v>0.3</v>
      </c>
      <c r="K50" s="62">
        <f t="shared" si="5"/>
        <v>0.25</v>
      </c>
      <c r="L50" s="62">
        <f t="shared" si="5"/>
        <v>0.05</v>
      </c>
      <c r="M50" s="62">
        <f t="shared" si="5"/>
        <v>0.2</v>
      </c>
      <c r="N50" s="29">
        <f t="shared" si="6"/>
        <v>1</v>
      </c>
      <c r="O50" s="271"/>
      <c r="R50" s="173">
        <f t="shared" si="7"/>
        <v>0.8</v>
      </c>
      <c r="S50" s="596">
        <f t="shared" si="8"/>
        <v>0.71500000000000008</v>
      </c>
    </row>
    <row r="51" spans="2:19">
      <c r="B51" s="301">
        <f t="shared" ref="B51:B82" si="9">B50+1</f>
        <v>2033</v>
      </c>
      <c r="C51" s="61">
        <f t="shared" ref="C51:G98" si="10">C$16</f>
        <v>0</v>
      </c>
      <c r="D51" s="62">
        <f t="shared" si="10"/>
        <v>1</v>
      </c>
      <c r="E51" s="62">
        <f t="shared" si="10"/>
        <v>0</v>
      </c>
      <c r="F51" s="62">
        <f t="shared" si="10"/>
        <v>0</v>
      </c>
      <c r="G51" s="62">
        <f t="shared" si="10"/>
        <v>0</v>
      </c>
      <c r="H51" s="29">
        <f t="shared" si="4"/>
        <v>1</v>
      </c>
      <c r="I51" s="61">
        <f t="shared" ref="I51:M98" si="11">I$16</f>
        <v>0.2</v>
      </c>
      <c r="J51" s="62">
        <f t="shared" si="11"/>
        <v>0.3</v>
      </c>
      <c r="K51" s="62">
        <f t="shared" si="11"/>
        <v>0.25</v>
      </c>
      <c r="L51" s="62">
        <f t="shared" si="11"/>
        <v>0.05</v>
      </c>
      <c r="M51" s="62">
        <f t="shared" si="11"/>
        <v>0.2</v>
      </c>
      <c r="N51" s="29">
        <f t="shared" si="6"/>
        <v>1</v>
      </c>
      <c r="O51" s="271"/>
      <c r="R51" s="173">
        <f t="shared" si="7"/>
        <v>0.8</v>
      </c>
      <c r="S51" s="596">
        <f t="shared" si="8"/>
        <v>0.71500000000000008</v>
      </c>
    </row>
    <row r="52" spans="2:19">
      <c r="B52" s="301">
        <f t="shared" si="9"/>
        <v>2034</v>
      </c>
      <c r="C52" s="61">
        <f t="shared" si="10"/>
        <v>0</v>
      </c>
      <c r="D52" s="62">
        <f t="shared" si="10"/>
        <v>1</v>
      </c>
      <c r="E52" s="62">
        <f t="shared" si="10"/>
        <v>0</v>
      </c>
      <c r="F52" s="62">
        <f t="shared" si="10"/>
        <v>0</v>
      </c>
      <c r="G52" s="62">
        <f t="shared" si="10"/>
        <v>0</v>
      </c>
      <c r="H52" s="29">
        <f t="shared" si="4"/>
        <v>1</v>
      </c>
      <c r="I52" s="61">
        <f t="shared" si="11"/>
        <v>0.2</v>
      </c>
      <c r="J52" s="62">
        <f t="shared" si="11"/>
        <v>0.3</v>
      </c>
      <c r="K52" s="62">
        <f t="shared" si="11"/>
        <v>0.25</v>
      </c>
      <c r="L52" s="62">
        <f t="shared" si="11"/>
        <v>0.05</v>
      </c>
      <c r="M52" s="62">
        <f t="shared" si="11"/>
        <v>0.2</v>
      </c>
      <c r="N52" s="29">
        <f t="shared" si="6"/>
        <v>1</v>
      </c>
      <c r="O52" s="271"/>
      <c r="R52" s="173">
        <f t="shared" si="7"/>
        <v>0.8</v>
      </c>
      <c r="S52" s="596">
        <f t="shared" si="8"/>
        <v>0.71500000000000008</v>
      </c>
    </row>
    <row r="53" spans="2:19">
      <c r="B53" s="301">
        <f t="shared" si="9"/>
        <v>2035</v>
      </c>
      <c r="C53" s="61">
        <f t="shared" si="10"/>
        <v>0</v>
      </c>
      <c r="D53" s="62">
        <f t="shared" si="10"/>
        <v>1</v>
      </c>
      <c r="E53" s="62">
        <f t="shared" si="10"/>
        <v>0</v>
      </c>
      <c r="F53" s="62">
        <f t="shared" si="10"/>
        <v>0</v>
      </c>
      <c r="G53" s="62">
        <f t="shared" si="10"/>
        <v>0</v>
      </c>
      <c r="H53" s="29">
        <f t="shared" si="4"/>
        <v>1</v>
      </c>
      <c r="I53" s="61">
        <f t="shared" si="11"/>
        <v>0.2</v>
      </c>
      <c r="J53" s="62">
        <f t="shared" si="11"/>
        <v>0.3</v>
      </c>
      <c r="K53" s="62">
        <f t="shared" si="11"/>
        <v>0.25</v>
      </c>
      <c r="L53" s="62">
        <f t="shared" si="11"/>
        <v>0.05</v>
      </c>
      <c r="M53" s="62">
        <f t="shared" si="11"/>
        <v>0.2</v>
      </c>
      <c r="N53" s="29">
        <f t="shared" si="6"/>
        <v>1</v>
      </c>
      <c r="O53" s="271"/>
      <c r="R53" s="173">
        <f t="shared" si="7"/>
        <v>0.8</v>
      </c>
      <c r="S53" s="596">
        <f t="shared" si="8"/>
        <v>0.71500000000000008</v>
      </c>
    </row>
    <row r="54" spans="2:19">
      <c r="B54" s="301">
        <f t="shared" si="9"/>
        <v>2036</v>
      </c>
      <c r="C54" s="61">
        <f t="shared" si="10"/>
        <v>0</v>
      </c>
      <c r="D54" s="62">
        <f t="shared" si="10"/>
        <v>1</v>
      </c>
      <c r="E54" s="62">
        <f t="shared" si="10"/>
        <v>0</v>
      </c>
      <c r="F54" s="62">
        <f t="shared" si="10"/>
        <v>0</v>
      </c>
      <c r="G54" s="62">
        <f t="shared" si="10"/>
        <v>0</v>
      </c>
      <c r="H54" s="29">
        <f t="shared" si="4"/>
        <v>1</v>
      </c>
      <c r="I54" s="61">
        <f t="shared" si="11"/>
        <v>0.2</v>
      </c>
      <c r="J54" s="62">
        <f t="shared" si="11"/>
        <v>0.3</v>
      </c>
      <c r="K54" s="62">
        <f t="shared" si="11"/>
        <v>0.25</v>
      </c>
      <c r="L54" s="62">
        <f t="shared" si="11"/>
        <v>0.05</v>
      </c>
      <c r="M54" s="62">
        <f t="shared" si="11"/>
        <v>0.2</v>
      </c>
      <c r="N54" s="29">
        <f t="shared" si="6"/>
        <v>1</v>
      </c>
      <c r="O54" s="271"/>
      <c r="R54" s="173">
        <f t="shared" si="7"/>
        <v>0.8</v>
      </c>
      <c r="S54" s="596">
        <f t="shared" si="8"/>
        <v>0.71500000000000008</v>
      </c>
    </row>
    <row r="55" spans="2:19">
      <c r="B55" s="301">
        <f t="shared" si="9"/>
        <v>2037</v>
      </c>
      <c r="C55" s="61">
        <f t="shared" si="10"/>
        <v>0</v>
      </c>
      <c r="D55" s="62">
        <f t="shared" si="10"/>
        <v>1</v>
      </c>
      <c r="E55" s="62">
        <f t="shared" si="10"/>
        <v>0</v>
      </c>
      <c r="F55" s="62">
        <f t="shared" si="10"/>
        <v>0</v>
      </c>
      <c r="G55" s="62">
        <f t="shared" si="10"/>
        <v>0</v>
      </c>
      <c r="H55" s="29">
        <f t="shared" si="4"/>
        <v>1</v>
      </c>
      <c r="I55" s="61">
        <f t="shared" si="11"/>
        <v>0.2</v>
      </c>
      <c r="J55" s="62">
        <f t="shared" si="11"/>
        <v>0.3</v>
      </c>
      <c r="K55" s="62">
        <f t="shared" si="11"/>
        <v>0.25</v>
      </c>
      <c r="L55" s="62">
        <f t="shared" si="11"/>
        <v>0.05</v>
      </c>
      <c r="M55" s="62">
        <f t="shared" si="11"/>
        <v>0.2</v>
      </c>
      <c r="N55" s="29">
        <f t="shared" si="6"/>
        <v>1</v>
      </c>
      <c r="O55" s="271"/>
      <c r="R55" s="173">
        <f t="shared" si="7"/>
        <v>0.8</v>
      </c>
      <c r="S55" s="596">
        <f t="shared" si="8"/>
        <v>0.71500000000000008</v>
      </c>
    </row>
    <row r="56" spans="2:19">
      <c r="B56" s="301">
        <f t="shared" si="9"/>
        <v>2038</v>
      </c>
      <c r="C56" s="61">
        <f t="shared" si="10"/>
        <v>0</v>
      </c>
      <c r="D56" s="62">
        <f t="shared" si="10"/>
        <v>1</v>
      </c>
      <c r="E56" s="62">
        <f t="shared" si="10"/>
        <v>0</v>
      </c>
      <c r="F56" s="62">
        <f t="shared" si="10"/>
        <v>0</v>
      </c>
      <c r="G56" s="62">
        <f t="shared" si="10"/>
        <v>0</v>
      </c>
      <c r="H56" s="29">
        <f t="shared" si="4"/>
        <v>1</v>
      </c>
      <c r="I56" s="61">
        <f t="shared" si="11"/>
        <v>0.2</v>
      </c>
      <c r="J56" s="62">
        <f t="shared" si="11"/>
        <v>0.3</v>
      </c>
      <c r="K56" s="62">
        <f t="shared" si="11"/>
        <v>0.25</v>
      </c>
      <c r="L56" s="62">
        <f t="shared" si="11"/>
        <v>0.05</v>
      </c>
      <c r="M56" s="62">
        <f t="shared" si="11"/>
        <v>0.2</v>
      </c>
      <c r="N56" s="29">
        <f t="shared" si="6"/>
        <v>1</v>
      </c>
      <c r="O56" s="271"/>
      <c r="R56" s="173">
        <f t="shared" si="7"/>
        <v>0.8</v>
      </c>
      <c r="S56" s="596">
        <f t="shared" si="8"/>
        <v>0.71500000000000008</v>
      </c>
    </row>
    <row r="57" spans="2:19">
      <c r="B57" s="301">
        <f t="shared" si="9"/>
        <v>2039</v>
      </c>
      <c r="C57" s="61">
        <f t="shared" si="10"/>
        <v>0</v>
      </c>
      <c r="D57" s="62">
        <f t="shared" si="10"/>
        <v>1</v>
      </c>
      <c r="E57" s="62">
        <f t="shared" si="10"/>
        <v>0</v>
      </c>
      <c r="F57" s="62">
        <f t="shared" si="10"/>
        <v>0</v>
      </c>
      <c r="G57" s="62">
        <f t="shared" si="10"/>
        <v>0</v>
      </c>
      <c r="H57" s="29">
        <f t="shared" si="4"/>
        <v>1</v>
      </c>
      <c r="I57" s="61">
        <f t="shared" si="11"/>
        <v>0.2</v>
      </c>
      <c r="J57" s="62">
        <f t="shared" si="11"/>
        <v>0.3</v>
      </c>
      <c r="K57" s="62">
        <f t="shared" si="11"/>
        <v>0.25</v>
      </c>
      <c r="L57" s="62">
        <f t="shared" si="11"/>
        <v>0.05</v>
      </c>
      <c r="M57" s="62">
        <f t="shared" si="11"/>
        <v>0.2</v>
      </c>
      <c r="N57" s="29">
        <f t="shared" si="6"/>
        <v>1</v>
      </c>
      <c r="O57" s="271"/>
      <c r="R57" s="173">
        <f t="shared" si="7"/>
        <v>0.8</v>
      </c>
      <c r="S57" s="596">
        <f t="shared" si="8"/>
        <v>0.71500000000000008</v>
      </c>
    </row>
    <row r="58" spans="2:19">
      <c r="B58" s="301">
        <f t="shared" si="9"/>
        <v>2040</v>
      </c>
      <c r="C58" s="61">
        <f t="shared" si="10"/>
        <v>0</v>
      </c>
      <c r="D58" s="62">
        <f t="shared" si="10"/>
        <v>1</v>
      </c>
      <c r="E58" s="62">
        <f t="shared" si="10"/>
        <v>0</v>
      </c>
      <c r="F58" s="62">
        <f t="shared" si="10"/>
        <v>0</v>
      </c>
      <c r="G58" s="62">
        <f t="shared" si="10"/>
        <v>0</v>
      </c>
      <c r="H58" s="29">
        <f t="shared" si="4"/>
        <v>1</v>
      </c>
      <c r="I58" s="61">
        <f t="shared" si="11"/>
        <v>0.2</v>
      </c>
      <c r="J58" s="62">
        <f t="shared" si="11"/>
        <v>0.3</v>
      </c>
      <c r="K58" s="62">
        <f t="shared" si="11"/>
        <v>0.25</v>
      </c>
      <c r="L58" s="62">
        <f t="shared" si="11"/>
        <v>0.05</v>
      </c>
      <c r="M58" s="62">
        <f t="shared" si="11"/>
        <v>0.2</v>
      </c>
      <c r="N58" s="29">
        <f t="shared" si="6"/>
        <v>1</v>
      </c>
      <c r="O58" s="271"/>
      <c r="R58" s="173">
        <f t="shared" si="7"/>
        <v>0.8</v>
      </c>
      <c r="S58" s="596">
        <f t="shared" si="8"/>
        <v>0.71500000000000008</v>
      </c>
    </row>
    <row r="59" spans="2:19">
      <c r="B59" s="301">
        <f t="shared" si="9"/>
        <v>2041</v>
      </c>
      <c r="C59" s="61">
        <f t="shared" si="10"/>
        <v>0</v>
      </c>
      <c r="D59" s="62">
        <f t="shared" si="10"/>
        <v>1</v>
      </c>
      <c r="E59" s="62">
        <f t="shared" si="10"/>
        <v>0</v>
      </c>
      <c r="F59" s="62">
        <f t="shared" si="10"/>
        <v>0</v>
      </c>
      <c r="G59" s="62">
        <f t="shared" si="10"/>
        <v>0</v>
      </c>
      <c r="H59" s="29">
        <f t="shared" si="4"/>
        <v>1</v>
      </c>
      <c r="I59" s="61">
        <f t="shared" si="11"/>
        <v>0.2</v>
      </c>
      <c r="J59" s="62">
        <f t="shared" si="11"/>
        <v>0.3</v>
      </c>
      <c r="K59" s="62">
        <f t="shared" si="11"/>
        <v>0.25</v>
      </c>
      <c r="L59" s="62">
        <f t="shared" si="11"/>
        <v>0.05</v>
      </c>
      <c r="M59" s="62">
        <f t="shared" si="11"/>
        <v>0.2</v>
      </c>
      <c r="N59" s="29">
        <f t="shared" si="6"/>
        <v>1</v>
      </c>
      <c r="O59" s="271"/>
      <c r="R59" s="173">
        <f t="shared" si="7"/>
        <v>0.8</v>
      </c>
      <c r="S59" s="596">
        <f t="shared" si="8"/>
        <v>0.71500000000000008</v>
      </c>
    </row>
    <row r="60" spans="2:19">
      <c r="B60" s="301">
        <f t="shared" si="9"/>
        <v>2042</v>
      </c>
      <c r="C60" s="61">
        <f t="shared" si="10"/>
        <v>0</v>
      </c>
      <c r="D60" s="62">
        <f t="shared" si="10"/>
        <v>1</v>
      </c>
      <c r="E60" s="62">
        <f t="shared" si="10"/>
        <v>0</v>
      </c>
      <c r="F60" s="62">
        <f t="shared" si="10"/>
        <v>0</v>
      </c>
      <c r="G60" s="62">
        <f t="shared" si="10"/>
        <v>0</v>
      </c>
      <c r="H60" s="29">
        <f t="shared" si="4"/>
        <v>1</v>
      </c>
      <c r="I60" s="61">
        <f t="shared" si="11"/>
        <v>0.2</v>
      </c>
      <c r="J60" s="62">
        <f t="shared" si="11"/>
        <v>0.3</v>
      </c>
      <c r="K60" s="62">
        <f t="shared" si="11"/>
        <v>0.25</v>
      </c>
      <c r="L60" s="62">
        <f t="shared" si="11"/>
        <v>0.05</v>
      </c>
      <c r="M60" s="62">
        <f t="shared" si="11"/>
        <v>0.2</v>
      </c>
      <c r="N60" s="29">
        <f t="shared" si="6"/>
        <v>1</v>
      </c>
      <c r="O60" s="271"/>
      <c r="R60" s="173">
        <f t="shared" si="7"/>
        <v>0.8</v>
      </c>
      <c r="S60" s="596">
        <f t="shared" si="8"/>
        <v>0.71500000000000008</v>
      </c>
    </row>
    <row r="61" spans="2:19">
      <c r="B61" s="301">
        <f t="shared" si="9"/>
        <v>2043</v>
      </c>
      <c r="C61" s="61">
        <f t="shared" si="10"/>
        <v>0</v>
      </c>
      <c r="D61" s="62">
        <f t="shared" si="10"/>
        <v>1</v>
      </c>
      <c r="E61" s="62">
        <f t="shared" si="10"/>
        <v>0</v>
      </c>
      <c r="F61" s="62">
        <f t="shared" si="10"/>
        <v>0</v>
      </c>
      <c r="G61" s="62">
        <f t="shared" si="10"/>
        <v>0</v>
      </c>
      <c r="H61" s="29">
        <f t="shared" si="4"/>
        <v>1</v>
      </c>
      <c r="I61" s="61">
        <f t="shared" si="11"/>
        <v>0.2</v>
      </c>
      <c r="J61" s="62">
        <f t="shared" si="11"/>
        <v>0.3</v>
      </c>
      <c r="K61" s="62">
        <f t="shared" si="11"/>
        <v>0.25</v>
      </c>
      <c r="L61" s="62">
        <f t="shared" si="11"/>
        <v>0.05</v>
      </c>
      <c r="M61" s="62">
        <f t="shared" si="11"/>
        <v>0.2</v>
      </c>
      <c r="N61" s="29">
        <f t="shared" si="6"/>
        <v>1</v>
      </c>
      <c r="O61" s="271"/>
      <c r="R61" s="173">
        <f t="shared" si="7"/>
        <v>0.8</v>
      </c>
      <c r="S61" s="596">
        <f t="shared" si="8"/>
        <v>0.71500000000000008</v>
      </c>
    </row>
    <row r="62" spans="2:19">
      <c r="B62" s="301">
        <f t="shared" si="9"/>
        <v>2044</v>
      </c>
      <c r="C62" s="61">
        <f t="shared" si="10"/>
        <v>0</v>
      </c>
      <c r="D62" s="62">
        <f t="shared" si="10"/>
        <v>1</v>
      </c>
      <c r="E62" s="62">
        <f t="shared" si="10"/>
        <v>0</v>
      </c>
      <c r="F62" s="62">
        <f t="shared" si="10"/>
        <v>0</v>
      </c>
      <c r="G62" s="62">
        <f t="shared" si="10"/>
        <v>0</v>
      </c>
      <c r="H62" s="29">
        <f t="shared" si="4"/>
        <v>1</v>
      </c>
      <c r="I62" s="61">
        <f t="shared" si="11"/>
        <v>0.2</v>
      </c>
      <c r="J62" s="62">
        <f t="shared" si="11"/>
        <v>0.3</v>
      </c>
      <c r="K62" s="62">
        <f t="shared" si="11"/>
        <v>0.25</v>
      </c>
      <c r="L62" s="62">
        <f t="shared" si="11"/>
        <v>0.05</v>
      </c>
      <c r="M62" s="62">
        <f t="shared" si="11"/>
        <v>0.2</v>
      </c>
      <c r="N62" s="29">
        <f t="shared" si="6"/>
        <v>1</v>
      </c>
      <c r="O62" s="271"/>
      <c r="R62" s="173">
        <f t="shared" si="7"/>
        <v>0.8</v>
      </c>
      <c r="S62" s="596">
        <f t="shared" si="8"/>
        <v>0.71500000000000008</v>
      </c>
    </row>
    <row r="63" spans="2:19">
      <c r="B63" s="301">
        <f t="shared" si="9"/>
        <v>2045</v>
      </c>
      <c r="C63" s="61">
        <f t="shared" si="10"/>
        <v>0</v>
      </c>
      <c r="D63" s="62">
        <f t="shared" si="10"/>
        <v>1</v>
      </c>
      <c r="E63" s="62">
        <f t="shared" si="10"/>
        <v>0</v>
      </c>
      <c r="F63" s="62">
        <f t="shared" si="10"/>
        <v>0</v>
      </c>
      <c r="G63" s="62">
        <f t="shared" si="10"/>
        <v>0</v>
      </c>
      <c r="H63" s="29">
        <f t="shared" si="4"/>
        <v>1</v>
      </c>
      <c r="I63" s="61">
        <f t="shared" si="11"/>
        <v>0.2</v>
      </c>
      <c r="J63" s="62">
        <f t="shared" si="11"/>
        <v>0.3</v>
      </c>
      <c r="K63" s="62">
        <f t="shared" si="11"/>
        <v>0.25</v>
      </c>
      <c r="L63" s="62">
        <f t="shared" si="11"/>
        <v>0.05</v>
      </c>
      <c r="M63" s="62">
        <f t="shared" si="11"/>
        <v>0.2</v>
      </c>
      <c r="N63" s="29">
        <f t="shared" si="6"/>
        <v>1</v>
      </c>
      <c r="O63" s="271"/>
      <c r="R63" s="173">
        <f t="shared" si="7"/>
        <v>0.8</v>
      </c>
      <c r="S63" s="596">
        <f t="shared" si="8"/>
        <v>0.71500000000000008</v>
      </c>
    </row>
    <row r="64" spans="2:19">
      <c r="B64" s="301">
        <f t="shared" si="9"/>
        <v>2046</v>
      </c>
      <c r="C64" s="61">
        <f t="shared" si="10"/>
        <v>0</v>
      </c>
      <c r="D64" s="62">
        <f t="shared" si="10"/>
        <v>1</v>
      </c>
      <c r="E64" s="62">
        <f t="shared" si="10"/>
        <v>0</v>
      </c>
      <c r="F64" s="62">
        <f t="shared" si="10"/>
        <v>0</v>
      </c>
      <c r="G64" s="62">
        <f t="shared" si="10"/>
        <v>0</v>
      </c>
      <c r="H64" s="29">
        <f t="shared" si="4"/>
        <v>1</v>
      </c>
      <c r="I64" s="61">
        <f t="shared" si="11"/>
        <v>0.2</v>
      </c>
      <c r="J64" s="62">
        <f t="shared" si="11"/>
        <v>0.3</v>
      </c>
      <c r="K64" s="62">
        <f t="shared" si="11"/>
        <v>0.25</v>
      </c>
      <c r="L64" s="62">
        <f t="shared" si="11"/>
        <v>0.05</v>
      </c>
      <c r="M64" s="62">
        <f t="shared" si="11"/>
        <v>0.2</v>
      </c>
      <c r="N64" s="29">
        <f t="shared" si="6"/>
        <v>1</v>
      </c>
      <c r="O64" s="271"/>
      <c r="R64" s="173">
        <f t="shared" si="7"/>
        <v>0.8</v>
      </c>
      <c r="S64" s="596">
        <f t="shared" si="8"/>
        <v>0.71500000000000008</v>
      </c>
    </row>
    <row r="65" spans="2:19">
      <c r="B65" s="301">
        <f t="shared" si="9"/>
        <v>2047</v>
      </c>
      <c r="C65" s="61">
        <f t="shared" si="10"/>
        <v>0</v>
      </c>
      <c r="D65" s="62">
        <f t="shared" si="10"/>
        <v>1</v>
      </c>
      <c r="E65" s="62">
        <f t="shared" si="10"/>
        <v>0</v>
      </c>
      <c r="F65" s="62">
        <f t="shared" si="10"/>
        <v>0</v>
      </c>
      <c r="G65" s="62">
        <f t="shared" si="10"/>
        <v>0</v>
      </c>
      <c r="H65" s="29">
        <f t="shared" si="4"/>
        <v>1</v>
      </c>
      <c r="I65" s="61">
        <f t="shared" si="11"/>
        <v>0.2</v>
      </c>
      <c r="J65" s="62">
        <f t="shared" si="11"/>
        <v>0.3</v>
      </c>
      <c r="K65" s="62">
        <f t="shared" si="11"/>
        <v>0.25</v>
      </c>
      <c r="L65" s="62">
        <f t="shared" si="11"/>
        <v>0.05</v>
      </c>
      <c r="M65" s="62">
        <f t="shared" si="11"/>
        <v>0.2</v>
      </c>
      <c r="N65" s="29">
        <f t="shared" si="6"/>
        <v>1</v>
      </c>
      <c r="O65" s="271"/>
      <c r="R65" s="173">
        <f t="shared" si="7"/>
        <v>0.8</v>
      </c>
      <c r="S65" s="596">
        <f t="shared" si="8"/>
        <v>0.71500000000000008</v>
      </c>
    </row>
    <row r="66" spans="2:19">
      <c r="B66" s="301">
        <f t="shared" si="9"/>
        <v>2048</v>
      </c>
      <c r="C66" s="61">
        <f t="shared" si="10"/>
        <v>0</v>
      </c>
      <c r="D66" s="62">
        <f t="shared" si="10"/>
        <v>1</v>
      </c>
      <c r="E66" s="62">
        <f t="shared" si="10"/>
        <v>0</v>
      </c>
      <c r="F66" s="62">
        <f t="shared" si="10"/>
        <v>0</v>
      </c>
      <c r="G66" s="62">
        <f t="shared" si="10"/>
        <v>0</v>
      </c>
      <c r="H66" s="29">
        <f t="shared" si="4"/>
        <v>1</v>
      </c>
      <c r="I66" s="61">
        <f t="shared" si="11"/>
        <v>0.2</v>
      </c>
      <c r="J66" s="62">
        <f t="shared" si="11"/>
        <v>0.3</v>
      </c>
      <c r="K66" s="62">
        <f t="shared" si="11"/>
        <v>0.25</v>
      </c>
      <c r="L66" s="62">
        <f t="shared" si="11"/>
        <v>0.05</v>
      </c>
      <c r="M66" s="62">
        <f t="shared" si="11"/>
        <v>0.2</v>
      </c>
      <c r="N66" s="29">
        <f t="shared" si="6"/>
        <v>1</v>
      </c>
      <c r="O66" s="271"/>
      <c r="R66" s="173">
        <f t="shared" si="7"/>
        <v>0.8</v>
      </c>
      <c r="S66" s="596">
        <f t="shared" si="8"/>
        <v>0.71500000000000008</v>
      </c>
    </row>
    <row r="67" spans="2:19">
      <c r="B67" s="301">
        <f t="shared" si="9"/>
        <v>2049</v>
      </c>
      <c r="C67" s="61">
        <f t="shared" si="10"/>
        <v>0</v>
      </c>
      <c r="D67" s="62">
        <f t="shared" si="10"/>
        <v>1</v>
      </c>
      <c r="E67" s="62">
        <f t="shared" si="10"/>
        <v>0</v>
      </c>
      <c r="F67" s="62">
        <f t="shared" si="10"/>
        <v>0</v>
      </c>
      <c r="G67" s="62">
        <f t="shared" si="10"/>
        <v>0</v>
      </c>
      <c r="H67" s="29">
        <f t="shared" si="4"/>
        <v>1</v>
      </c>
      <c r="I67" s="61">
        <f t="shared" si="11"/>
        <v>0.2</v>
      </c>
      <c r="J67" s="62">
        <f t="shared" si="11"/>
        <v>0.3</v>
      </c>
      <c r="K67" s="62">
        <f t="shared" si="11"/>
        <v>0.25</v>
      </c>
      <c r="L67" s="62">
        <f t="shared" si="11"/>
        <v>0.05</v>
      </c>
      <c r="M67" s="62">
        <f t="shared" si="11"/>
        <v>0.2</v>
      </c>
      <c r="N67" s="29">
        <f t="shared" si="6"/>
        <v>1</v>
      </c>
      <c r="O67" s="271"/>
      <c r="R67" s="173">
        <f t="shared" si="7"/>
        <v>0.8</v>
      </c>
      <c r="S67" s="596">
        <f t="shared" si="8"/>
        <v>0.71500000000000008</v>
      </c>
    </row>
    <row r="68" spans="2:19">
      <c r="B68" s="301">
        <f t="shared" si="9"/>
        <v>2050</v>
      </c>
      <c r="C68" s="61">
        <f t="shared" si="10"/>
        <v>0</v>
      </c>
      <c r="D68" s="62">
        <f t="shared" si="10"/>
        <v>1</v>
      </c>
      <c r="E68" s="62">
        <f t="shared" si="10"/>
        <v>0</v>
      </c>
      <c r="F68" s="62">
        <f t="shared" si="10"/>
        <v>0</v>
      </c>
      <c r="G68" s="62">
        <f t="shared" si="10"/>
        <v>0</v>
      </c>
      <c r="H68" s="29">
        <f t="shared" si="4"/>
        <v>1</v>
      </c>
      <c r="I68" s="61">
        <f t="shared" si="11"/>
        <v>0.2</v>
      </c>
      <c r="J68" s="62">
        <f t="shared" si="11"/>
        <v>0.3</v>
      </c>
      <c r="K68" s="62">
        <f t="shared" si="11"/>
        <v>0.25</v>
      </c>
      <c r="L68" s="62">
        <f t="shared" si="11"/>
        <v>0.05</v>
      </c>
      <c r="M68" s="62">
        <f t="shared" si="11"/>
        <v>0.2</v>
      </c>
      <c r="N68" s="29">
        <f t="shared" si="6"/>
        <v>1</v>
      </c>
      <c r="O68" s="271"/>
      <c r="R68" s="173">
        <f t="shared" si="7"/>
        <v>0.8</v>
      </c>
      <c r="S68" s="596">
        <f t="shared" si="8"/>
        <v>0.71500000000000008</v>
      </c>
    </row>
    <row r="69" spans="2:19">
      <c r="B69" s="301">
        <f t="shared" si="9"/>
        <v>2051</v>
      </c>
      <c r="C69" s="61">
        <f t="shared" si="10"/>
        <v>0</v>
      </c>
      <c r="D69" s="62">
        <f t="shared" si="10"/>
        <v>1</v>
      </c>
      <c r="E69" s="62">
        <f t="shared" si="10"/>
        <v>0</v>
      </c>
      <c r="F69" s="62">
        <f t="shared" si="10"/>
        <v>0</v>
      </c>
      <c r="G69" s="62">
        <f t="shared" si="10"/>
        <v>0</v>
      </c>
      <c r="H69" s="29">
        <f t="shared" si="4"/>
        <v>1</v>
      </c>
      <c r="I69" s="61">
        <f t="shared" si="11"/>
        <v>0.2</v>
      </c>
      <c r="J69" s="62">
        <f t="shared" si="11"/>
        <v>0.3</v>
      </c>
      <c r="K69" s="62">
        <f t="shared" si="11"/>
        <v>0.25</v>
      </c>
      <c r="L69" s="62">
        <f t="shared" si="11"/>
        <v>0.05</v>
      </c>
      <c r="M69" s="62">
        <f t="shared" si="11"/>
        <v>0.2</v>
      </c>
      <c r="N69" s="29">
        <f t="shared" si="6"/>
        <v>1</v>
      </c>
      <c r="O69" s="271"/>
      <c r="R69" s="173">
        <f t="shared" si="7"/>
        <v>0.8</v>
      </c>
      <c r="S69" s="596">
        <f t="shared" si="8"/>
        <v>0.71500000000000008</v>
      </c>
    </row>
    <row r="70" spans="2:19">
      <c r="B70" s="301">
        <f t="shared" si="9"/>
        <v>2052</v>
      </c>
      <c r="C70" s="61">
        <f t="shared" si="10"/>
        <v>0</v>
      </c>
      <c r="D70" s="62">
        <f t="shared" si="10"/>
        <v>1</v>
      </c>
      <c r="E70" s="62">
        <f t="shared" si="10"/>
        <v>0</v>
      </c>
      <c r="F70" s="62">
        <f t="shared" si="10"/>
        <v>0</v>
      </c>
      <c r="G70" s="62">
        <f t="shared" si="10"/>
        <v>0</v>
      </c>
      <c r="H70" s="29">
        <f t="shared" si="4"/>
        <v>1</v>
      </c>
      <c r="I70" s="61">
        <f t="shared" si="11"/>
        <v>0.2</v>
      </c>
      <c r="J70" s="62">
        <f t="shared" si="11"/>
        <v>0.3</v>
      </c>
      <c r="K70" s="62">
        <f t="shared" si="11"/>
        <v>0.25</v>
      </c>
      <c r="L70" s="62">
        <f t="shared" si="11"/>
        <v>0.05</v>
      </c>
      <c r="M70" s="62">
        <f t="shared" si="11"/>
        <v>0.2</v>
      </c>
      <c r="N70" s="29">
        <f t="shared" si="6"/>
        <v>1</v>
      </c>
      <c r="O70" s="271"/>
      <c r="R70" s="173">
        <f t="shared" si="7"/>
        <v>0.8</v>
      </c>
      <c r="S70" s="596">
        <f t="shared" si="8"/>
        <v>0.71500000000000008</v>
      </c>
    </row>
    <row r="71" spans="2:19">
      <c r="B71" s="301">
        <f t="shared" si="9"/>
        <v>2053</v>
      </c>
      <c r="C71" s="61">
        <f t="shared" si="10"/>
        <v>0</v>
      </c>
      <c r="D71" s="62">
        <f t="shared" si="10"/>
        <v>1</v>
      </c>
      <c r="E71" s="62">
        <f t="shared" si="10"/>
        <v>0</v>
      </c>
      <c r="F71" s="62">
        <f t="shared" si="10"/>
        <v>0</v>
      </c>
      <c r="G71" s="62">
        <f t="shared" si="10"/>
        <v>0</v>
      </c>
      <c r="H71" s="29">
        <f t="shared" si="4"/>
        <v>1</v>
      </c>
      <c r="I71" s="61">
        <f t="shared" si="11"/>
        <v>0.2</v>
      </c>
      <c r="J71" s="62">
        <f t="shared" si="11"/>
        <v>0.3</v>
      </c>
      <c r="K71" s="62">
        <f t="shared" si="11"/>
        <v>0.25</v>
      </c>
      <c r="L71" s="62">
        <f t="shared" si="11"/>
        <v>0.05</v>
      </c>
      <c r="M71" s="62">
        <f t="shared" si="11"/>
        <v>0.2</v>
      </c>
      <c r="N71" s="29">
        <f t="shared" si="6"/>
        <v>1</v>
      </c>
      <c r="O71" s="271"/>
      <c r="R71" s="173">
        <f t="shared" si="7"/>
        <v>0.8</v>
      </c>
      <c r="S71" s="596">
        <f t="shared" si="8"/>
        <v>0.71500000000000008</v>
      </c>
    </row>
    <row r="72" spans="2:19">
      <c r="B72" s="301">
        <f t="shared" si="9"/>
        <v>2054</v>
      </c>
      <c r="C72" s="61">
        <f t="shared" si="10"/>
        <v>0</v>
      </c>
      <c r="D72" s="62">
        <f t="shared" si="10"/>
        <v>1</v>
      </c>
      <c r="E72" s="62">
        <f t="shared" si="10"/>
        <v>0</v>
      </c>
      <c r="F72" s="62">
        <f t="shared" si="10"/>
        <v>0</v>
      </c>
      <c r="G72" s="62">
        <f t="shared" si="10"/>
        <v>0</v>
      </c>
      <c r="H72" s="29">
        <f t="shared" si="4"/>
        <v>1</v>
      </c>
      <c r="I72" s="61">
        <f t="shared" si="11"/>
        <v>0.2</v>
      </c>
      <c r="J72" s="62">
        <f t="shared" si="11"/>
        <v>0.3</v>
      </c>
      <c r="K72" s="62">
        <f t="shared" si="11"/>
        <v>0.25</v>
      </c>
      <c r="L72" s="62">
        <f t="shared" si="11"/>
        <v>0.05</v>
      </c>
      <c r="M72" s="62">
        <f t="shared" si="11"/>
        <v>0.2</v>
      </c>
      <c r="N72" s="29">
        <f t="shared" si="6"/>
        <v>1</v>
      </c>
      <c r="O72" s="271"/>
      <c r="R72" s="173">
        <f t="shared" si="7"/>
        <v>0.8</v>
      </c>
      <c r="S72" s="596">
        <f t="shared" si="8"/>
        <v>0.71500000000000008</v>
      </c>
    </row>
    <row r="73" spans="2:19">
      <c r="B73" s="301">
        <f t="shared" si="9"/>
        <v>2055</v>
      </c>
      <c r="C73" s="61">
        <f t="shared" si="10"/>
        <v>0</v>
      </c>
      <c r="D73" s="62">
        <f t="shared" si="10"/>
        <v>1</v>
      </c>
      <c r="E73" s="62">
        <f t="shared" si="10"/>
        <v>0</v>
      </c>
      <c r="F73" s="62">
        <f t="shared" si="10"/>
        <v>0</v>
      </c>
      <c r="G73" s="62">
        <f t="shared" si="10"/>
        <v>0</v>
      </c>
      <c r="H73" s="29">
        <f t="shared" si="4"/>
        <v>1</v>
      </c>
      <c r="I73" s="61">
        <f t="shared" si="11"/>
        <v>0.2</v>
      </c>
      <c r="J73" s="62">
        <f t="shared" si="11"/>
        <v>0.3</v>
      </c>
      <c r="K73" s="62">
        <f t="shared" si="11"/>
        <v>0.25</v>
      </c>
      <c r="L73" s="62">
        <f t="shared" si="11"/>
        <v>0.05</v>
      </c>
      <c r="M73" s="62">
        <f t="shared" si="11"/>
        <v>0.2</v>
      </c>
      <c r="N73" s="29">
        <f t="shared" si="6"/>
        <v>1</v>
      </c>
      <c r="O73" s="271"/>
      <c r="R73" s="173">
        <f t="shared" si="7"/>
        <v>0.8</v>
      </c>
      <c r="S73" s="596">
        <f t="shared" si="8"/>
        <v>0.71500000000000008</v>
      </c>
    </row>
    <row r="74" spans="2:19">
      <c r="B74" s="301">
        <f t="shared" si="9"/>
        <v>2056</v>
      </c>
      <c r="C74" s="61">
        <f t="shared" si="10"/>
        <v>0</v>
      </c>
      <c r="D74" s="62">
        <f t="shared" si="10"/>
        <v>1</v>
      </c>
      <c r="E74" s="62">
        <f t="shared" si="10"/>
        <v>0</v>
      </c>
      <c r="F74" s="62">
        <f t="shared" si="10"/>
        <v>0</v>
      </c>
      <c r="G74" s="62">
        <f t="shared" si="10"/>
        <v>0</v>
      </c>
      <c r="H74" s="29">
        <f t="shared" si="4"/>
        <v>1</v>
      </c>
      <c r="I74" s="61">
        <f t="shared" si="11"/>
        <v>0.2</v>
      </c>
      <c r="J74" s="62">
        <f t="shared" si="11"/>
        <v>0.3</v>
      </c>
      <c r="K74" s="62">
        <f t="shared" si="11"/>
        <v>0.25</v>
      </c>
      <c r="L74" s="62">
        <f t="shared" si="11"/>
        <v>0.05</v>
      </c>
      <c r="M74" s="62">
        <f t="shared" si="11"/>
        <v>0.2</v>
      </c>
      <c r="N74" s="29">
        <f t="shared" si="6"/>
        <v>1</v>
      </c>
      <c r="O74" s="271"/>
      <c r="R74" s="173">
        <f t="shared" si="7"/>
        <v>0.8</v>
      </c>
      <c r="S74" s="596">
        <f t="shared" si="8"/>
        <v>0.71500000000000008</v>
      </c>
    </row>
    <row r="75" spans="2:19">
      <c r="B75" s="301">
        <f t="shared" si="9"/>
        <v>2057</v>
      </c>
      <c r="C75" s="61">
        <f t="shared" si="10"/>
        <v>0</v>
      </c>
      <c r="D75" s="62">
        <f t="shared" si="10"/>
        <v>1</v>
      </c>
      <c r="E75" s="62">
        <f t="shared" si="10"/>
        <v>0</v>
      </c>
      <c r="F75" s="62">
        <f t="shared" si="10"/>
        <v>0</v>
      </c>
      <c r="G75" s="62">
        <f t="shared" si="10"/>
        <v>0</v>
      </c>
      <c r="H75" s="29">
        <f t="shared" si="4"/>
        <v>1</v>
      </c>
      <c r="I75" s="61">
        <f t="shared" si="11"/>
        <v>0.2</v>
      </c>
      <c r="J75" s="62">
        <f t="shared" si="11"/>
        <v>0.3</v>
      </c>
      <c r="K75" s="62">
        <f t="shared" si="11"/>
        <v>0.25</v>
      </c>
      <c r="L75" s="62">
        <f t="shared" si="11"/>
        <v>0.05</v>
      </c>
      <c r="M75" s="62">
        <f t="shared" si="11"/>
        <v>0.2</v>
      </c>
      <c r="N75" s="29">
        <f t="shared" si="6"/>
        <v>1</v>
      </c>
      <c r="O75" s="271"/>
      <c r="R75" s="173">
        <f t="shared" si="7"/>
        <v>0.8</v>
      </c>
      <c r="S75" s="596">
        <f t="shared" si="8"/>
        <v>0.71500000000000008</v>
      </c>
    </row>
    <row r="76" spans="2:19">
      <c r="B76" s="301">
        <f t="shared" si="9"/>
        <v>2058</v>
      </c>
      <c r="C76" s="61">
        <f t="shared" si="10"/>
        <v>0</v>
      </c>
      <c r="D76" s="62">
        <f t="shared" si="10"/>
        <v>1</v>
      </c>
      <c r="E76" s="62">
        <f t="shared" si="10"/>
        <v>0</v>
      </c>
      <c r="F76" s="62">
        <f t="shared" si="10"/>
        <v>0</v>
      </c>
      <c r="G76" s="62">
        <f t="shared" si="10"/>
        <v>0</v>
      </c>
      <c r="H76" s="29">
        <f t="shared" si="4"/>
        <v>1</v>
      </c>
      <c r="I76" s="61">
        <f t="shared" si="11"/>
        <v>0.2</v>
      </c>
      <c r="J76" s="62">
        <f t="shared" si="11"/>
        <v>0.3</v>
      </c>
      <c r="K76" s="62">
        <f t="shared" si="11"/>
        <v>0.25</v>
      </c>
      <c r="L76" s="62">
        <f t="shared" si="11"/>
        <v>0.05</v>
      </c>
      <c r="M76" s="62">
        <f t="shared" si="11"/>
        <v>0.2</v>
      </c>
      <c r="N76" s="29">
        <f t="shared" si="6"/>
        <v>1</v>
      </c>
      <c r="O76" s="271"/>
      <c r="R76" s="173">
        <f t="shared" si="7"/>
        <v>0.8</v>
      </c>
      <c r="S76" s="596">
        <f t="shared" si="8"/>
        <v>0.71500000000000008</v>
      </c>
    </row>
    <row r="77" spans="2:19">
      <c r="B77" s="301">
        <f t="shared" si="9"/>
        <v>2059</v>
      </c>
      <c r="C77" s="61">
        <f t="shared" si="10"/>
        <v>0</v>
      </c>
      <c r="D77" s="62">
        <f t="shared" si="10"/>
        <v>1</v>
      </c>
      <c r="E77" s="62">
        <f t="shared" si="10"/>
        <v>0</v>
      </c>
      <c r="F77" s="62">
        <f t="shared" si="10"/>
        <v>0</v>
      </c>
      <c r="G77" s="62">
        <f t="shared" si="10"/>
        <v>0</v>
      </c>
      <c r="H77" s="29">
        <f t="shared" si="4"/>
        <v>1</v>
      </c>
      <c r="I77" s="61">
        <f t="shared" si="11"/>
        <v>0.2</v>
      </c>
      <c r="J77" s="62">
        <f t="shared" si="11"/>
        <v>0.3</v>
      </c>
      <c r="K77" s="62">
        <f t="shared" si="11"/>
        <v>0.25</v>
      </c>
      <c r="L77" s="62">
        <f t="shared" si="11"/>
        <v>0.05</v>
      </c>
      <c r="M77" s="62">
        <f t="shared" si="11"/>
        <v>0.2</v>
      </c>
      <c r="N77" s="29">
        <f t="shared" si="6"/>
        <v>1</v>
      </c>
      <c r="O77" s="271"/>
      <c r="R77" s="173">
        <f t="shared" si="7"/>
        <v>0.8</v>
      </c>
      <c r="S77" s="596">
        <f t="shared" si="8"/>
        <v>0.71500000000000008</v>
      </c>
    </row>
    <row r="78" spans="2:19">
      <c r="B78" s="301">
        <f t="shared" si="9"/>
        <v>2060</v>
      </c>
      <c r="C78" s="61">
        <f t="shared" si="10"/>
        <v>0</v>
      </c>
      <c r="D78" s="62">
        <f t="shared" si="10"/>
        <v>1</v>
      </c>
      <c r="E78" s="62">
        <f t="shared" si="10"/>
        <v>0</v>
      </c>
      <c r="F78" s="62">
        <f t="shared" si="10"/>
        <v>0</v>
      </c>
      <c r="G78" s="62">
        <f t="shared" si="10"/>
        <v>0</v>
      </c>
      <c r="H78" s="29">
        <f t="shared" si="4"/>
        <v>1</v>
      </c>
      <c r="I78" s="61">
        <f t="shared" si="11"/>
        <v>0.2</v>
      </c>
      <c r="J78" s="62">
        <f t="shared" si="11"/>
        <v>0.3</v>
      </c>
      <c r="K78" s="62">
        <f t="shared" si="11"/>
        <v>0.25</v>
      </c>
      <c r="L78" s="62">
        <f t="shared" si="11"/>
        <v>0.05</v>
      </c>
      <c r="M78" s="62">
        <f t="shared" si="11"/>
        <v>0.2</v>
      </c>
      <c r="N78" s="29">
        <f t="shared" si="6"/>
        <v>1</v>
      </c>
      <c r="O78" s="271"/>
      <c r="R78" s="173">
        <f t="shared" si="7"/>
        <v>0.8</v>
      </c>
      <c r="S78" s="596">
        <f t="shared" si="8"/>
        <v>0.71500000000000008</v>
      </c>
    </row>
    <row r="79" spans="2:19">
      <c r="B79" s="301">
        <f t="shared" si="9"/>
        <v>2061</v>
      </c>
      <c r="C79" s="61">
        <f t="shared" si="10"/>
        <v>0</v>
      </c>
      <c r="D79" s="62">
        <f t="shared" si="10"/>
        <v>1</v>
      </c>
      <c r="E79" s="62">
        <f t="shared" si="10"/>
        <v>0</v>
      </c>
      <c r="F79" s="62">
        <f t="shared" si="10"/>
        <v>0</v>
      </c>
      <c r="G79" s="62">
        <f t="shared" si="10"/>
        <v>0</v>
      </c>
      <c r="H79" s="29">
        <f t="shared" si="4"/>
        <v>1</v>
      </c>
      <c r="I79" s="61">
        <f t="shared" si="11"/>
        <v>0.2</v>
      </c>
      <c r="J79" s="62">
        <f t="shared" si="11"/>
        <v>0.3</v>
      </c>
      <c r="K79" s="62">
        <f t="shared" si="11"/>
        <v>0.25</v>
      </c>
      <c r="L79" s="62">
        <f t="shared" si="11"/>
        <v>0.05</v>
      </c>
      <c r="M79" s="62">
        <f t="shared" si="11"/>
        <v>0.2</v>
      </c>
      <c r="N79" s="29">
        <f t="shared" si="6"/>
        <v>1</v>
      </c>
      <c r="O79" s="271"/>
      <c r="R79" s="173">
        <f t="shared" si="7"/>
        <v>0.8</v>
      </c>
      <c r="S79" s="596">
        <f t="shared" si="8"/>
        <v>0.71500000000000008</v>
      </c>
    </row>
    <row r="80" spans="2:19">
      <c r="B80" s="301">
        <f t="shared" si="9"/>
        <v>2062</v>
      </c>
      <c r="C80" s="61">
        <f t="shared" si="10"/>
        <v>0</v>
      </c>
      <c r="D80" s="62">
        <f t="shared" si="10"/>
        <v>1</v>
      </c>
      <c r="E80" s="62">
        <f t="shared" si="10"/>
        <v>0</v>
      </c>
      <c r="F80" s="62">
        <f t="shared" si="10"/>
        <v>0</v>
      </c>
      <c r="G80" s="62">
        <f t="shared" si="10"/>
        <v>0</v>
      </c>
      <c r="H80" s="29">
        <f t="shared" si="4"/>
        <v>1</v>
      </c>
      <c r="I80" s="61">
        <f t="shared" si="11"/>
        <v>0.2</v>
      </c>
      <c r="J80" s="62">
        <f t="shared" si="11"/>
        <v>0.3</v>
      </c>
      <c r="K80" s="62">
        <f t="shared" si="11"/>
        <v>0.25</v>
      </c>
      <c r="L80" s="62">
        <f t="shared" si="11"/>
        <v>0.05</v>
      </c>
      <c r="M80" s="62">
        <f t="shared" si="11"/>
        <v>0.2</v>
      </c>
      <c r="N80" s="29">
        <f t="shared" si="6"/>
        <v>1</v>
      </c>
      <c r="O80" s="271"/>
      <c r="R80" s="173">
        <f t="shared" si="7"/>
        <v>0.8</v>
      </c>
      <c r="S80" s="596">
        <f t="shared" si="8"/>
        <v>0.71500000000000008</v>
      </c>
    </row>
    <row r="81" spans="2:19">
      <c r="B81" s="301">
        <f t="shared" si="9"/>
        <v>2063</v>
      </c>
      <c r="C81" s="61">
        <f t="shared" si="10"/>
        <v>0</v>
      </c>
      <c r="D81" s="62">
        <f t="shared" si="10"/>
        <v>1</v>
      </c>
      <c r="E81" s="62">
        <f t="shared" si="10"/>
        <v>0</v>
      </c>
      <c r="F81" s="62">
        <f t="shared" si="10"/>
        <v>0</v>
      </c>
      <c r="G81" s="62">
        <f t="shared" si="10"/>
        <v>0</v>
      </c>
      <c r="H81" s="29">
        <f t="shared" si="4"/>
        <v>1</v>
      </c>
      <c r="I81" s="61">
        <f t="shared" si="11"/>
        <v>0.2</v>
      </c>
      <c r="J81" s="62">
        <f t="shared" si="11"/>
        <v>0.3</v>
      </c>
      <c r="K81" s="62">
        <f t="shared" si="11"/>
        <v>0.25</v>
      </c>
      <c r="L81" s="62">
        <f t="shared" si="11"/>
        <v>0.05</v>
      </c>
      <c r="M81" s="62">
        <f t="shared" si="11"/>
        <v>0.2</v>
      </c>
      <c r="N81" s="29">
        <f t="shared" si="6"/>
        <v>1</v>
      </c>
      <c r="O81" s="271"/>
      <c r="R81" s="173">
        <f t="shared" si="7"/>
        <v>0.8</v>
      </c>
      <c r="S81" s="596">
        <f t="shared" si="8"/>
        <v>0.71500000000000008</v>
      </c>
    </row>
    <row r="82" spans="2:19">
      <c r="B82" s="301">
        <f t="shared" si="9"/>
        <v>2064</v>
      </c>
      <c r="C82" s="61">
        <f t="shared" si="10"/>
        <v>0</v>
      </c>
      <c r="D82" s="62">
        <f t="shared" si="10"/>
        <v>1</v>
      </c>
      <c r="E82" s="62">
        <f t="shared" si="10"/>
        <v>0</v>
      </c>
      <c r="F82" s="62">
        <f t="shared" si="10"/>
        <v>0</v>
      </c>
      <c r="G82" s="62">
        <f t="shared" si="10"/>
        <v>0</v>
      </c>
      <c r="H82" s="29">
        <f t="shared" si="4"/>
        <v>1</v>
      </c>
      <c r="I82" s="61">
        <f t="shared" si="11"/>
        <v>0.2</v>
      </c>
      <c r="J82" s="62">
        <f t="shared" si="11"/>
        <v>0.3</v>
      </c>
      <c r="K82" s="62">
        <f t="shared" si="11"/>
        <v>0.25</v>
      </c>
      <c r="L82" s="62">
        <f t="shared" si="11"/>
        <v>0.05</v>
      </c>
      <c r="M82" s="62">
        <f t="shared" si="11"/>
        <v>0.2</v>
      </c>
      <c r="N82" s="29">
        <f t="shared" si="6"/>
        <v>1</v>
      </c>
      <c r="O82" s="271"/>
      <c r="R82" s="173">
        <f t="shared" si="7"/>
        <v>0.8</v>
      </c>
      <c r="S82" s="596">
        <f t="shared" si="8"/>
        <v>0.71500000000000008</v>
      </c>
    </row>
    <row r="83" spans="2:19">
      <c r="B83" s="301">
        <f t="shared" ref="B83:B98" si="12">B82+1</f>
        <v>2065</v>
      </c>
      <c r="C83" s="61">
        <f t="shared" si="10"/>
        <v>0</v>
      </c>
      <c r="D83" s="62">
        <f t="shared" si="10"/>
        <v>1</v>
      </c>
      <c r="E83" s="62">
        <f t="shared" si="10"/>
        <v>0</v>
      </c>
      <c r="F83" s="62">
        <f t="shared" si="10"/>
        <v>0</v>
      </c>
      <c r="G83" s="62">
        <f t="shared" si="10"/>
        <v>0</v>
      </c>
      <c r="H83" s="29">
        <f t="shared" ref="H83:H98" si="13">SUM(C83:G83)</f>
        <v>1</v>
      </c>
      <c r="I83" s="61">
        <f t="shared" si="11"/>
        <v>0.2</v>
      </c>
      <c r="J83" s="62">
        <f t="shared" si="11"/>
        <v>0.3</v>
      </c>
      <c r="K83" s="62">
        <f t="shared" si="11"/>
        <v>0.25</v>
      </c>
      <c r="L83" s="62">
        <f t="shared" si="11"/>
        <v>0.05</v>
      </c>
      <c r="M83" s="62">
        <f t="shared" si="11"/>
        <v>0.2</v>
      </c>
      <c r="N83" s="29">
        <f t="shared" ref="N83:N98" si="14">SUM(I83:M83)</f>
        <v>1</v>
      </c>
      <c r="O83" s="271"/>
      <c r="R83" s="173">
        <f t="shared" ref="R83:R98" si="15">C83*C$13+D83*D$13+E83*E$13+F83*F$13+G83*G$13</f>
        <v>0.8</v>
      </c>
      <c r="S83" s="596">
        <f t="shared" ref="S83:S98" si="16">I83*I$13+J83*J$13+K83*K$13+L83*L$13+M83*M$13</f>
        <v>0.71500000000000008</v>
      </c>
    </row>
    <row r="84" spans="2:19">
      <c r="B84" s="301">
        <f t="shared" si="12"/>
        <v>2066</v>
      </c>
      <c r="C84" s="61">
        <f t="shared" si="10"/>
        <v>0</v>
      </c>
      <c r="D84" s="62">
        <f t="shared" si="10"/>
        <v>1</v>
      </c>
      <c r="E84" s="62">
        <f t="shared" si="10"/>
        <v>0</v>
      </c>
      <c r="F84" s="62">
        <f t="shared" si="10"/>
        <v>0</v>
      </c>
      <c r="G84" s="62">
        <f t="shared" si="10"/>
        <v>0</v>
      </c>
      <c r="H84" s="29">
        <f t="shared" si="13"/>
        <v>1</v>
      </c>
      <c r="I84" s="61">
        <f t="shared" si="11"/>
        <v>0.2</v>
      </c>
      <c r="J84" s="62">
        <f t="shared" si="11"/>
        <v>0.3</v>
      </c>
      <c r="K84" s="62">
        <f t="shared" si="11"/>
        <v>0.25</v>
      </c>
      <c r="L84" s="62">
        <f t="shared" si="11"/>
        <v>0.05</v>
      </c>
      <c r="M84" s="62">
        <f t="shared" si="11"/>
        <v>0.2</v>
      </c>
      <c r="N84" s="29">
        <f t="shared" si="14"/>
        <v>1</v>
      </c>
      <c r="O84" s="271"/>
      <c r="R84" s="173">
        <f t="shared" si="15"/>
        <v>0.8</v>
      </c>
      <c r="S84" s="596">
        <f t="shared" si="16"/>
        <v>0.71500000000000008</v>
      </c>
    </row>
    <row r="85" spans="2:19">
      <c r="B85" s="301">
        <f t="shared" si="12"/>
        <v>2067</v>
      </c>
      <c r="C85" s="61">
        <f t="shared" si="10"/>
        <v>0</v>
      </c>
      <c r="D85" s="62">
        <f t="shared" si="10"/>
        <v>1</v>
      </c>
      <c r="E85" s="62">
        <f t="shared" si="10"/>
        <v>0</v>
      </c>
      <c r="F85" s="62">
        <f t="shared" si="10"/>
        <v>0</v>
      </c>
      <c r="G85" s="62">
        <f t="shared" si="10"/>
        <v>0</v>
      </c>
      <c r="H85" s="29">
        <f t="shared" si="13"/>
        <v>1</v>
      </c>
      <c r="I85" s="61">
        <f t="shared" si="11"/>
        <v>0.2</v>
      </c>
      <c r="J85" s="62">
        <f t="shared" si="11"/>
        <v>0.3</v>
      </c>
      <c r="K85" s="62">
        <f t="shared" si="11"/>
        <v>0.25</v>
      </c>
      <c r="L85" s="62">
        <f t="shared" si="11"/>
        <v>0.05</v>
      </c>
      <c r="M85" s="62">
        <f t="shared" si="11"/>
        <v>0.2</v>
      </c>
      <c r="N85" s="29">
        <f t="shared" si="14"/>
        <v>1</v>
      </c>
      <c r="O85" s="271"/>
      <c r="R85" s="173">
        <f t="shared" si="15"/>
        <v>0.8</v>
      </c>
      <c r="S85" s="596">
        <f t="shared" si="16"/>
        <v>0.71500000000000008</v>
      </c>
    </row>
    <row r="86" spans="2:19">
      <c r="B86" s="301">
        <f t="shared" si="12"/>
        <v>2068</v>
      </c>
      <c r="C86" s="61">
        <f t="shared" si="10"/>
        <v>0</v>
      </c>
      <c r="D86" s="62">
        <f t="shared" si="10"/>
        <v>1</v>
      </c>
      <c r="E86" s="62">
        <f t="shared" si="10"/>
        <v>0</v>
      </c>
      <c r="F86" s="62">
        <f t="shared" si="10"/>
        <v>0</v>
      </c>
      <c r="G86" s="62">
        <f t="shared" si="10"/>
        <v>0</v>
      </c>
      <c r="H86" s="29">
        <f t="shared" si="13"/>
        <v>1</v>
      </c>
      <c r="I86" s="61">
        <f t="shared" si="11"/>
        <v>0.2</v>
      </c>
      <c r="J86" s="62">
        <f t="shared" si="11"/>
        <v>0.3</v>
      </c>
      <c r="K86" s="62">
        <f t="shared" si="11"/>
        <v>0.25</v>
      </c>
      <c r="L86" s="62">
        <f t="shared" si="11"/>
        <v>0.05</v>
      </c>
      <c r="M86" s="62">
        <f t="shared" si="11"/>
        <v>0.2</v>
      </c>
      <c r="N86" s="29">
        <f t="shared" si="14"/>
        <v>1</v>
      </c>
      <c r="O86" s="271"/>
      <c r="R86" s="173">
        <f t="shared" si="15"/>
        <v>0.8</v>
      </c>
      <c r="S86" s="596">
        <f t="shared" si="16"/>
        <v>0.71500000000000008</v>
      </c>
    </row>
    <row r="87" spans="2:19">
      <c r="B87" s="301">
        <f t="shared" si="12"/>
        <v>2069</v>
      </c>
      <c r="C87" s="61">
        <f t="shared" si="10"/>
        <v>0</v>
      </c>
      <c r="D87" s="62">
        <f t="shared" si="10"/>
        <v>1</v>
      </c>
      <c r="E87" s="62">
        <f t="shared" si="10"/>
        <v>0</v>
      </c>
      <c r="F87" s="62">
        <f t="shared" si="10"/>
        <v>0</v>
      </c>
      <c r="G87" s="62">
        <f t="shared" si="10"/>
        <v>0</v>
      </c>
      <c r="H87" s="29">
        <f t="shared" si="13"/>
        <v>1</v>
      </c>
      <c r="I87" s="61">
        <f t="shared" si="11"/>
        <v>0.2</v>
      </c>
      <c r="J87" s="62">
        <f t="shared" si="11"/>
        <v>0.3</v>
      </c>
      <c r="K87" s="62">
        <f t="shared" si="11"/>
        <v>0.25</v>
      </c>
      <c r="L87" s="62">
        <f t="shared" si="11"/>
        <v>0.05</v>
      </c>
      <c r="M87" s="62">
        <f t="shared" si="11"/>
        <v>0.2</v>
      </c>
      <c r="N87" s="29">
        <f t="shared" si="14"/>
        <v>1</v>
      </c>
      <c r="O87" s="271"/>
      <c r="R87" s="173">
        <f t="shared" si="15"/>
        <v>0.8</v>
      </c>
      <c r="S87" s="596">
        <f t="shared" si="16"/>
        <v>0.71500000000000008</v>
      </c>
    </row>
    <row r="88" spans="2:19">
      <c r="B88" s="301">
        <f t="shared" si="12"/>
        <v>2070</v>
      </c>
      <c r="C88" s="61">
        <f t="shared" si="10"/>
        <v>0</v>
      </c>
      <c r="D88" s="62">
        <f t="shared" si="10"/>
        <v>1</v>
      </c>
      <c r="E88" s="62">
        <f t="shared" si="10"/>
        <v>0</v>
      </c>
      <c r="F88" s="62">
        <f t="shared" si="10"/>
        <v>0</v>
      </c>
      <c r="G88" s="62">
        <f t="shared" si="10"/>
        <v>0</v>
      </c>
      <c r="H88" s="29">
        <f t="shared" si="13"/>
        <v>1</v>
      </c>
      <c r="I88" s="61">
        <f t="shared" si="11"/>
        <v>0.2</v>
      </c>
      <c r="J88" s="62">
        <f t="shared" si="11"/>
        <v>0.3</v>
      </c>
      <c r="K88" s="62">
        <f t="shared" si="11"/>
        <v>0.25</v>
      </c>
      <c r="L88" s="62">
        <f t="shared" si="11"/>
        <v>0.05</v>
      </c>
      <c r="M88" s="62">
        <f t="shared" si="11"/>
        <v>0.2</v>
      </c>
      <c r="N88" s="29">
        <f t="shared" si="14"/>
        <v>1</v>
      </c>
      <c r="O88" s="271"/>
      <c r="R88" s="173">
        <f t="shared" si="15"/>
        <v>0.8</v>
      </c>
      <c r="S88" s="596">
        <f t="shared" si="16"/>
        <v>0.71500000000000008</v>
      </c>
    </row>
    <row r="89" spans="2:19">
      <c r="B89" s="301">
        <f t="shared" si="12"/>
        <v>2071</v>
      </c>
      <c r="C89" s="61">
        <f t="shared" si="10"/>
        <v>0</v>
      </c>
      <c r="D89" s="62">
        <f t="shared" si="10"/>
        <v>1</v>
      </c>
      <c r="E89" s="62">
        <f t="shared" si="10"/>
        <v>0</v>
      </c>
      <c r="F89" s="62">
        <f t="shared" si="10"/>
        <v>0</v>
      </c>
      <c r="G89" s="62">
        <f t="shared" si="10"/>
        <v>0</v>
      </c>
      <c r="H89" s="29">
        <f t="shared" si="13"/>
        <v>1</v>
      </c>
      <c r="I89" s="61">
        <f t="shared" si="11"/>
        <v>0.2</v>
      </c>
      <c r="J89" s="62">
        <f t="shared" si="11"/>
        <v>0.3</v>
      </c>
      <c r="K89" s="62">
        <f t="shared" si="11"/>
        <v>0.25</v>
      </c>
      <c r="L89" s="62">
        <f t="shared" si="11"/>
        <v>0.05</v>
      </c>
      <c r="M89" s="62">
        <f t="shared" si="11"/>
        <v>0.2</v>
      </c>
      <c r="N89" s="29">
        <f t="shared" si="14"/>
        <v>1</v>
      </c>
      <c r="O89" s="271"/>
      <c r="R89" s="173">
        <f t="shared" si="15"/>
        <v>0.8</v>
      </c>
      <c r="S89" s="596">
        <f t="shared" si="16"/>
        <v>0.71500000000000008</v>
      </c>
    </row>
    <row r="90" spans="2:19">
      <c r="B90" s="301">
        <f t="shared" si="12"/>
        <v>2072</v>
      </c>
      <c r="C90" s="61">
        <f t="shared" si="10"/>
        <v>0</v>
      </c>
      <c r="D90" s="62">
        <f t="shared" si="10"/>
        <v>1</v>
      </c>
      <c r="E90" s="62">
        <f t="shared" si="10"/>
        <v>0</v>
      </c>
      <c r="F90" s="62">
        <f t="shared" si="10"/>
        <v>0</v>
      </c>
      <c r="G90" s="62">
        <f t="shared" si="10"/>
        <v>0</v>
      </c>
      <c r="H90" s="29">
        <f t="shared" si="13"/>
        <v>1</v>
      </c>
      <c r="I90" s="61">
        <f t="shared" si="11"/>
        <v>0.2</v>
      </c>
      <c r="J90" s="62">
        <f t="shared" si="11"/>
        <v>0.3</v>
      </c>
      <c r="K90" s="62">
        <f t="shared" si="11"/>
        <v>0.25</v>
      </c>
      <c r="L90" s="62">
        <f t="shared" si="11"/>
        <v>0.05</v>
      </c>
      <c r="M90" s="62">
        <f t="shared" si="11"/>
        <v>0.2</v>
      </c>
      <c r="N90" s="29">
        <f t="shared" si="14"/>
        <v>1</v>
      </c>
      <c r="O90" s="271"/>
      <c r="R90" s="173">
        <f t="shared" si="15"/>
        <v>0.8</v>
      </c>
      <c r="S90" s="596">
        <f t="shared" si="16"/>
        <v>0.71500000000000008</v>
      </c>
    </row>
    <row r="91" spans="2:19">
      <c r="B91" s="301">
        <f t="shared" si="12"/>
        <v>2073</v>
      </c>
      <c r="C91" s="61">
        <f t="shared" si="10"/>
        <v>0</v>
      </c>
      <c r="D91" s="62">
        <f t="shared" si="10"/>
        <v>1</v>
      </c>
      <c r="E91" s="62">
        <f t="shared" si="10"/>
        <v>0</v>
      </c>
      <c r="F91" s="62">
        <f t="shared" si="10"/>
        <v>0</v>
      </c>
      <c r="G91" s="62">
        <f t="shared" si="10"/>
        <v>0</v>
      </c>
      <c r="H91" s="29">
        <f t="shared" si="13"/>
        <v>1</v>
      </c>
      <c r="I91" s="61">
        <f t="shared" si="11"/>
        <v>0.2</v>
      </c>
      <c r="J91" s="62">
        <f t="shared" si="11"/>
        <v>0.3</v>
      </c>
      <c r="K91" s="62">
        <f t="shared" si="11"/>
        <v>0.25</v>
      </c>
      <c r="L91" s="62">
        <f t="shared" si="11"/>
        <v>0.05</v>
      </c>
      <c r="M91" s="62">
        <f t="shared" si="11"/>
        <v>0.2</v>
      </c>
      <c r="N91" s="29">
        <f t="shared" si="14"/>
        <v>1</v>
      </c>
      <c r="O91" s="271"/>
      <c r="R91" s="173">
        <f t="shared" si="15"/>
        <v>0.8</v>
      </c>
      <c r="S91" s="596">
        <f t="shared" si="16"/>
        <v>0.71500000000000008</v>
      </c>
    </row>
    <row r="92" spans="2:19">
      <c r="B92" s="301">
        <f t="shared" si="12"/>
        <v>2074</v>
      </c>
      <c r="C92" s="61">
        <f t="shared" si="10"/>
        <v>0</v>
      </c>
      <c r="D92" s="62">
        <f t="shared" si="10"/>
        <v>1</v>
      </c>
      <c r="E92" s="62">
        <f t="shared" si="10"/>
        <v>0</v>
      </c>
      <c r="F92" s="62">
        <f t="shared" si="10"/>
        <v>0</v>
      </c>
      <c r="G92" s="62">
        <f t="shared" si="10"/>
        <v>0</v>
      </c>
      <c r="H92" s="29">
        <f t="shared" si="13"/>
        <v>1</v>
      </c>
      <c r="I92" s="61">
        <f t="shared" si="11"/>
        <v>0.2</v>
      </c>
      <c r="J92" s="62">
        <f t="shared" si="11"/>
        <v>0.3</v>
      </c>
      <c r="K92" s="62">
        <f t="shared" si="11"/>
        <v>0.25</v>
      </c>
      <c r="L92" s="62">
        <f t="shared" si="11"/>
        <v>0.05</v>
      </c>
      <c r="M92" s="62">
        <f t="shared" si="11"/>
        <v>0.2</v>
      </c>
      <c r="N92" s="29">
        <f t="shared" si="14"/>
        <v>1</v>
      </c>
      <c r="O92" s="271"/>
      <c r="R92" s="173">
        <f t="shared" si="15"/>
        <v>0.8</v>
      </c>
      <c r="S92" s="596">
        <f t="shared" si="16"/>
        <v>0.71500000000000008</v>
      </c>
    </row>
    <row r="93" spans="2:19">
      <c r="B93" s="301">
        <f t="shared" si="12"/>
        <v>2075</v>
      </c>
      <c r="C93" s="61">
        <f t="shared" si="10"/>
        <v>0</v>
      </c>
      <c r="D93" s="62">
        <f t="shared" si="10"/>
        <v>1</v>
      </c>
      <c r="E93" s="62">
        <f t="shared" si="10"/>
        <v>0</v>
      </c>
      <c r="F93" s="62">
        <f t="shared" si="10"/>
        <v>0</v>
      </c>
      <c r="G93" s="62">
        <f t="shared" si="10"/>
        <v>0</v>
      </c>
      <c r="H93" s="29">
        <f t="shared" si="13"/>
        <v>1</v>
      </c>
      <c r="I93" s="61">
        <f t="shared" si="11"/>
        <v>0.2</v>
      </c>
      <c r="J93" s="62">
        <f t="shared" si="11"/>
        <v>0.3</v>
      </c>
      <c r="K93" s="62">
        <f t="shared" si="11"/>
        <v>0.25</v>
      </c>
      <c r="L93" s="62">
        <f t="shared" si="11"/>
        <v>0.05</v>
      </c>
      <c r="M93" s="62">
        <f t="shared" si="11"/>
        <v>0.2</v>
      </c>
      <c r="N93" s="29">
        <f t="shared" si="14"/>
        <v>1</v>
      </c>
      <c r="O93" s="271"/>
      <c r="R93" s="173">
        <f t="shared" si="15"/>
        <v>0.8</v>
      </c>
      <c r="S93" s="596">
        <f t="shared" si="16"/>
        <v>0.71500000000000008</v>
      </c>
    </row>
    <row r="94" spans="2:19">
      <c r="B94" s="301">
        <f t="shared" si="12"/>
        <v>2076</v>
      </c>
      <c r="C94" s="61">
        <f t="shared" si="10"/>
        <v>0</v>
      </c>
      <c r="D94" s="62">
        <f t="shared" si="10"/>
        <v>1</v>
      </c>
      <c r="E94" s="62">
        <f t="shared" si="10"/>
        <v>0</v>
      </c>
      <c r="F94" s="62">
        <f t="shared" si="10"/>
        <v>0</v>
      </c>
      <c r="G94" s="62">
        <f t="shared" si="10"/>
        <v>0</v>
      </c>
      <c r="H94" s="29">
        <f t="shared" si="13"/>
        <v>1</v>
      </c>
      <c r="I94" s="61">
        <f t="shared" si="11"/>
        <v>0.2</v>
      </c>
      <c r="J94" s="62">
        <f t="shared" si="11"/>
        <v>0.3</v>
      </c>
      <c r="K94" s="62">
        <f t="shared" si="11"/>
        <v>0.25</v>
      </c>
      <c r="L94" s="62">
        <f t="shared" si="11"/>
        <v>0.05</v>
      </c>
      <c r="M94" s="62">
        <f t="shared" si="11"/>
        <v>0.2</v>
      </c>
      <c r="N94" s="29">
        <f t="shared" si="14"/>
        <v>1</v>
      </c>
      <c r="O94" s="271"/>
      <c r="R94" s="173">
        <f t="shared" si="15"/>
        <v>0.8</v>
      </c>
      <c r="S94" s="596">
        <f t="shared" si="16"/>
        <v>0.71500000000000008</v>
      </c>
    </row>
    <row r="95" spans="2:19">
      <c r="B95" s="301">
        <f t="shared" si="12"/>
        <v>2077</v>
      </c>
      <c r="C95" s="61">
        <f t="shared" si="10"/>
        <v>0</v>
      </c>
      <c r="D95" s="62">
        <f t="shared" si="10"/>
        <v>1</v>
      </c>
      <c r="E95" s="62">
        <f t="shared" si="10"/>
        <v>0</v>
      </c>
      <c r="F95" s="62">
        <f t="shared" si="10"/>
        <v>0</v>
      </c>
      <c r="G95" s="62">
        <f t="shared" si="10"/>
        <v>0</v>
      </c>
      <c r="H95" s="29">
        <f t="shared" si="13"/>
        <v>1</v>
      </c>
      <c r="I95" s="61">
        <f t="shared" si="11"/>
        <v>0.2</v>
      </c>
      <c r="J95" s="62">
        <f t="shared" si="11"/>
        <v>0.3</v>
      </c>
      <c r="K95" s="62">
        <f t="shared" si="11"/>
        <v>0.25</v>
      </c>
      <c r="L95" s="62">
        <f t="shared" si="11"/>
        <v>0.05</v>
      </c>
      <c r="M95" s="62">
        <f t="shared" si="11"/>
        <v>0.2</v>
      </c>
      <c r="N95" s="29">
        <f t="shared" si="14"/>
        <v>1</v>
      </c>
      <c r="O95" s="271"/>
      <c r="R95" s="173">
        <f t="shared" si="15"/>
        <v>0.8</v>
      </c>
      <c r="S95" s="596">
        <f t="shared" si="16"/>
        <v>0.71500000000000008</v>
      </c>
    </row>
    <row r="96" spans="2:19">
      <c r="B96" s="301">
        <f t="shared" si="12"/>
        <v>2078</v>
      </c>
      <c r="C96" s="61">
        <f t="shared" si="10"/>
        <v>0</v>
      </c>
      <c r="D96" s="62">
        <f t="shared" si="10"/>
        <v>1</v>
      </c>
      <c r="E96" s="62">
        <f t="shared" si="10"/>
        <v>0</v>
      </c>
      <c r="F96" s="62">
        <f t="shared" si="10"/>
        <v>0</v>
      </c>
      <c r="G96" s="62">
        <f t="shared" si="10"/>
        <v>0</v>
      </c>
      <c r="H96" s="29">
        <f t="shared" si="13"/>
        <v>1</v>
      </c>
      <c r="I96" s="61">
        <f t="shared" si="11"/>
        <v>0.2</v>
      </c>
      <c r="J96" s="62">
        <f t="shared" si="11"/>
        <v>0.3</v>
      </c>
      <c r="K96" s="62">
        <f t="shared" si="11"/>
        <v>0.25</v>
      </c>
      <c r="L96" s="62">
        <f t="shared" si="11"/>
        <v>0.05</v>
      </c>
      <c r="M96" s="62">
        <f t="shared" si="11"/>
        <v>0.2</v>
      </c>
      <c r="N96" s="29">
        <f t="shared" si="14"/>
        <v>1</v>
      </c>
      <c r="O96" s="271"/>
      <c r="R96" s="173">
        <f t="shared" si="15"/>
        <v>0.8</v>
      </c>
      <c r="S96" s="596">
        <f t="shared" si="16"/>
        <v>0.71500000000000008</v>
      </c>
    </row>
    <row r="97" spans="2:19">
      <c r="B97" s="301">
        <f t="shared" si="12"/>
        <v>2079</v>
      </c>
      <c r="C97" s="61">
        <f t="shared" si="10"/>
        <v>0</v>
      </c>
      <c r="D97" s="62">
        <f t="shared" si="10"/>
        <v>1</v>
      </c>
      <c r="E97" s="62">
        <f t="shared" si="10"/>
        <v>0</v>
      </c>
      <c r="F97" s="62">
        <f t="shared" si="10"/>
        <v>0</v>
      </c>
      <c r="G97" s="62">
        <f t="shared" si="10"/>
        <v>0</v>
      </c>
      <c r="H97" s="29">
        <f t="shared" si="13"/>
        <v>1</v>
      </c>
      <c r="I97" s="61">
        <f t="shared" si="11"/>
        <v>0.2</v>
      </c>
      <c r="J97" s="62">
        <f t="shared" si="11"/>
        <v>0.3</v>
      </c>
      <c r="K97" s="62">
        <f t="shared" si="11"/>
        <v>0.25</v>
      </c>
      <c r="L97" s="62">
        <f t="shared" si="11"/>
        <v>0.05</v>
      </c>
      <c r="M97" s="62">
        <f t="shared" si="11"/>
        <v>0.2</v>
      </c>
      <c r="N97" s="29">
        <f t="shared" si="14"/>
        <v>1</v>
      </c>
      <c r="O97" s="271"/>
      <c r="R97" s="173">
        <f t="shared" si="15"/>
        <v>0.8</v>
      </c>
      <c r="S97" s="596">
        <f t="shared" si="16"/>
        <v>0.71500000000000008</v>
      </c>
    </row>
    <row r="98" spans="2:19" ht="13.5" thickBot="1">
      <c r="B98" s="302">
        <f t="shared" si="12"/>
        <v>2080</v>
      </c>
      <c r="C98" s="63">
        <f t="shared" si="10"/>
        <v>0</v>
      </c>
      <c r="D98" s="64">
        <f t="shared" si="10"/>
        <v>1</v>
      </c>
      <c r="E98" s="64">
        <f t="shared" si="10"/>
        <v>0</v>
      </c>
      <c r="F98" s="64">
        <f t="shared" si="10"/>
        <v>0</v>
      </c>
      <c r="G98" s="64">
        <f t="shared" si="10"/>
        <v>0</v>
      </c>
      <c r="H98" s="30">
        <f t="shared" si="13"/>
        <v>1</v>
      </c>
      <c r="I98" s="63">
        <f t="shared" si="11"/>
        <v>0.2</v>
      </c>
      <c r="J98" s="64">
        <f t="shared" si="11"/>
        <v>0.3</v>
      </c>
      <c r="K98" s="64">
        <f t="shared" si="11"/>
        <v>0.25</v>
      </c>
      <c r="L98" s="64">
        <f t="shared" si="11"/>
        <v>0.05</v>
      </c>
      <c r="M98" s="64">
        <f t="shared" si="11"/>
        <v>0.2</v>
      </c>
      <c r="N98" s="30">
        <f t="shared" si="14"/>
        <v>1</v>
      </c>
      <c r="O98" s="579"/>
      <c r="R98" s="167">
        <f t="shared" si="15"/>
        <v>0.8</v>
      </c>
      <c r="S98" s="167">
        <f t="shared" si="16"/>
        <v>0.71500000000000008</v>
      </c>
    </row>
    <row r="99" spans="2:19">
      <c r="H99" s="31"/>
    </row>
    <row r="100" spans="2:19">
      <c r="H100" s="31"/>
    </row>
  </sheetData>
  <customSheetViews>
    <customSheetView guid="{B400968E-E9A7-41C3-9739-36597C9C6BC6}" showGridLines="0" showRuler="0">
      <pane xSplit="2" ySplit="14" topLeftCell="C15" activePane="bottomRight" state="frozenSplit"/>
      <selection pane="bottomRight" activeCell="H4" sqref="H4"/>
      <pageMargins left="0.7" right="0.7" top="0.75" bottom="0.75" header="0.3" footer="0.3"/>
      <headerFooter alignWithMargins="0"/>
    </customSheetView>
  </customSheetViews>
  <mergeCells count="9">
    <mergeCell ref="C15:H15"/>
    <mergeCell ref="Q2:T2"/>
    <mergeCell ref="C9:H9"/>
    <mergeCell ref="R10:R16"/>
    <mergeCell ref="H16:H17"/>
    <mergeCell ref="I9:N9"/>
    <mergeCell ref="I15:N15"/>
    <mergeCell ref="N16:N17"/>
    <mergeCell ref="S10:S16"/>
  </mergeCells>
  <phoneticPr fontId="16" type="noConversion"/>
  <dataValidations count="3">
    <dataValidation type="decimal" allowBlank="1" showInputMessage="1" showErrorMessage="1" errorTitle="Error in MCF" error="Please enter a number between 0 and 1. Guidance can be found in the 2006 IPCC Guidelines." promptTitle="MCF" prompt="Enter a fraction between 0 and 1" sqref="C13:G13 I13:M13">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8:G98 I18:M98">
      <formula1>0</formula1>
      <formula2>1</formula2>
    </dataValidation>
    <dataValidation type="list" allowBlank="1" showInputMessage="1" showErrorMessage="1" sqref="H18">
      <formula1>"""1"""</formula1>
    </dataValidation>
  </dataValidations>
  <pageMargins left="0.75" right="0.75" top="1" bottom="1" header="0.5" footer="0.5"/>
  <pageSetup paperSize="9" orientation="portrait" horizontalDpi="4294967292" verticalDpi="0" r:id="rId1"/>
  <headerFooter alignWithMargins="0"/>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indexed="34"/>
  </sheetPr>
  <dimension ref="B2:AD93"/>
  <sheetViews>
    <sheetView showGridLines="0" workbookViewId="0">
      <pane xSplit="1" ySplit="12" topLeftCell="B31" activePane="bottomRight" state="frozen"/>
      <selection activeCell="E19" sqref="E19"/>
      <selection pane="topRight" activeCell="E19" sqref="E19"/>
      <selection pane="bottomLeft" activeCell="E19" sqref="E19"/>
      <selection pane="bottomRight" activeCell="E8" sqref="E8"/>
    </sheetView>
  </sheetViews>
  <sheetFormatPr defaultColWidth="11.42578125" defaultRowHeight="12.75"/>
  <cols>
    <col min="1" max="1" width="2.28515625" style="638" customWidth="1"/>
    <col min="2" max="2" width="6.28515625" style="638" customWidth="1"/>
    <col min="3" max="3" width="9.28515625" style="638" customWidth="1"/>
    <col min="4" max="4" width="7.42578125" style="638" customWidth="1"/>
    <col min="5" max="14" width="8" style="638" customWidth="1"/>
    <col min="15" max="16" width="8.42578125" style="638" customWidth="1"/>
    <col min="17" max="17" width="3.85546875" style="638" customWidth="1"/>
    <col min="18" max="18" width="3.42578125" style="638" customWidth="1"/>
    <col min="19" max="21" width="11.42578125" style="638" hidden="1" customWidth="1"/>
    <col min="22" max="22" width="10.28515625" style="638" hidden="1" customWidth="1"/>
    <col min="23" max="23" width="9.7109375" style="638" hidden="1" customWidth="1"/>
    <col min="24" max="24" width="9.42578125" style="638" hidden="1" customWidth="1"/>
    <col min="25" max="27" width="11.42578125" style="638" hidden="1" customWidth="1"/>
    <col min="28" max="29" width="11.42578125" style="638"/>
    <col min="30" max="30" width="10.85546875" style="638" customWidth="1"/>
    <col min="31" max="16384" width="11.42578125" style="638"/>
  </cols>
  <sheetData>
    <row r="2" spans="2:30" ht="15.75">
      <c r="C2" s="639" t="s">
        <v>34</v>
      </c>
      <c r="S2" s="639" t="s">
        <v>300</v>
      </c>
      <c r="AC2" s="638" t="s">
        <v>6</v>
      </c>
      <c r="AD2" s="758">
        <v>0.435</v>
      </c>
    </row>
    <row r="3" spans="2:30">
      <c r="B3" s="640"/>
      <c r="C3" s="640"/>
      <c r="S3" s="640"/>
      <c r="AC3" s="638" t="s">
        <v>256</v>
      </c>
      <c r="AD3" s="758">
        <v>0.129</v>
      </c>
    </row>
    <row r="4" spans="2:30">
      <c r="B4" s="640"/>
      <c r="C4" s="640" t="s">
        <v>38</v>
      </c>
      <c r="S4" s="640" t="s">
        <v>301</v>
      </c>
      <c r="AC4" s="638" t="s">
        <v>2</v>
      </c>
      <c r="AD4" s="758">
        <v>9.9000000000000005E-2</v>
      </c>
    </row>
    <row r="5" spans="2:30">
      <c r="B5" s="640"/>
      <c r="C5" s="640"/>
      <c r="S5" s="640" t="s">
        <v>38</v>
      </c>
      <c r="AC5" s="638" t="s">
        <v>16</v>
      </c>
      <c r="AD5" s="758">
        <v>2.7E-2</v>
      </c>
    </row>
    <row r="6" spans="2:30">
      <c r="B6" s="640"/>
      <c r="S6" s="640"/>
      <c r="AC6" s="638" t="s">
        <v>331</v>
      </c>
      <c r="AD6" s="758">
        <v>8.9999999999999993E-3</v>
      </c>
    </row>
    <row r="7" spans="2:30" ht="13.5" thickBot="1">
      <c r="B7" s="640"/>
      <c r="C7" s="641"/>
      <c r="S7" s="640"/>
      <c r="AC7" s="638" t="s">
        <v>332</v>
      </c>
      <c r="AD7" s="758">
        <v>7.1999999999999995E-2</v>
      </c>
    </row>
    <row r="8" spans="2:30" ht="13.5" thickBot="1">
      <c r="B8" s="640"/>
      <c r="D8" s="642">
        <v>6.2100000000000002E-2</v>
      </c>
      <c r="E8" s="643">
        <f>AD2</f>
        <v>0.435</v>
      </c>
      <c r="F8" s="644">
        <f>AD3</f>
        <v>0.129</v>
      </c>
      <c r="G8" s="645">
        <v>0</v>
      </c>
      <c r="H8" s="644">
        <v>0</v>
      </c>
      <c r="I8" s="644">
        <f>AD4</f>
        <v>9.9000000000000005E-2</v>
      </c>
      <c r="J8" s="644">
        <f>AD5</f>
        <v>2.7E-2</v>
      </c>
      <c r="K8" s="644">
        <f>AD6</f>
        <v>8.9999999999999993E-3</v>
      </c>
      <c r="L8" s="644">
        <f>AD7</f>
        <v>7.1999999999999995E-2</v>
      </c>
      <c r="M8" s="644">
        <f>AD8</f>
        <v>3.3000000000000002E-2</v>
      </c>
      <c r="N8" s="644">
        <f>AD9</f>
        <v>0.04</v>
      </c>
      <c r="O8" s="644">
        <f>AD10</f>
        <v>0.156</v>
      </c>
      <c r="P8" s="646">
        <f>SUM(E8:O8)</f>
        <v>1</v>
      </c>
      <c r="S8" s="640"/>
      <c r="T8" s="640"/>
      <c r="AC8" s="638" t="s">
        <v>231</v>
      </c>
      <c r="AD8" s="758">
        <v>3.3000000000000002E-2</v>
      </c>
    </row>
    <row r="9" spans="2:30" ht="13.5" thickBot="1">
      <c r="B9" s="647"/>
      <c r="C9" s="648"/>
      <c r="D9" s="649"/>
      <c r="E9" s="802" t="s">
        <v>41</v>
      </c>
      <c r="F9" s="803"/>
      <c r="G9" s="803"/>
      <c r="H9" s="803"/>
      <c r="I9" s="803"/>
      <c r="J9" s="803"/>
      <c r="K9" s="803"/>
      <c r="L9" s="803"/>
      <c r="M9" s="803"/>
      <c r="N9" s="803"/>
      <c r="O9" s="803"/>
      <c r="P9" s="650"/>
      <c r="AC9" s="638" t="s">
        <v>232</v>
      </c>
      <c r="AD9" s="758">
        <v>0.04</v>
      </c>
    </row>
    <row r="10" spans="2:30" ht="21.75" customHeight="1" thickBot="1">
      <c r="B10" s="800" t="s">
        <v>1</v>
      </c>
      <c r="C10" s="800" t="s">
        <v>33</v>
      </c>
      <c r="D10" s="800" t="s">
        <v>40</v>
      </c>
      <c r="E10" s="800" t="s">
        <v>228</v>
      </c>
      <c r="F10" s="800" t="s">
        <v>271</v>
      </c>
      <c r="G10" s="792" t="s">
        <v>267</v>
      </c>
      <c r="H10" s="800" t="s">
        <v>270</v>
      </c>
      <c r="I10" s="792" t="s">
        <v>2</v>
      </c>
      <c r="J10" s="800" t="s">
        <v>16</v>
      </c>
      <c r="K10" s="792" t="s">
        <v>229</v>
      </c>
      <c r="L10" s="804" t="s">
        <v>273</v>
      </c>
      <c r="M10" s="805"/>
      <c r="N10" s="805"/>
      <c r="O10" s="806"/>
      <c r="P10" s="800" t="s">
        <v>27</v>
      </c>
      <c r="AC10" s="638" t="s">
        <v>233</v>
      </c>
      <c r="AD10" s="758">
        <v>0.156</v>
      </c>
    </row>
    <row r="11" spans="2:30" s="652" customFormat="1" ht="42" customHeight="1" thickBot="1">
      <c r="B11" s="801"/>
      <c r="C11" s="801"/>
      <c r="D11" s="801"/>
      <c r="E11" s="801"/>
      <c r="F11" s="801"/>
      <c r="G11" s="794"/>
      <c r="H11" s="801"/>
      <c r="I11" s="794"/>
      <c r="J11" s="801"/>
      <c r="K11" s="794"/>
      <c r="L11" s="651" t="s">
        <v>230</v>
      </c>
      <c r="M11" s="651" t="s">
        <v>231</v>
      </c>
      <c r="N11" s="651" t="s">
        <v>232</v>
      </c>
      <c r="O11" s="651" t="s">
        <v>233</v>
      </c>
      <c r="P11" s="801"/>
      <c r="S11" s="400" t="s">
        <v>1</v>
      </c>
      <c r="T11" s="404" t="s">
        <v>302</v>
      </c>
      <c r="U11" s="400" t="s">
        <v>303</v>
      </c>
      <c r="V11" s="404" t="s">
        <v>304</v>
      </c>
      <c r="W11" s="400" t="s">
        <v>40</v>
      </c>
      <c r="X11" s="404" t="s">
        <v>305</v>
      </c>
    </row>
    <row r="12" spans="2:30" s="659" customFormat="1" ht="26.25" thickBot="1">
      <c r="B12" s="653"/>
      <c r="C12" s="654" t="s">
        <v>15</v>
      </c>
      <c r="D12" s="654" t="s">
        <v>24</v>
      </c>
      <c r="E12" s="655" t="s">
        <v>24</v>
      </c>
      <c r="F12" s="656" t="s">
        <v>24</v>
      </c>
      <c r="G12" s="656" t="s">
        <v>24</v>
      </c>
      <c r="H12" s="656" t="s">
        <v>24</v>
      </c>
      <c r="I12" s="656" t="s">
        <v>24</v>
      </c>
      <c r="J12" s="656" t="s">
        <v>24</v>
      </c>
      <c r="K12" s="656" t="s">
        <v>24</v>
      </c>
      <c r="L12" s="656" t="s">
        <v>24</v>
      </c>
      <c r="M12" s="656" t="s">
        <v>24</v>
      </c>
      <c r="N12" s="656" t="s">
        <v>24</v>
      </c>
      <c r="O12" s="657" t="s">
        <v>24</v>
      </c>
      <c r="P12" s="658" t="s">
        <v>39</v>
      </c>
      <c r="S12" s="660"/>
      <c r="T12" s="661" t="s">
        <v>306</v>
      </c>
      <c r="U12" s="660" t="s">
        <v>307</v>
      </c>
      <c r="V12" s="661" t="s">
        <v>15</v>
      </c>
      <c r="W12" s="662" t="s">
        <v>24</v>
      </c>
      <c r="X12" s="661" t="s">
        <v>15</v>
      </c>
    </row>
    <row r="13" spans="2:30">
      <c r="B13" s="663">
        <f>year</f>
        <v>2000</v>
      </c>
      <c r="C13" s="664">
        <f>'[2]Fraksi pengelolaan sampah BaU'!C30</f>
        <v>9.0937228799999996</v>
      </c>
      <c r="D13" s="665">
        <v>1</v>
      </c>
      <c r="E13" s="666">
        <f t="shared" ref="E13:O28" si="0">E$8</f>
        <v>0.435</v>
      </c>
      <c r="F13" s="666">
        <f t="shared" si="0"/>
        <v>0.129</v>
      </c>
      <c r="G13" s="666">
        <f t="shared" si="0"/>
        <v>0</v>
      </c>
      <c r="H13" s="666">
        <f t="shared" si="0"/>
        <v>0</v>
      </c>
      <c r="I13" s="666">
        <f t="shared" si="0"/>
        <v>9.9000000000000005E-2</v>
      </c>
      <c r="J13" s="666">
        <f t="shared" si="0"/>
        <v>2.7E-2</v>
      </c>
      <c r="K13" s="666">
        <f t="shared" si="0"/>
        <v>8.9999999999999993E-3</v>
      </c>
      <c r="L13" s="666">
        <f t="shared" si="0"/>
        <v>7.1999999999999995E-2</v>
      </c>
      <c r="M13" s="666">
        <f t="shared" si="0"/>
        <v>3.3000000000000002E-2</v>
      </c>
      <c r="N13" s="666">
        <f t="shared" si="0"/>
        <v>0.04</v>
      </c>
      <c r="O13" s="666">
        <f t="shared" si="0"/>
        <v>0.156</v>
      </c>
      <c r="P13" s="667">
        <f t="shared" ref="P13:P44" si="1">SUM(E13:O13)</f>
        <v>1</v>
      </c>
      <c r="S13" s="663">
        <f>year</f>
        <v>2000</v>
      </c>
      <c r="T13" s="668">
        <v>0</v>
      </c>
      <c r="U13" s="668">
        <v>5</v>
      </c>
      <c r="V13" s="669">
        <f>T13*U13</f>
        <v>0</v>
      </c>
      <c r="W13" s="670">
        <v>1</v>
      </c>
      <c r="X13" s="671">
        <f t="shared" ref="X13:X44" si="2">V13*W13</f>
        <v>0</v>
      </c>
    </row>
    <row r="14" spans="2:30">
      <c r="B14" s="672">
        <f t="shared" ref="B14:B45" si="3">B13+1</f>
        <v>2001</v>
      </c>
      <c r="C14" s="664">
        <f>'[2]Fraksi pengelolaan sampah BaU'!C31</f>
        <v>9.3589770120000004</v>
      </c>
      <c r="D14" s="665">
        <v>1</v>
      </c>
      <c r="E14" s="666">
        <f t="shared" si="0"/>
        <v>0.435</v>
      </c>
      <c r="F14" s="666">
        <f t="shared" si="0"/>
        <v>0.129</v>
      </c>
      <c r="G14" s="666">
        <f t="shared" si="0"/>
        <v>0</v>
      </c>
      <c r="H14" s="666">
        <f t="shared" si="0"/>
        <v>0</v>
      </c>
      <c r="I14" s="666">
        <f t="shared" si="0"/>
        <v>9.9000000000000005E-2</v>
      </c>
      <c r="J14" s="666">
        <f t="shared" si="0"/>
        <v>2.7E-2</v>
      </c>
      <c r="K14" s="666">
        <f t="shared" si="0"/>
        <v>8.9999999999999993E-3</v>
      </c>
      <c r="L14" s="666">
        <f t="shared" si="0"/>
        <v>7.1999999999999995E-2</v>
      </c>
      <c r="M14" s="666">
        <f t="shared" si="0"/>
        <v>3.3000000000000002E-2</v>
      </c>
      <c r="N14" s="666">
        <f t="shared" si="0"/>
        <v>0.04</v>
      </c>
      <c r="O14" s="666">
        <f t="shared" si="0"/>
        <v>0.156</v>
      </c>
      <c r="P14" s="673">
        <f t="shared" si="1"/>
        <v>1</v>
      </c>
      <c r="S14" s="672">
        <f t="shared" ref="S14:S77" si="4">S13+1</f>
        <v>2001</v>
      </c>
      <c r="T14" s="674">
        <v>0</v>
      </c>
      <c r="U14" s="674">
        <v>5</v>
      </c>
      <c r="V14" s="675">
        <f>T14*U14</f>
        <v>0</v>
      </c>
      <c r="W14" s="676">
        <v>1</v>
      </c>
      <c r="X14" s="677">
        <f t="shared" si="2"/>
        <v>0</v>
      </c>
    </row>
    <row r="15" spans="2:30">
      <c r="B15" s="672">
        <f t="shared" si="3"/>
        <v>2002</v>
      </c>
      <c r="C15" s="664">
        <f>'[2]Fraksi pengelolaan sampah BaU'!C32</f>
        <v>9.7755055199999994</v>
      </c>
      <c r="D15" s="665">
        <v>1</v>
      </c>
      <c r="E15" s="666">
        <f t="shared" si="0"/>
        <v>0.435</v>
      </c>
      <c r="F15" s="666">
        <f t="shared" si="0"/>
        <v>0.129</v>
      </c>
      <c r="G15" s="666">
        <f t="shared" si="0"/>
        <v>0</v>
      </c>
      <c r="H15" s="666">
        <f t="shared" si="0"/>
        <v>0</v>
      </c>
      <c r="I15" s="666">
        <f t="shared" si="0"/>
        <v>9.9000000000000005E-2</v>
      </c>
      <c r="J15" s="666">
        <f t="shared" si="0"/>
        <v>2.7E-2</v>
      </c>
      <c r="K15" s="666">
        <f t="shared" si="0"/>
        <v>8.9999999999999993E-3</v>
      </c>
      <c r="L15" s="666">
        <f t="shared" si="0"/>
        <v>7.1999999999999995E-2</v>
      </c>
      <c r="M15" s="666">
        <f t="shared" si="0"/>
        <v>3.3000000000000002E-2</v>
      </c>
      <c r="N15" s="666">
        <f t="shared" si="0"/>
        <v>0.04</v>
      </c>
      <c r="O15" s="666">
        <f t="shared" si="0"/>
        <v>0.156</v>
      </c>
      <c r="P15" s="673">
        <f t="shared" si="1"/>
        <v>1</v>
      </c>
      <c r="S15" s="672">
        <f t="shared" si="4"/>
        <v>2002</v>
      </c>
      <c r="T15" s="674">
        <v>0</v>
      </c>
      <c r="U15" s="674">
        <v>5</v>
      </c>
      <c r="V15" s="675">
        <f t="shared" ref="V15:V78" si="5">T15*U15</f>
        <v>0</v>
      </c>
      <c r="W15" s="676">
        <v>1</v>
      </c>
      <c r="X15" s="677">
        <f t="shared" si="2"/>
        <v>0</v>
      </c>
    </row>
    <row r="16" spans="2:30">
      <c r="B16" s="672">
        <f t="shared" si="3"/>
        <v>2003</v>
      </c>
      <c r="C16" s="664">
        <f>'[2]Fraksi pengelolaan sampah BaU'!C33</f>
        <v>10.081814555999999</v>
      </c>
      <c r="D16" s="665">
        <v>1</v>
      </c>
      <c r="E16" s="666">
        <f t="shared" si="0"/>
        <v>0.435</v>
      </c>
      <c r="F16" s="666">
        <f t="shared" si="0"/>
        <v>0.129</v>
      </c>
      <c r="G16" s="666">
        <f t="shared" si="0"/>
        <v>0</v>
      </c>
      <c r="H16" s="666">
        <f t="shared" si="0"/>
        <v>0</v>
      </c>
      <c r="I16" s="666">
        <f t="shared" si="0"/>
        <v>9.9000000000000005E-2</v>
      </c>
      <c r="J16" s="666">
        <f t="shared" si="0"/>
        <v>2.7E-2</v>
      </c>
      <c r="K16" s="666">
        <f t="shared" si="0"/>
        <v>8.9999999999999993E-3</v>
      </c>
      <c r="L16" s="666">
        <f t="shared" si="0"/>
        <v>7.1999999999999995E-2</v>
      </c>
      <c r="M16" s="666">
        <f t="shared" si="0"/>
        <v>3.3000000000000002E-2</v>
      </c>
      <c r="N16" s="666">
        <f t="shared" si="0"/>
        <v>0.04</v>
      </c>
      <c r="O16" s="666">
        <f t="shared" si="0"/>
        <v>0.156</v>
      </c>
      <c r="P16" s="673">
        <f t="shared" si="1"/>
        <v>1</v>
      </c>
      <c r="S16" s="672">
        <f t="shared" si="4"/>
        <v>2003</v>
      </c>
      <c r="T16" s="674">
        <v>0</v>
      </c>
      <c r="U16" s="674">
        <v>5</v>
      </c>
      <c r="V16" s="675">
        <f t="shared" si="5"/>
        <v>0</v>
      </c>
      <c r="W16" s="676">
        <v>1</v>
      </c>
      <c r="X16" s="677">
        <f t="shared" si="2"/>
        <v>0</v>
      </c>
    </row>
    <row r="17" spans="2:24">
      <c r="B17" s="672">
        <f t="shared" si="3"/>
        <v>2004</v>
      </c>
      <c r="C17" s="664">
        <f>'[2]Fraksi pengelolaan sampah BaU'!C34</f>
        <v>10.375979724000002</v>
      </c>
      <c r="D17" s="665">
        <v>1</v>
      </c>
      <c r="E17" s="666">
        <f t="shared" si="0"/>
        <v>0.435</v>
      </c>
      <c r="F17" s="666">
        <f t="shared" si="0"/>
        <v>0.129</v>
      </c>
      <c r="G17" s="666">
        <f t="shared" si="0"/>
        <v>0</v>
      </c>
      <c r="H17" s="666">
        <f t="shared" si="0"/>
        <v>0</v>
      </c>
      <c r="I17" s="666">
        <f t="shared" si="0"/>
        <v>9.9000000000000005E-2</v>
      </c>
      <c r="J17" s="666">
        <f t="shared" si="0"/>
        <v>2.7E-2</v>
      </c>
      <c r="K17" s="666">
        <f t="shared" si="0"/>
        <v>8.9999999999999993E-3</v>
      </c>
      <c r="L17" s="666">
        <f t="shared" si="0"/>
        <v>7.1999999999999995E-2</v>
      </c>
      <c r="M17" s="666">
        <f t="shared" si="0"/>
        <v>3.3000000000000002E-2</v>
      </c>
      <c r="N17" s="666">
        <f t="shared" si="0"/>
        <v>0.04</v>
      </c>
      <c r="O17" s="666">
        <f t="shared" si="0"/>
        <v>0.156</v>
      </c>
      <c r="P17" s="673">
        <f t="shared" si="1"/>
        <v>1</v>
      </c>
      <c r="S17" s="672">
        <f t="shared" si="4"/>
        <v>2004</v>
      </c>
      <c r="T17" s="674">
        <v>0</v>
      </c>
      <c r="U17" s="674">
        <v>5</v>
      </c>
      <c r="V17" s="675">
        <f t="shared" si="5"/>
        <v>0</v>
      </c>
      <c r="W17" s="676">
        <v>1</v>
      </c>
      <c r="X17" s="677">
        <f t="shared" si="2"/>
        <v>0</v>
      </c>
    </row>
    <row r="18" spans="2:24">
      <c r="B18" s="672">
        <f t="shared" si="3"/>
        <v>2005</v>
      </c>
      <c r="C18" s="664">
        <f>'[2]Fraksi pengelolaan sampah BaU'!C35</f>
        <v>10.901741399999999</v>
      </c>
      <c r="D18" s="665">
        <v>1</v>
      </c>
      <c r="E18" s="666">
        <f t="shared" si="0"/>
        <v>0.435</v>
      </c>
      <c r="F18" s="666">
        <f t="shared" si="0"/>
        <v>0.129</v>
      </c>
      <c r="G18" s="666">
        <f t="shared" si="0"/>
        <v>0</v>
      </c>
      <c r="H18" s="666">
        <f t="shared" si="0"/>
        <v>0</v>
      </c>
      <c r="I18" s="666">
        <f t="shared" si="0"/>
        <v>9.9000000000000005E-2</v>
      </c>
      <c r="J18" s="666">
        <f t="shared" si="0"/>
        <v>2.7E-2</v>
      </c>
      <c r="K18" s="666">
        <f t="shared" si="0"/>
        <v>8.9999999999999993E-3</v>
      </c>
      <c r="L18" s="666">
        <f t="shared" si="0"/>
        <v>7.1999999999999995E-2</v>
      </c>
      <c r="M18" s="666">
        <f t="shared" si="0"/>
        <v>3.3000000000000002E-2</v>
      </c>
      <c r="N18" s="666">
        <f t="shared" si="0"/>
        <v>0.04</v>
      </c>
      <c r="O18" s="666">
        <f t="shared" si="0"/>
        <v>0.156</v>
      </c>
      <c r="P18" s="673">
        <f t="shared" si="1"/>
        <v>1</v>
      </c>
      <c r="S18" s="672">
        <f t="shared" si="4"/>
        <v>2005</v>
      </c>
      <c r="T18" s="674">
        <v>0</v>
      </c>
      <c r="U18" s="674">
        <v>5</v>
      </c>
      <c r="V18" s="675">
        <f t="shared" si="5"/>
        <v>0</v>
      </c>
      <c r="W18" s="676">
        <v>1</v>
      </c>
      <c r="X18" s="677">
        <f t="shared" si="2"/>
        <v>0</v>
      </c>
    </row>
    <row r="19" spans="2:24">
      <c r="B19" s="672">
        <f t="shared" si="3"/>
        <v>2006</v>
      </c>
      <c r="C19" s="664">
        <f>'[2]Fraksi pengelolaan sampah BaU'!C36</f>
        <v>11.204351796000001</v>
      </c>
      <c r="D19" s="665">
        <v>1</v>
      </c>
      <c r="E19" s="666">
        <f t="shared" si="0"/>
        <v>0.435</v>
      </c>
      <c r="F19" s="666">
        <f t="shared" si="0"/>
        <v>0.129</v>
      </c>
      <c r="G19" s="666">
        <f t="shared" si="0"/>
        <v>0</v>
      </c>
      <c r="H19" s="666">
        <f t="shared" si="0"/>
        <v>0</v>
      </c>
      <c r="I19" s="666">
        <f t="shared" si="0"/>
        <v>9.9000000000000005E-2</v>
      </c>
      <c r="J19" s="666">
        <f t="shared" si="0"/>
        <v>2.7E-2</v>
      </c>
      <c r="K19" s="666">
        <f t="shared" si="0"/>
        <v>8.9999999999999993E-3</v>
      </c>
      <c r="L19" s="666">
        <f t="shared" si="0"/>
        <v>7.1999999999999995E-2</v>
      </c>
      <c r="M19" s="666">
        <f t="shared" si="0"/>
        <v>3.3000000000000002E-2</v>
      </c>
      <c r="N19" s="666">
        <f t="shared" si="0"/>
        <v>0.04</v>
      </c>
      <c r="O19" s="666">
        <f t="shared" si="0"/>
        <v>0.156</v>
      </c>
      <c r="P19" s="673">
        <f t="shared" si="1"/>
        <v>1</v>
      </c>
      <c r="S19" s="672">
        <f t="shared" si="4"/>
        <v>2006</v>
      </c>
      <c r="T19" s="674">
        <v>0</v>
      </c>
      <c r="U19" s="674">
        <v>5</v>
      </c>
      <c r="V19" s="675">
        <f t="shared" si="5"/>
        <v>0</v>
      </c>
      <c r="W19" s="676">
        <v>1</v>
      </c>
      <c r="X19" s="677">
        <f t="shared" si="2"/>
        <v>0</v>
      </c>
    </row>
    <row r="20" spans="2:24">
      <c r="B20" s="672">
        <f t="shared" si="3"/>
        <v>2007</v>
      </c>
      <c r="C20" s="664">
        <f>'[2]Fraksi pengelolaan sampah BaU'!C37</f>
        <v>11.510537544</v>
      </c>
      <c r="D20" s="665">
        <v>1</v>
      </c>
      <c r="E20" s="666">
        <f t="shared" si="0"/>
        <v>0.435</v>
      </c>
      <c r="F20" s="666">
        <f t="shared" si="0"/>
        <v>0.129</v>
      </c>
      <c r="G20" s="666">
        <f t="shared" si="0"/>
        <v>0</v>
      </c>
      <c r="H20" s="666">
        <f t="shared" si="0"/>
        <v>0</v>
      </c>
      <c r="I20" s="666">
        <f t="shared" si="0"/>
        <v>9.9000000000000005E-2</v>
      </c>
      <c r="J20" s="666">
        <f t="shared" si="0"/>
        <v>2.7E-2</v>
      </c>
      <c r="K20" s="666">
        <f t="shared" si="0"/>
        <v>8.9999999999999993E-3</v>
      </c>
      <c r="L20" s="666">
        <f t="shared" si="0"/>
        <v>7.1999999999999995E-2</v>
      </c>
      <c r="M20" s="666">
        <f t="shared" si="0"/>
        <v>3.3000000000000002E-2</v>
      </c>
      <c r="N20" s="666">
        <f t="shared" si="0"/>
        <v>0.04</v>
      </c>
      <c r="O20" s="666">
        <f t="shared" si="0"/>
        <v>0.156</v>
      </c>
      <c r="P20" s="673">
        <f t="shared" si="1"/>
        <v>1</v>
      </c>
      <c r="S20" s="672">
        <f t="shared" si="4"/>
        <v>2007</v>
      </c>
      <c r="T20" s="674">
        <v>0</v>
      </c>
      <c r="U20" s="674">
        <v>5</v>
      </c>
      <c r="V20" s="675">
        <f t="shared" si="5"/>
        <v>0</v>
      </c>
      <c r="W20" s="676">
        <v>1</v>
      </c>
      <c r="X20" s="677">
        <f t="shared" si="2"/>
        <v>0</v>
      </c>
    </row>
    <row r="21" spans="2:24">
      <c r="B21" s="672">
        <f t="shared" si="3"/>
        <v>2008</v>
      </c>
      <c r="C21" s="664">
        <f>'[2]Fraksi pengelolaan sampah BaU'!C38</f>
        <v>11.818880832</v>
      </c>
      <c r="D21" s="665">
        <v>1</v>
      </c>
      <c r="E21" s="666">
        <f t="shared" si="0"/>
        <v>0.435</v>
      </c>
      <c r="F21" s="666">
        <f t="shared" si="0"/>
        <v>0.129</v>
      </c>
      <c r="G21" s="666">
        <f t="shared" si="0"/>
        <v>0</v>
      </c>
      <c r="H21" s="666">
        <f t="shared" si="0"/>
        <v>0</v>
      </c>
      <c r="I21" s="666">
        <f t="shared" si="0"/>
        <v>9.9000000000000005E-2</v>
      </c>
      <c r="J21" s="666">
        <f t="shared" si="0"/>
        <v>2.7E-2</v>
      </c>
      <c r="K21" s="666">
        <f t="shared" si="0"/>
        <v>8.9999999999999993E-3</v>
      </c>
      <c r="L21" s="666">
        <f t="shared" si="0"/>
        <v>7.1999999999999995E-2</v>
      </c>
      <c r="M21" s="666">
        <f t="shared" si="0"/>
        <v>3.3000000000000002E-2</v>
      </c>
      <c r="N21" s="666">
        <f t="shared" si="0"/>
        <v>0.04</v>
      </c>
      <c r="O21" s="666">
        <f t="shared" si="0"/>
        <v>0.156</v>
      </c>
      <c r="P21" s="673">
        <f t="shared" si="1"/>
        <v>1</v>
      </c>
      <c r="S21" s="672">
        <f t="shared" si="4"/>
        <v>2008</v>
      </c>
      <c r="T21" s="674">
        <v>0</v>
      </c>
      <c r="U21" s="674">
        <v>5</v>
      </c>
      <c r="V21" s="675">
        <f t="shared" si="5"/>
        <v>0</v>
      </c>
      <c r="W21" s="676">
        <v>1</v>
      </c>
      <c r="X21" s="677">
        <f t="shared" si="2"/>
        <v>0</v>
      </c>
    </row>
    <row r="22" spans="2:24">
      <c r="B22" s="672">
        <f t="shared" si="3"/>
        <v>2009</v>
      </c>
      <c r="C22" s="664">
        <f>'[2]Fraksi pengelolaan sampah BaU'!C39</f>
        <v>12.127717272</v>
      </c>
      <c r="D22" s="665">
        <v>1</v>
      </c>
      <c r="E22" s="666">
        <f t="shared" si="0"/>
        <v>0.435</v>
      </c>
      <c r="F22" s="666">
        <f t="shared" si="0"/>
        <v>0.129</v>
      </c>
      <c r="G22" s="666">
        <f t="shared" si="0"/>
        <v>0</v>
      </c>
      <c r="H22" s="666">
        <f t="shared" si="0"/>
        <v>0</v>
      </c>
      <c r="I22" s="666">
        <f t="shared" si="0"/>
        <v>9.9000000000000005E-2</v>
      </c>
      <c r="J22" s="666">
        <f t="shared" si="0"/>
        <v>2.7E-2</v>
      </c>
      <c r="K22" s="666">
        <f t="shared" si="0"/>
        <v>8.9999999999999993E-3</v>
      </c>
      <c r="L22" s="666">
        <f t="shared" si="0"/>
        <v>7.1999999999999995E-2</v>
      </c>
      <c r="M22" s="666">
        <f t="shared" si="0"/>
        <v>3.3000000000000002E-2</v>
      </c>
      <c r="N22" s="666">
        <f t="shared" si="0"/>
        <v>0.04</v>
      </c>
      <c r="O22" s="666">
        <f t="shared" si="0"/>
        <v>0.156</v>
      </c>
      <c r="P22" s="673">
        <f t="shared" si="1"/>
        <v>1</v>
      </c>
      <c r="S22" s="672">
        <f t="shared" si="4"/>
        <v>2009</v>
      </c>
      <c r="T22" s="674">
        <v>0</v>
      </c>
      <c r="U22" s="674">
        <v>5</v>
      </c>
      <c r="V22" s="675">
        <f t="shared" si="5"/>
        <v>0</v>
      </c>
      <c r="W22" s="676">
        <v>1</v>
      </c>
      <c r="X22" s="677">
        <f t="shared" si="2"/>
        <v>0</v>
      </c>
    </row>
    <row r="23" spans="2:24">
      <c r="B23" s="672">
        <f t="shared" si="3"/>
        <v>2010</v>
      </c>
      <c r="C23" s="664">
        <f>'[2]Fraksi pengelolaan sampah BaU'!C40</f>
        <v>15.758487228</v>
      </c>
      <c r="D23" s="665">
        <v>1</v>
      </c>
      <c r="E23" s="666">
        <f t="shared" ref="E23:O38" si="6">E$8</f>
        <v>0.435</v>
      </c>
      <c r="F23" s="666">
        <f t="shared" si="6"/>
        <v>0.129</v>
      </c>
      <c r="G23" s="666">
        <f t="shared" si="0"/>
        <v>0</v>
      </c>
      <c r="H23" s="666">
        <f t="shared" si="6"/>
        <v>0</v>
      </c>
      <c r="I23" s="666">
        <f t="shared" si="0"/>
        <v>9.9000000000000005E-2</v>
      </c>
      <c r="J23" s="666">
        <f t="shared" si="6"/>
        <v>2.7E-2</v>
      </c>
      <c r="K23" s="666">
        <f t="shared" si="6"/>
        <v>8.9999999999999993E-3</v>
      </c>
      <c r="L23" s="666">
        <f t="shared" si="6"/>
        <v>7.1999999999999995E-2</v>
      </c>
      <c r="M23" s="666">
        <f t="shared" si="6"/>
        <v>3.3000000000000002E-2</v>
      </c>
      <c r="N23" s="666">
        <f t="shared" si="6"/>
        <v>0.04</v>
      </c>
      <c r="O23" s="666">
        <f t="shared" si="6"/>
        <v>0.156</v>
      </c>
      <c r="P23" s="673">
        <f t="shared" si="1"/>
        <v>1</v>
      </c>
      <c r="S23" s="672">
        <f t="shared" si="4"/>
        <v>2010</v>
      </c>
      <c r="T23" s="674">
        <v>0</v>
      </c>
      <c r="U23" s="674">
        <v>5</v>
      </c>
      <c r="V23" s="675">
        <f t="shared" si="5"/>
        <v>0</v>
      </c>
      <c r="W23" s="676">
        <v>1</v>
      </c>
      <c r="X23" s="677">
        <f t="shared" si="2"/>
        <v>0</v>
      </c>
    </row>
    <row r="24" spans="2:24">
      <c r="B24" s="672">
        <f t="shared" si="3"/>
        <v>2011</v>
      </c>
      <c r="C24" s="664">
        <f>'[3]Fraksi pengelolaan sampah BaU'!C29</f>
        <v>15.095775</v>
      </c>
      <c r="D24" s="665">
        <v>1</v>
      </c>
      <c r="E24" s="666">
        <f t="shared" si="6"/>
        <v>0.435</v>
      </c>
      <c r="F24" s="666">
        <f t="shared" si="6"/>
        <v>0.129</v>
      </c>
      <c r="G24" s="666">
        <f t="shared" si="0"/>
        <v>0</v>
      </c>
      <c r="H24" s="666">
        <f t="shared" si="6"/>
        <v>0</v>
      </c>
      <c r="I24" s="666">
        <f t="shared" si="0"/>
        <v>9.9000000000000005E-2</v>
      </c>
      <c r="J24" s="666">
        <f t="shared" si="6"/>
        <v>2.7E-2</v>
      </c>
      <c r="K24" s="666">
        <f t="shared" si="6"/>
        <v>8.9999999999999993E-3</v>
      </c>
      <c r="L24" s="666">
        <f t="shared" si="6"/>
        <v>7.1999999999999995E-2</v>
      </c>
      <c r="M24" s="666">
        <f t="shared" si="6"/>
        <v>3.3000000000000002E-2</v>
      </c>
      <c r="N24" s="666">
        <f t="shared" si="6"/>
        <v>0.04</v>
      </c>
      <c r="O24" s="666">
        <f t="shared" si="6"/>
        <v>0.156</v>
      </c>
      <c r="P24" s="673">
        <f t="shared" si="1"/>
        <v>1</v>
      </c>
      <c r="S24" s="672">
        <f t="shared" si="4"/>
        <v>2011</v>
      </c>
      <c r="T24" s="674">
        <v>0</v>
      </c>
      <c r="U24" s="674">
        <v>5</v>
      </c>
      <c r="V24" s="675">
        <f t="shared" si="5"/>
        <v>0</v>
      </c>
      <c r="W24" s="676">
        <v>1</v>
      </c>
      <c r="X24" s="677">
        <f t="shared" si="2"/>
        <v>0</v>
      </c>
    </row>
    <row r="25" spans="2:24">
      <c r="B25" s="672">
        <f t="shared" si="3"/>
        <v>2012</v>
      </c>
      <c r="C25" s="664">
        <f>'[3]Fraksi pengelolaan sampah BaU'!C30</f>
        <v>15.780527760000002</v>
      </c>
      <c r="D25" s="665">
        <v>1</v>
      </c>
      <c r="E25" s="666">
        <f t="shared" si="6"/>
        <v>0.435</v>
      </c>
      <c r="F25" s="666">
        <f t="shared" si="6"/>
        <v>0.129</v>
      </c>
      <c r="G25" s="666">
        <f t="shared" si="0"/>
        <v>0</v>
      </c>
      <c r="H25" s="666">
        <f t="shared" si="6"/>
        <v>0</v>
      </c>
      <c r="I25" s="666">
        <f t="shared" si="0"/>
        <v>9.9000000000000005E-2</v>
      </c>
      <c r="J25" s="666">
        <f t="shared" si="6"/>
        <v>2.7E-2</v>
      </c>
      <c r="K25" s="666">
        <f t="shared" si="6"/>
        <v>8.9999999999999993E-3</v>
      </c>
      <c r="L25" s="666">
        <f t="shared" si="6"/>
        <v>7.1999999999999995E-2</v>
      </c>
      <c r="M25" s="666">
        <f t="shared" si="6"/>
        <v>3.3000000000000002E-2</v>
      </c>
      <c r="N25" s="666">
        <f t="shared" si="6"/>
        <v>0.04</v>
      </c>
      <c r="O25" s="666">
        <f t="shared" si="6"/>
        <v>0.156</v>
      </c>
      <c r="P25" s="673">
        <f t="shared" si="1"/>
        <v>1</v>
      </c>
      <c r="S25" s="672">
        <f t="shared" si="4"/>
        <v>2012</v>
      </c>
      <c r="T25" s="674">
        <v>0</v>
      </c>
      <c r="U25" s="674">
        <v>5</v>
      </c>
      <c r="V25" s="675">
        <f t="shared" si="5"/>
        <v>0</v>
      </c>
      <c r="W25" s="676">
        <v>1</v>
      </c>
      <c r="X25" s="677">
        <f t="shared" si="2"/>
        <v>0</v>
      </c>
    </row>
    <row r="26" spans="2:24">
      <c r="B26" s="672">
        <f t="shared" si="3"/>
        <v>2013</v>
      </c>
      <c r="C26" s="664">
        <f>'[3]Fraksi pengelolaan sampah BaU'!C31</f>
        <v>16.487864640000002</v>
      </c>
      <c r="D26" s="665">
        <v>1</v>
      </c>
      <c r="E26" s="666">
        <f t="shared" si="6"/>
        <v>0.435</v>
      </c>
      <c r="F26" s="666">
        <f t="shared" si="6"/>
        <v>0.129</v>
      </c>
      <c r="G26" s="666">
        <f t="shared" si="0"/>
        <v>0</v>
      </c>
      <c r="H26" s="666">
        <f t="shared" si="6"/>
        <v>0</v>
      </c>
      <c r="I26" s="666">
        <f t="shared" si="0"/>
        <v>9.9000000000000005E-2</v>
      </c>
      <c r="J26" s="666">
        <f t="shared" si="6"/>
        <v>2.7E-2</v>
      </c>
      <c r="K26" s="666">
        <f t="shared" si="6"/>
        <v>8.9999999999999993E-3</v>
      </c>
      <c r="L26" s="666">
        <f t="shared" si="6"/>
        <v>7.1999999999999995E-2</v>
      </c>
      <c r="M26" s="666">
        <f t="shared" si="6"/>
        <v>3.3000000000000002E-2</v>
      </c>
      <c r="N26" s="666">
        <f t="shared" si="6"/>
        <v>0.04</v>
      </c>
      <c r="O26" s="666">
        <f t="shared" si="6"/>
        <v>0.156</v>
      </c>
      <c r="P26" s="673">
        <f t="shared" si="1"/>
        <v>1</v>
      </c>
      <c r="S26" s="672">
        <f t="shared" si="4"/>
        <v>2013</v>
      </c>
      <c r="T26" s="674">
        <v>0</v>
      </c>
      <c r="U26" s="674">
        <v>5</v>
      </c>
      <c r="V26" s="675">
        <f t="shared" si="5"/>
        <v>0</v>
      </c>
      <c r="W26" s="676">
        <v>1</v>
      </c>
      <c r="X26" s="677">
        <f t="shared" si="2"/>
        <v>0</v>
      </c>
    </row>
    <row r="27" spans="2:24">
      <c r="B27" s="672">
        <f t="shared" si="3"/>
        <v>2014</v>
      </c>
      <c r="C27" s="664">
        <f>'[3]Fraksi pengelolaan sampah BaU'!C32</f>
        <v>17.202822960000002</v>
      </c>
      <c r="D27" s="665">
        <v>1</v>
      </c>
      <c r="E27" s="666">
        <f t="shared" si="6"/>
        <v>0.435</v>
      </c>
      <c r="F27" s="666">
        <f t="shared" si="6"/>
        <v>0.129</v>
      </c>
      <c r="G27" s="666">
        <f t="shared" si="0"/>
        <v>0</v>
      </c>
      <c r="H27" s="666">
        <f t="shared" si="6"/>
        <v>0</v>
      </c>
      <c r="I27" s="666">
        <f t="shared" si="0"/>
        <v>9.9000000000000005E-2</v>
      </c>
      <c r="J27" s="666">
        <f t="shared" si="6"/>
        <v>2.7E-2</v>
      </c>
      <c r="K27" s="666">
        <f t="shared" si="6"/>
        <v>8.9999999999999993E-3</v>
      </c>
      <c r="L27" s="666">
        <f t="shared" si="6"/>
        <v>7.1999999999999995E-2</v>
      </c>
      <c r="M27" s="666">
        <f t="shared" si="6"/>
        <v>3.3000000000000002E-2</v>
      </c>
      <c r="N27" s="666">
        <f t="shared" si="6"/>
        <v>0.04</v>
      </c>
      <c r="O27" s="666">
        <f t="shared" si="6"/>
        <v>0.156</v>
      </c>
      <c r="P27" s="673">
        <f t="shared" si="1"/>
        <v>1</v>
      </c>
      <c r="S27" s="672">
        <f t="shared" si="4"/>
        <v>2014</v>
      </c>
      <c r="T27" s="674">
        <v>0</v>
      </c>
      <c r="U27" s="674">
        <v>5</v>
      </c>
      <c r="V27" s="675">
        <f t="shared" si="5"/>
        <v>0</v>
      </c>
      <c r="W27" s="676">
        <v>1</v>
      </c>
      <c r="X27" s="677">
        <f t="shared" si="2"/>
        <v>0</v>
      </c>
    </row>
    <row r="28" spans="2:24">
      <c r="B28" s="672">
        <f t="shared" si="3"/>
        <v>2015</v>
      </c>
      <c r="C28" s="664">
        <f>'[3]Fraksi pengelolaan sampah BaU'!C33</f>
        <v>17.939244599999999</v>
      </c>
      <c r="D28" s="665">
        <v>1</v>
      </c>
      <c r="E28" s="666">
        <f t="shared" si="6"/>
        <v>0.435</v>
      </c>
      <c r="F28" s="666">
        <f t="shared" si="6"/>
        <v>0.129</v>
      </c>
      <c r="G28" s="666">
        <f t="shared" si="0"/>
        <v>0</v>
      </c>
      <c r="H28" s="666">
        <f t="shared" si="6"/>
        <v>0</v>
      </c>
      <c r="I28" s="666">
        <f t="shared" si="0"/>
        <v>9.9000000000000005E-2</v>
      </c>
      <c r="J28" s="666">
        <f t="shared" si="6"/>
        <v>2.7E-2</v>
      </c>
      <c r="K28" s="666">
        <f t="shared" si="6"/>
        <v>8.9999999999999993E-3</v>
      </c>
      <c r="L28" s="666">
        <f t="shared" si="6"/>
        <v>7.1999999999999995E-2</v>
      </c>
      <c r="M28" s="666">
        <f t="shared" si="6"/>
        <v>3.3000000000000002E-2</v>
      </c>
      <c r="N28" s="666">
        <f t="shared" si="6"/>
        <v>0.04</v>
      </c>
      <c r="O28" s="666">
        <f t="shared" si="6"/>
        <v>0.156</v>
      </c>
      <c r="P28" s="673">
        <f t="shared" si="1"/>
        <v>1</v>
      </c>
      <c r="S28" s="672">
        <f t="shared" si="4"/>
        <v>2015</v>
      </c>
      <c r="T28" s="674">
        <v>0</v>
      </c>
      <c r="U28" s="674">
        <v>5</v>
      </c>
      <c r="V28" s="675">
        <f t="shared" si="5"/>
        <v>0</v>
      </c>
      <c r="W28" s="676">
        <v>1</v>
      </c>
      <c r="X28" s="677">
        <f t="shared" si="2"/>
        <v>0</v>
      </c>
    </row>
    <row r="29" spans="2:24">
      <c r="B29" s="672">
        <f t="shared" si="3"/>
        <v>2016</v>
      </c>
      <c r="C29" s="664">
        <f>'[3]Fraksi pengelolaan sampah BaU'!C34</f>
        <v>18.694439639999999</v>
      </c>
      <c r="D29" s="665">
        <v>1</v>
      </c>
      <c r="E29" s="666">
        <f t="shared" si="6"/>
        <v>0.435</v>
      </c>
      <c r="F29" s="666">
        <f t="shared" si="6"/>
        <v>0.129</v>
      </c>
      <c r="G29" s="666">
        <f t="shared" si="6"/>
        <v>0</v>
      </c>
      <c r="H29" s="666">
        <f t="shared" si="6"/>
        <v>0</v>
      </c>
      <c r="I29" s="666">
        <f t="shared" si="6"/>
        <v>9.9000000000000005E-2</v>
      </c>
      <c r="J29" s="666">
        <f t="shared" si="6"/>
        <v>2.7E-2</v>
      </c>
      <c r="K29" s="666">
        <f t="shared" si="6"/>
        <v>8.9999999999999993E-3</v>
      </c>
      <c r="L29" s="666">
        <f t="shared" si="6"/>
        <v>7.1999999999999995E-2</v>
      </c>
      <c r="M29" s="666">
        <f t="shared" si="6"/>
        <v>3.3000000000000002E-2</v>
      </c>
      <c r="N29" s="666">
        <f t="shared" si="6"/>
        <v>0.04</v>
      </c>
      <c r="O29" s="666">
        <f t="shared" si="6"/>
        <v>0.156</v>
      </c>
      <c r="P29" s="673">
        <f t="shared" si="1"/>
        <v>1</v>
      </c>
      <c r="S29" s="672">
        <f t="shared" si="4"/>
        <v>2016</v>
      </c>
      <c r="T29" s="674">
        <v>0</v>
      </c>
      <c r="U29" s="674">
        <v>5</v>
      </c>
      <c r="V29" s="675">
        <f t="shared" si="5"/>
        <v>0</v>
      </c>
      <c r="W29" s="676">
        <v>1</v>
      </c>
      <c r="X29" s="677">
        <f t="shared" si="2"/>
        <v>0</v>
      </c>
    </row>
    <row r="30" spans="2:24">
      <c r="B30" s="672">
        <f t="shared" si="3"/>
        <v>2017</v>
      </c>
      <c r="C30" s="664">
        <f>'[3]Fraksi pengelolaan sampah BaU'!C35</f>
        <v>18.780461039999999</v>
      </c>
      <c r="D30" s="665">
        <v>1</v>
      </c>
      <c r="E30" s="666">
        <f t="shared" si="6"/>
        <v>0.435</v>
      </c>
      <c r="F30" s="666">
        <f t="shared" si="6"/>
        <v>0.129</v>
      </c>
      <c r="G30" s="666">
        <f t="shared" si="6"/>
        <v>0</v>
      </c>
      <c r="H30" s="666">
        <f t="shared" si="6"/>
        <v>0</v>
      </c>
      <c r="I30" s="666">
        <f t="shared" si="6"/>
        <v>9.9000000000000005E-2</v>
      </c>
      <c r="J30" s="666">
        <f t="shared" si="6"/>
        <v>2.7E-2</v>
      </c>
      <c r="K30" s="666">
        <f t="shared" si="6"/>
        <v>8.9999999999999993E-3</v>
      </c>
      <c r="L30" s="666">
        <f t="shared" si="6"/>
        <v>7.1999999999999995E-2</v>
      </c>
      <c r="M30" s="666">
        <f t="shared" si="6"/>
        <v>3.3000000000000002E-2</v>
      </c>
      <c r="N30" s="666">
        <f t="shared" si="6"/>
        <v>0.04</v>
      </c>
      <c r="O30" s="666">
        <f t="shared" si="6"/>
        <v>0.156</v>
      </c>
      <c r="P30" s="673">
        <f t="shared" si="1"/>
        <v>1</v>
      </c>
      <c r="S30" s="672">
        <f t="shared" si="4"/>
        <v>2017</v>
      </c>
      <c r="T30" s="674">
        <v>0</v>
      </c>
      <c r="U30" s="674">
        <v>5</v>
      </c>
      <c r="V30" s="675">
        <f t="shared" si="5"/>
        <v>0</v>
      </c>
      <c r="W30" s="676">
        <v>1</v>
      </c>
      <c r="X30" s="677">
        <f t="shared" si="2"/>
        <v>0</v>
      </c>
    </row>
    <row r="31" spans="2:24">
      <c r="B31" s="672">
        <f t="shared" si="3"/>
        <v>2018</v>
      </c>
      <c r="C31" s="664">
        <f>'[3]Fraksi pengelolaan sampah BaU'!C36</f>
        <v>19.480792920000003</v>
      </c>
      <c r="D31" s="665">
        <v>1</v>
      </c>
      <c r="E31" s="666">
        <f t="shared" si="6"/>
        <v>0.435</v>
      </c>
      <c r="F31" s="666">
        <f t="shared" si="6"/>
        <v>0.129</v>
      </c>
      <c r="G31" s="666">
        <f t="shared" si="6"/>
        <v>0</v>
      </c>
      <c r="H31" s="666">
        <f t="shared" si="6"/>
        <v>0</v>
      </c>
      <c r="I31" s="666">
        <f t="shared" si="6"/>
        <v>9.9000000000000005E-2</v>
      </c>
      <c r="J31" s="666">
        <f t="shared" si="6"/>
        <v>2.7E-2</v>
      </c>
      <c r="K31" s="666">
        <f t="shared" si="6"/>
        <v>8.9999999999999993E-3</v>
      </c>
      <c r="L31" s="666">
        <f t="shared" si="6"/>
        <v>7.1999999999999995E-2</v>
      </c>
      <c r="M31" s="666">
        <f t="shared" si="6"/>
        <v>3.3000000000000002E-2</v>
      </c>
      <c r="N31" s="666">
        <f t="shared" si="6"/>
        <v>0.04</v>
      </c>
      <c r="O31" s="666">
        <f t="shared" si="6"/>
        <v>0.156</v>
      </c>
      <c r="P31" s="673">
        <f t="shared" si="1"/>
        <v>1</v>
      </c>
      <c r="S31" s="672">
        <f t="shared" si="4"/>
        <v>2018</v>
      </c>
      <c r="T31" s="674">
        <v>0</v>
      </c>
      <c r="U31" s="674">
        <v>5</v>
      </c>
      <c r="V31" s="675">
        <f t="shared" si="5"/>
        <v>0</v>
      </c>
      <c r="W31" s="676">
        <v>1</v>
      </c>
      <c r="X31" s="677">
        <f t="shared" si="2"/>
        <v>0</v>
      </c>
    </row>
    <row r="32" spans="2:24">
      <c r="B32" s="672">
        <f t="shared" si="3"/>
        <v>2019</v>
      </c>
      <c r="C32" s="664">
        <f>'[3]Fraksi pengelolaan sampah BaU'!C37</f>
        <v>20.181124799999999</v>
      </c>
      <c r="D32" s="665">
        <v>1</v>
      </c>
      <c r="E32" s="666">
        <f t="shared" si="6"/>
        <v>0.435</v>
      </c>
      <c r="F32" s="666">
        <f t="shared" si="6"/>
        <v>0.129</v>
      </c>
      <c r="G32" s="666">
        <f t="shared" si="6"/>
        <v>0</v>
      </c>
      <c r="H32" s="666">
        <f t="shared" si="6"/>
        <v>0</v>
      </c>
      <c r="I32" s="666">
        <f t="shared" si="6"/>
        <v>9.9000000000000005E-2</v>
      </c>
      <c r="J32" s="666">
        <f t="shared" si="6"/>
        <v>2.7E-2</v>
      </c>
      <c r="K32" s="666">
        <f t="shared" si="6"/>
        <v>8.9999999999999993E-3</v>
      </c>
      <c r="L32" s="666">
        <f t="shared" si="6"/>
        <v>7.1999999999999995E-2</v>
      </c>
      <c r="M32" s="666">
        <f t="shared" si="6"/>
        <v>3.3000000000000002E-2</v>
      </c>
      <c r="N32" s="666">
        <f t="shared" si="6"/>
        <v>0.04</v>
      </c>
      <c r="O32" s="666">
        <f t="shared" si="6"/>
        <v>0.156</v>
      </c>
      <c r="P32" s="673">
        <f t="shared" si="1"/>
        <v>1</v>
      </c>
      <c r="S32" s="672">
        <f t="shared" si="4"/>
        <v>2019</v>
      </c>
      <c r="T32" s="674">
        <v>0</v>
      </c>
      <c r="U32" s="674">
        <v>5</v>
      </c>
      <c r="V32" s="675">
        <f t="shared" si="5"/>
        <v>0</v>
      </c>
      <c r="W32" s="676">
        <v>1</v>
      </c>
      <c r="X32" s="677">
        <f t="shared" si="2"/>
        <v>0</v>
      </c>
    </row>
    <row r="33" spans="2:24">
      <c r="B33" s="672">
        <f t="shared" si="3"/>
        <v>2020</v>
      </c>
      <c r="C33" s="664">
        <f>'[3]Fraksi pengelolaan sampah BaU'!C38</f>
        <v>20.881456680000003</v>
      </c>
      <c r="D33" s="665">
        <v>1</v>
      </c>
      <c r="E33" s="666">
        <f t="shared" ref="E33:O48" si="7">E$8</f>
        <v>0.435</v>
      </c>
      <c r="F33" s="666">
        <f t="shared" si="7"/>
        <v>0.129</v>
      </c>
      <c r="G33" s="666">
        <f t="shared" si="6"/>
        <v>0</v>
      </c>
      <c r="H33" s="666">
        <f t="shared" si="7"/>
        <v>0</v>
      </c>
      <c r="I33" s="666">
        <f t="shared" si="6"/>
        <v>9.9000000000000005E-2</v>
      </c>
      <c r="J33" s="666">
        <f t="shared" si="7"/>
        <v>2.7E-2</v>
      </c>
      <c r="K33" s="666">
        <f t="shared" si="7"/>
        <v>8.9999999999999993E-3</v>
      </c>
      <c r="L33" s="666">
        <f t="shared" si="7"/>
        <v>7.1999999999999995E-2</v>
      </c>
      <c r="M33" s="666">
        <f t="shared" si="7"/>
        <v>3.3000000000000002E-2</v>
      </c>
      <c r="N33" s="666">
        <f t="shared" si="7"/>
        <v>0.04</v>
      </c>
      <c r="O33" s="666">
        <f t="shared" si="7"/>
        <v>0.156</v>
      </c>
      <c r="P33" s="673">
        <f t="shared" si="1"/>
        <v>1</v>
      </c>
      <c r="S33" s="672">
        <f t="shared" si="4"/>
        <v>2020</v>
      </c>
      <c r="T33" s="674">
        <v>0</v>
      </c>
      <c r="U33" s="674">
        <v>5</v>
      </c>
      <c r="V33" s="675">
        <f t="shared" si="5"/>
        <v>0</v>
      </c>
      <c r="W33" s="676">
        <v>1</v>
      </c>
      <c r="X33" s="677">
        <f t="shared" si="2"/>
        <v>0</v>
      </c>
    </row>
    <row r="34" spans="2:24">
      <c r="B34" s="672">
        <f t="shared" si="3"/>
        <v>2021</v>
      </c>
      <c r="C34" s="664">
        <f>'[3]Fraksi pengelolaan sampah BaU'!C39</f>
        <v>21.58178856</v>
      </c>
      <c r="D34" s="665">
        <v>1</v>
      </c>
      <c r="E34" s="666">
        <f t="shared" si="7"/>
        <v>0.435</v>
      </c>
      <c r="F34" s="666">
        <f t="shared" si="7"/>
        <v>0.129</v>
      </c>
      <c r="G34" s="666">
        <f t="shared" si="6"/>
        <v>0</v>
      </c>
      <c r="H34" s="666">
        <f t="shared" si="7"/>
        <v>0</v>
      </c>
      <c r="I34" s="666">
        <f t="shared" si="6"/>
        <v>9.9000000000000005E-2</v>
      </c>
      <c r="J34" s="666">
        <f t="shared" si="7"/>
        <v>2.7E-2</v>
      </c>
      <c r="K34" s="666">
        <f t="shared" si="7"/>
        <v>8.9999999999999993E-3</v>
      </c>
      <c r="L34" s="666">
        <f t="shared" si="7"/>
        <v>7.1999999999999995E-2</v>
      </c>
      <c r="M34" s="666">
        <f t="shared" si="7"/>
        <v>3.3000000000000002E-2</v>
      </c>
      <c r="N34" s="666">
        <f t="shared" si="7"/>
        <v>0.04</v>
      </c>
      <c r="O34" s="666">
        <f t="shared" si="7"/>
        <v>0.156</v>
      </c>
      <c r="P34" s="673">
        <f t="shared" si="1"/>
        <v>1</v>
      </c>
      <c r="S34" s="672">
        <f t="shared" si="4"/>
        <v>2021</v>
      </c>
      <c r="T34" s="674">
        <v>0</v>
      </c>
      <c r="U34" s="674">
        <v>5</v>
      </c>
      <c r="V34" s="675">
        <f t="shared" si="5"/>
        <v>0</v>
      </c>
      <c r="W34" s="676">
        <v>1</v>
      </c>
      <c r="X34" s="677">
        <f t="shared" si="2"/>
        <v>0</v>
      </c>
    </row>
    <row r="35" spans="2:24">
      <c r="B35" s="672">
        <f t="shared" si="3"/>
        <v>2022</v>
      </c>
      <c r="C35" s="664">
        <f>'[3]Fraksi pengelolaan sampah BaU'!C40</f>
        <v>22.282120440000003</v>
      </c>
      <c r="D35" s="665">
        <v>1</v>
      </c>
      <c r="E35" s="666">
        <f t="shared" si="7"/>
        <v>0.435</v>
      </c>
      <c r="F35" s="666">
        <f t="shared" si="7"/>
        <v>0.129</v>
      </c>
      <c r="G35" s="666">
        <f t="shared" si="6"/>
        <v>0</v>
      </c>
      <c r="H35" s="666">
        <f t="shared" si="7"/>
        <v>0</v>
      </c>
      <c r="I35" s="666">
        <f t="shared" si="6"/>
        <v>9.9000000000000005E-2</v>
      </c>
      <c r="J35" s="666">
        <f t="shared" si="7"/>
        <v>2.7E-2</v>
      </c>
      <c r="K35" s="666">
        <f t="shared" si="7"/>
        <v>8.9999999999999993E-3</v>
      </c>
      <c r="L35" s="666">
        <f t="shared" si="7"/>
        <v>7.1999999999999995E-2</v>
      </c>
      <c r="M35" s="666">
        <f t="shared" si="7"/>
        <v>3.3000000000000002E-2</v>
      </c>
      <c r="N35" s="666">
        <f t="shared" si="7"/>
        <v>0.04</v>
      </c>
      <c r="O35" s="666">
        <f t="shared" si="7"/>
        <v>0.156</v>
      </c>
      <c r="P35" s="673">
        <f t="shared" si="1"/>
        <v>1</v>
      </c>
      <c r="S35" s="672">
        <f t="shared" si="4"/>
        <v>2022</v>
      </c>
      <c r="T35" s="674">
        <v>0</v>
      </c>
      <c r="U35" s="674">
        <v>5</v>
      </c>
      <c r="V35" s="675">
        <f t="shared" si="5"/>
        <v>0</v>
      </c>
      <c r="W35" s="676">
        <v>1</v>
      </c>
      <c r="X35" s="677">
        <f t="shared" si="2"/>
        <v>0</v>
      </c>
    </row>
    <row r="36" spans="2:24">
      <c r="B36" s="672">
        <f t="shared" si="3"/>
        <v>2023</v>
      </c>
      <c r="C36" s="664">
        <f>'[3]Fraksi pengelolaan sampah BaU'!C41</f>
        <v>22.982452320000004</v>
      </c>
      <c r="D36" s="665">
        <v>1</v>
      </c>
      <c r="E36" s="666">
        <f t="shared" si="7"/>
        <v>0.435</v>
      </c>
      <c r="F36" s="666">
        <f t="shared" si="7"/>
        <v>0.129</v>
      </c>
      <c r="G36" s="666">
        <f t="shared" si="6"/>
        <v>0</v>
      </c>
      <c r="H36" s="666">
        <f t="shared" si="7"/>
        <v>0</v>
      </c>
      <c r="I36" s="666">
        <f t="shared" si="6"/>
        <v>9.9000000000000005E-2</v>
      </c>
      <c r="J36" s="666">
        <f t="shared" si="7"/>
        <v>2.7E-2</v>
      </c>
      <c r="K36" s="666">
        <f t="shared" si="7"/>
        <v>8.9999999999999993E-3</v>
      </c>
      <c r="L36" s="666">
        <f t="shared" si="7"/>
        <v>7.1999999999999995E-2</v>
      </c>
      <c r="M36" s="666">
        <f t="shared" si="7"/>
        <v>3.3000000000000002E-2</v>
      </c>
      <c r="N36" s="666">
        <f t="shared" si="7"/>
        <v>0.04</v>
      </c>
      <c r="O36" s="666">
        <f t="shared" si="7"/>
        <v>0.156</v>
      </c>
      <c r="P36" s="673">
        <f t="shared" si="1"/>
        <v>1</v>
      </c>
      <c r="S36" s="672">
        <f t="shared" si="4"/>
        <v>2023</v>
      </c>
      <c r="T36" s="674">
        <v>0</v>
      </c>
      <c r="U36" s="674">
        <v>5</v>
      </c>
      <c r="V36" s="675">
        <f t="shared" si="5"/>
        <v>0</v>
      </c>
      <c r="W36" s="676">
        <v>1</v>
      </c>
      <c r="X36" s="677">
        <f t="shared" si="2"/>
        <v>0</v>
      </c>
    </row>
    <row r="37" spans="2:24">
      <c r="B37" s="672">
        <f t="shared" si="3"/>
        <v>2024</v>
      </c>
      <c r="C37" s="664">
        <f>'[3]Fraksi pengelolaan sampah BaU'!C42</f>
        <v>23.6827842</v>
      </c>
      <c r="D37" s="665">
        <v>1</v>
      </c>
      <c r="E37" s="666">
        <f t="shared" si="7"/>
        <v>0.435</v>
      </c>
      <c r="F37" s="666">
        <f t="shared" si="7"/>
        <v>0.129</v>
      </c>
      <c r="G37" s="666">
        <f t="shared" si="6"/>
        <v>0</v>
      </c>
      <c r="H37" s="666">
        <f t="shared" si="7"/>
        <v>0</v>
      </c>
      <c r="I37" s="666">
        <f t="shared" si="6"/>
        <v>9.9000000000000005E-2</v>
      </c>
      <c r="J37" s="666">
        <f t="shared" si="7"/>
        <v>2.7E-2</v>
      </c>
      <c r="K37" s="666">
        <f t="shared" si="7"/>
        <v>8.9999999999999993E-3</v>
      </c>
      <c r="L37" s="666">
        <f t="shared" si="7"/>
        <v>7.1999999999999995E-2</v>
      </c>
      <c r="M37" s="666">
        <f t="shared" si="7"/>
        <v>3.3000000000000002E-2</v>
      </c>
      <c r="N37" s="666">
        <f t="shared" si="7"/>
        <v>0.04</v>
      </c>
      <c r="O37" s="666">
        <f t="shared" si="7"/>
        <v>0.156</v>
      </c>
      <c r="P37" s="673">
        <f t="shared" si="1"/>
        <v>1</v>
      </c>
      <c r="S37" s="672">
        <f t="shared" si="4"/>
        <v>2024</v>
      </c>
      <c r="T37" s="674">
        <v>0</v>
      </c>
      <c r="U37" s="674">
        <v>5</v>
      </c>
      <c r="V37" s="675">
        <f t="shared" si="5"/>
        <v>0</v>
      </c>
      <c r="W37" s="676">
        <v>1</v>
      </c>
      <c r="X37" s="677">
        <f t="shared" si="2"/>
        <v>0</v>
      </c>
    </row>
    <row r="38" spans="2:24">
      <c r="B38" s="672">
        <f t="shared" si="3"/>
        <v>2025</v>
      </c>
      <c r="C38" s="664">
        <f>'[3]Fraksi pengelolaan sampah BaU'!C43</f>
        <v>24.383116080000004</v>
      </c>
      <c r="D38" s="665">
        <v>1</v>
      </c>
      <c r="E38" s="666">
        <f t="shared" si="7"/>
        <v>0.435</v>
      </c>
      <c r="F38" s="666">
        <f t="shared" si="7"/>
        <v>0.129</v>
      </c>
      <c r="G38" s="666">
        <f t="shared" si="6"/>
        <v>0</v>
      </c>
      <c r="H38" s="666">
        <f t="shared" si="7"/>
        <v>0</v>
      </c>
      <c r="I38" s="666">
        <f t="shared" si="6"/>
        <v>9.9000000000000005E-2</v>
      </c>
      <c r="J38" s="666">
        <f t="shared" si="7"/>
        <v>2.7E-2</v>
      </c>
      <c r="K38" s="666">
        <f t="shared" si="7"/>
        <v>8.9999999999999993E-3</v>
      </c>
      <c r="L38" s="666">
        <f t="shared" si="7"/>
        <v>7.1999999999999995E-2</v>
      </c>
      <c r="M38" s="666">
        <f t="shared" si="7"/>
        <v>3.3000000000000002E-2</v>
      </c>
      <c r="N38" s="666">
        <f t="shared" si="7"/>
        <v>0.04</v>
      </c>
      <c r="O38" s="666">
        <f t="shared" si="7"/>
        <v>0.156</v>
      </c>
      <c r="P38" s="673">
        <f t="shared" si="1"/>
        <v>1</v>
      </c>
      <c r="S38" s="672">
        <f t="shared" si="4"/>
        <v>2025</v>
      </c>
      <c r="T38" s="674">
        <v>0</v>
      </c>
      <c r="U38" s="674">
        <v>5</v>
      </c>
      <c r="V38" s="675">
        <f t="shared" si="5"/>
        <v>0</v>
      </c>
      <c r="W38" s="676">
        <v>1</v>
      </c>
      <c r="X38" s="677">
        <f t="shared" si="2"/>
        <v>0</v>
      </c>
    </row>
    <row r="39" spans="2:24">
      <c r="B39" s="672">
        <f t="shared" si="3"/>
        <v>2026</v>
      </c>
      <c r="C39" s="664">
        <f>'[3]Fraksi pengelolaan sampah BaU'!C44</f>
        <v>25.083447960000001</v>
      </c>
      <c r="D39" s="665">
        <v>1</v>
      </c>
      <c r="E39" s="666">
        <f t="shared" si="7"/>
        <v>0.435</v>
      </c>
      <c r="F39" s="666">
        <f t="shared" si="7"/>
        <v>0.129</v>
      </c>
      <c r="G39" s="666">
        <f t="shared" si="7"/>
        <v>0</v>
      </c>
      <c r="H39" s="666">
        <f t="shared" si="7"/>
        <v>0</v>
      </c>
      <c r="I39" s="666">
        <f t="shared" si="7"/>
        <v>9.9000000000000005E-2</v>
      </c>
      <c r="J39" s="666">
        <f t="shared" si="7"/>
        <v>2.7E-2</v>
      </c>
      <c r="K39" s="666">
        <f t="shared" si="7"/>
        <v>8.9999999999999993E-3</v>
      </c>
      <c r="L39" s="666">
        <f t="shared" si="7"/>
        <v>7.1999999999999995E-2</v>
      </c>
      <c r="M39" s="666">
        <f t="shared" si="7"/>
        <v>3.3000000000000002E-2</v>
      </c>
      <c r="N39" s="666">
        <f t="shared" si="7"/>
        <v>0.04</v>
      </c>
      <c r="O39" s="666">
        <f t="shared" si="7"/>
        <v>0.156</v>
      </c>
      <c r="P39" s="673">
        <f t="shared" si="1"/>
        <v>1</v>
      </c>
      <c r="S39" s="672">
        <f t="shared" si="4"/>
        <v>2026</v>
      </c>
      <c r="T39" s="674">
        <v>0</v>
      </c>
      <c r="U39" s="674">
        <v>5</v>
      </c>
      <c r="V39" s="675">
        <f t="shared" si="5"/>
        <v>0</v>
      </c>
      <c r="W39" s="676">
        <v>1</v>
      </c>
      <c r="X39" s="677">
        <f t="shared" si="2"/>
        <v>0</v>
      </c>
    </row>
    <row r="40" spans="2:24">
      <c r="B40" s="672">
        <f t="shared" si="3"/>
        <v>2027</v>
      </c>
      <c r="C40" s="664">
        <f>'[3]Fraksi pengelolaan sampah BaU'!C45</f>
        <v>25.783779840000005</v>
      </c>
      <c r="D40" s="665">
        <v>1</v>
      </c>
      <c r="E40" s="666">
        <f t="shared" si="7"/>
        <v>0.435</v>
      </c>
      <c r="F40" s="666">
        <f t="shared" si="7"/>
        <v>0.129</v>
      </c>
      <c r="G40" s="666">
        <f t="shared" si="7"/>
        <v>0</v>
      </c>
      <c r="H40" s="666">
        <f t="shared" si="7"/>
        <v>0</v>
      </c>
      <c r="I40" s="666">
        <f t="shared" si="7"/>
        <v>9.9000000000000005E-2</v>
      </c>
      <c r="J40" s="666">
        <f t="shared" si="7"/>
        <v>2.7E-2</v>
      </c>
      <c r="K40" s="666">
        <f t="shared" si="7"/>
        <v>8.9999999999999993E-3</v>
      </c>
      <c r="L40" s="666">
        <f t="shared" si="7"/>
        <v>7.1999999999999995E-2</v>
      </c>
      <c r="M40" s="666">
        <f t="shared" si="7"/>
        <v>3.3000000000000002E-2</v>
      </c>
      <c r="N40" s="666">
        <f t="shared" si="7"/>
        <v>0.04</v>
      </c>
      <c r="O40" s="666">
        <f t="shared" si="7"/>
        <v>0.156</v>
      </c>
      <c r="P40" s="673">
        <f t="shared" si="1"/>
        <v>1</v>
      </c>
      <c r="S40" s="672">
        <f t="shared" si="4"/>
        <v>2027</v>
      </c>
      <c r="T40" s="674">
        <v>0</v>
      </c>
      <c r="U40" s="674">
        <v>5</v>
      </c>
      <c r="V40" s="675">
        <f t="shared" si="5"/>
        <v>0</v>
      </c>
      <c r="W40" s="676">
        <v>1</v>
      </c>
      <c r="X40" s="677">
        <f t="shared" si="2"/>
        <v>0</v>
      </c>
    </row>
    <row r="41" spans="2:24">
      <c r="B41" s="672">
        <f t="shared" si="3"/>
        <v>2028</v>
      </c>
      <c r="C41" s="664">
        <f>'[3]Fraksi pengelolaan sampah BaU'!C46</f>
        <v>26.484111720000001</v>
      </c>
      <c r="D41" s="665">
        <v>1</v>
      </c>
      <c r="E41" s="666">
        <f t="shared" si="7"/>
        <v>0.435</v>
      </c>
      <c r="F41" s="666">
        <f t="shared" si="7"/>
        <v>0.129</v>
      </c>
      <c r="G41" s="666">
        <f t="shared" si="7"/>
        <v>0</v>
      </c>
      <c r="H41" s="666">
        <f t="shared" si="7"/>
        <v>0</v>
      </c>
      <c r="I41" s="666">
        <f t="shared" si="7"/>
        <v>9.9000000000000005E-2</v>
      </c>
      <c r="J41" s="666">
        <f t="shared" si="7"/>
        <v>2.7E-2</v>
      </c>
      <c r="K41" s="666">
        <f t="shared" si="7"/>
        <v>8.9999999999999993E-3</v>
      </c>
      <c r="L41" s="666">
        <f t="shared" si="7"/>
        <v>7.1999999999999995E-2</v>
      </c>
      <c r="M41" s="666">
        <f t="shared" si="7"/>
        <v>3.3000000000000002E-2</v>
      </c>
      <c r="N41" s="666">
        <f t="shared" si="7"/>
        <v>0.04</v>
      </c>
      <c r="O41" s="666">
        <f t="shared" si="7"/>
        <v>0.156</v>
      </c>
      <c r="P41" s="673">
        <f t="shared" si="1"/>
        <v>1</v>
      </c>
      <c r="S41" s="672">
        <f t="shared" si="4"/>
        <v>2028</v>
      </c>
      <c r="T41" s="674">
        <v>0</v>
      </c>
      <c r="U41" s="674">
        <v>5</v>
      </c>
      <c r="V41" s="675">
        <f t="shared" si="5"/>
        <v>0</v>
      </c>
      <c r="W41" s="676">
        <v>1</v>
      </c>
      <c r="X41" s="677">
        <f t="shared" si="2"/>
        <v>0</v>
      </c>
    </row>
    <row r="42" spans="2:24">
      <c r="B42" s="672">
        <f t="shared" si="3"/>
        <v>2029</v>
      </c>
      <c r="C42" s="664">
        <f>'[3]Fraksi pengelolaan sampah BaU'!C47</f>
        <v>27.184443600000002</v>
      </c>
      <c r="D42" s="665">
        <v>1</v>
      </c>
      <c r="E42" s="666">
        <f t="shared" si="7"/>
        <v>0.435</v>
      </c>
      <c r="F42" s="666">
        <f t="shared" si="7"/>
        <v>0.129</v>
      </c>
      <c r="G42" s="666">
        <f t="shared" si="7"/>
        <v>0</v>
      </c>
      <c r="H42" s="666">
        <f t="shared" si="7"/>
        <v>0</v>
      </c>
      <c r="I42" s="666">
        <f t="shared" si="7"/>
        <v>9.9000000000000005E-2</v>
      </c>
      <c r="J42" s="666">
        <f t="shared" si="7"/>
        <v>2.7E-2</v>
      </c>
      <c r="K42" s="666">
        <f t="shared" si="7"/>
        <v>8.9999999999999993E-3</v>
      </c>
      <c r="L42" s="666">
        <f t="shared" si="7"/>
        <v>7.1999999999999995E-2</v>
      </c>
      <c r="M42" s="666">
        <f t="shared" si="7"/>
        <v>3.3000000000000002E-2</v>
      </c>
      <c r="N42" s="666">
        <f t="shared" si="7"/>
        <v>0.04</v>
      </c>
      <c r="O42" s="666">
        <f t="shared" si="7"/>
        <v>0.156</v>
      </c>
      <c r="P42" s="673">
        <f t="shared" si="1"/>
        <v>1</v>
      </c>
      <c r="S42" s="672">
        <f t="shared" si="4"/>
        <v>2029</v>
      </c>
      <c r="T42" s="674">
        <v>0</v>
      </c>
      <c r="U42" s="674">
        <v>5</v>
      </c>
      <c r="V42" s="675">
        <f t="shared" si="5"/>
        <v>0</v>
      </c>
      <c r="W42" s="676">
        <v>1</v>
      </c>
      <c r="X42" s="677">
        <f t="shared" si="2"/>
        <v>0</v>
      </c>
    </row>
    <row r="43" spans="2:24">
      <c r="B43" s="672">
        <f t="shared" si="3"/>
        <v>2030</v>
      </c>
      <c r="C43" s="664">
        <f>'[3]Fraksi pengelolaan sampah BaU'!C48</f>
        <v>27.884775480000002</v>
      </c>
      <c r="D43" s="665">
        <v>1</v>
      </c>
      <c r="E43" s="666">
        <f t="shared" ref="E43:O58" si="8">E$8</f>
        <v>0.435</v>
      </c>
      <c r="F43" s="666">
        <f t="shared" si="8"/>
        <v>0.129</v>
      </c>
      <c r="G43" s="666">
        <f t="shared" si="7"/>
        <v>0</v>
      </c>
      <c r="H43" s="666">
        <f t="shared" si="8"/>
        <v>0</v>
      </c>
      <c r="I43" s="666">
        <f t="shared" si="7"/>
        <v>9.9000000000000005E-2</v>
      </c>
      <c r="J43" s="666">
        <f t="shared" si="8"/>
        <v>2.7E-2</v>
      </c>
      <c r="K43" s="666">
        <f t="shared" si="8"/>
        <v>8.9999999999999993E-3</v>
      </c>
      <c r="L43" s="666">
        <f t="shared" si="8"/>
        <v>7.1999999999999995E-2</v>
      </c>
      <c r="M43" s="666">
        <f t="shared" si="8"/>
        <v>3.3000000000000002E-2</v>
      </c>
      <c r="N43" s="666">
        <f t="shared" si="8"/>
        <v>0.04</v>
      </c>
      <c r="O43" s="666">
        <f t="shared" si="8"/>
        <v>0.156</v>
      </c>
      <c r="P43" s="673">
        <f t="shared" si="1"/>
        <v>1</v>
      </c>
      <c r="S43" s="672">
        <f t="shared" si="4"/>
        <v>2030</v>
      </c>
      <c r="T43" s="674">
        <v>0</v>
      </c>
      <c r="U43" s="674">
        <v>5</v>
      </c>
      <c r="V43" s="675">
        <f t="shared" si="5"/>
        <v>0</v>
      </c>
      <c r="W43" s="676">
        <v>1</v>
      </c>
      <c r="X43" s="677">
        <f t="shared" si="2"/>
        <v>0</v>
      </c>
    </row>
    <row r="44" spans="2:24">
      <c r="B44" s="672">
        <f t="shared" si="3"/>
        <v>2031</v>
      </c>
      <c r="C44" s="678"/>
      <c r="D44" s="665">
        <v>1</v>
      </c>
      <c r="E44" s="666">
        <f t="shared" si="8"/>
        <v>0.435</v>
      </c>
      <c r="F44" s="666">
        <f t="shared" si="8"/>
        <v>0.129</v>
      </c>
      <c r="G44" s="666">
        <f t="shared" si="7"/>
        <v>0</v>
      </c>
      <c r="H44" s="666">
        <f t="shared" si="8"/>
        <v>0</v>
      </c>
      <c r="I44" s="666">
        <f t="shared" si="7"/>
        <v>9.9000000000000005E-2</v>
      </c>
      <c r="J44" s="666">
        <f t="shared" si="8"/>
        <v>2.7E-2</v>
      </c>
      <c r="K44" s="666">
        <f t="shared" si="8"/>
        <v>8.9999999999999993E-3</v>
      </c>
      <c r="L44" s="666">
        <f t="shared" si="8"/>
        <v>7.1999999999999995E-2</v>
      </c>
      <c r="M44" s="666">
        <f t="shared" si="8"/>
        <v>3.3000000000000002E-2</v>
      </c>
      <c r="N44" s="666">
        <f t="shared" si="8"/>
        <v>0.04</v>
      </c>
      <c r="O44" s="666">
        <f t="shared" si="8"/>
        <v>0.156</v>
      </c>
      <c r="P44" s="673">
        <f t="shared" si="1"/>
        <v>1</v>
      </c>
      <c r="S44" s="672">
        <f t="shared" si="4"/>
        <v>2031</v>
      </c>
      <c r="T44" s="674">
        <v>0</v>
      </c>
      <c r="U44" s="674">
        <v>5</v>
      </c>
      <c r="V44" s="675">
        <f t="shared" si="5"/>
        <v>0</v>
      </c>
      <c r="W44" s="676">
        <v>1</v>
      </c>
      <c r="X44" s="677">
        <f t="shared" si="2"/>
        <v>0</v>
      </c>
    </row>
    <row r="45" spans="2:24">
      <c r="B45" s="672">
        <f t="shared" si="3"/>
        <v>2032</v>
      </c>
      <c r="C45" s="678"/>
      <c r="D45" s="665">
        <v>1</v>
      </c>
      <c r="E45" s="666">
        <f t="shared" si="8"/>
        <v>0.435</v>
      </c>
      <c r="F45" s="666">
        <f t="shared" si="8"/>
        <v>0.129</v>
      </c>
      <c r="G45" s="666">
        <f t="shared" si="7"/>
        <v>0</v>
      </c>
      <c r="H45" s="666">
        <f t="shared" si="8"/>
        <v>0</v>
      </c>
      <c r="I45" s="666">
        <f t="shared" si="7"/>
        <v>9.9000000000000005E-2</v>
      </c>
      <c r="J45" s="666">
        <f t="shared" si="8"/>
        <v>2.7E-2</v>
      </c>
      <c r="K45" s="666">
        <f t="shared" si="8"/>
        <v>8.9999999999999993E-3</v>
      </c>
      <c r="L45" s="666">
        <f t="shared" si="8"/>
        <v>7.1999999999999995E-2</v>
      </c>
      <c r="M45" s="666">
        <f t="shared" si="8"/>
        <v>3.3000000000000002E-2</v>
      </c>
      <c r="N45" s="666">
        <f t="shared" si="8"/>
        <v>0.04</v>
      </c>
      <c r="O45" s="666">
        <f t="shared" si="8"/>
        <v>0.156</v>
      </c>
      <c r="P45" s="673">
        <f t="shared" ref="P45:P76" si="9">SUM(E45:O45)</f>
        <v>1</v>
      </c>
      <c r="S45" s="672">
        <f t="shared" si="4"/>
        <v>2032</v>
      </c>
      <c r="T45" s="674">
        <v>0</v>
      </c>
      <c r="U45" s="674">
        <v>5</v>
      </c>
      <c r="V45" s="675">
        <f t="shared" si="5"/>
        <v>0</v>
      </c>
      <c r="W45" s="676">
        <v>1</v>
      </c>
      <c r="X45" s="677">
        <f t="shared" ref="X45:X76" si="10">V45*W45</f>
        <v>0</v>
      </c>
    </row>
    <row r="46" spans="2:24">
      <c r="B46" s="672">
        <f t="shared" ref="B46:B77" si="11">B45+1</f>
        <v>2033</v>
      </c>
      <c r="C46" s="678"/>
      <c r="D46" s="665">
        <v>1</v>
      </c>
      <c r="E46" s="666">
        <f t="shared" si="8"/>
        <v>0.435</v>
      </c>
      <c r="F46" s="666">
        <f t="shared" si="8"/>
        <v>0.129</v>
      </c>
      <c r="G46" s="666">
        <f t="shared" si="7"/>
        <v>0</v>
      </c>
      <c r="H46" s="666">
        <f t="shared" si="8"/>
        <v>0</v>
      </c>
      <c r="I46" s="666">
        <f t="shared" si="7"/>
        <v>9.9000000000000005E-2</v>
      </c>
      <c r="J46" s="666">
        <f t="shared" si="8"/>
        <v>2.7E-2</v>
      </c>
      <c r="K46" s="666">
        <f t="shared" si="8"/>
        <v>8.9999999999999993E-3</v>
      </c>
      <c r="L46" s="666">
        <f t="shared" si="8"/>
        <v>7.1999999999999995E-2</v>
      </c>
      <c r="M46" s="666">
        <f t="shared" si="8"/>
        <v>3.3000000000000002E-2</v>
      </c>
      <c r="N46" s="666">
        <f t="shared" si="8"/>
        <v>0.04</v>
      </c>
      <c r="O46" s="666">
        <f t="shared" si="8"/>
        <v>0.156</v>
      </c>
      <c r="P46" s="673">
        <f t="shared" si="9"/>
        <v>1</v>
      </c>
      <c r="S46" s="672">
        <f t="shared" si="4"/>
        <v>2033</v>
      </c>
      <c r="T46" s="674">
        <v>0</v>
      </c>
      <c r="U46" s="674">
        <v>5</v>
      </c>
      <c r="V46" s="675">
        <f t="shared" si="5"/>
        <v>0</v>
      </c>
      <c r="W46" s="676">
        <v>1</v>
      </c>
      <c r="X46" s="677">
        <f t="shared" si="10"/>
        <v>0</v>
      </c>
    </row>
    <row r="47" spans="2:24">
      <c r="B47" s="672">
        <f t="shared" si="11"/>
        <v>2034</v>
      </c>
      <c r="C47" s="678"/>
      <c r="D47" s="665">
        <v>1</v>
      </c>
      <c r="E47" s="666">
        <f t="shared" si="8"/>
        <v>0.435</v>
      </c>
      <c r="F47" s="666">
        <f t="shared" si="8"/>
        <v>0.129</v>
      </c>
      <c r="G47" s="666">
        <f t="shared" si="7"/>
        <v>0</v>
      </c>
      <c r="H47" s="666">
        <f t="shared" si="8"/>
        <v>0</v>
      </c>
      <c r="I47" s="666">
        <f t="shared" si="7"/>
        <v>9.9000000000000005E-2</v>
      </c>
      <c r="J47" s="666">
        <f t="shared" si="8"/>
        <v>2.7E-2</v>
      </c>
      <c r="K47" s="666">
        <f t="shared" si="8"/>
        <v>8.9999999999999993E-3</v>
      </c>
      <c r="L47" s="666">
        <f t="shared" si="8"/>
        <v>7.1999999999999995E-2</v>
      </c>
      <c r="M47" s="666">
        <f t="shared" si="8"/>
        <v>3.3000000000000002E-2</v>
      </c>
      <c r="N47" s="666">
        <f t="shared" si="8"/>
        <v>0.04</v>
      </c>
      <c r="O47" s="666">
        <f t="shared" si="8"/>
        <v>0.156</v>
      </c>
      <c r="P47" s="673">
        <f t="shared" si="9"/>
        <v>1</v>
      </c>
      <c r="S47" s="672">
        <f t="shared" si="4"/>
        <v>2034</v>
      </c>
      <c r="T47" s="674">
        <v>0</v>
      </c>
      <c r="U47" s="674">
        <v>5</v>
      </c>
      <c r="V47" s="675">
        <f t="shared" si="5"/>
        <v>0</v>
      </c>
      <c r="W47" s="676">
        <v>1</v>
      </c>
      <c r="X47" s="677">
        <f t="shared" si="10"/>
        <v>0</v>
      </c>
    </row>
    <row r="48" spans="2:24">
      <c r="B48" s="672">
        <f t="shared" si="11"/>
        <v>2035</v>
      </c>
      <c r="C48" s="678"/>
      <c r="D48" s="665">
        <v>1</v>
      </c>
      <c r="E48" s="666">
        <f t="shared" si="8"/>
        <v>0.435</v>
      </c>
      <c r="F48" s="666">
        <f t="shared" si="8"/>
        <v>0.129</v>
      </c>
      <c r="G48" s="666">
        <f t="shared" si="7"/>
        <v>0</v>
      </c>
      <c r="H48" s="666">
        <f t="shared" si="8"/>
        <v>0</v>
      </c>
      <c r="I48" s="666">
        <f t="shared" si="7"/>
        <v>9.9000000000000005E-2</v>
      </c>
      <c r="J48" s="666">
        <f t="shared" si="8"/>
        <v>2.7E-2</v>
      </c>
      <c r="K48" s="666">
        <f t="shared" si="8"/>
        <v>8.9999999999999993E-3</v>
      </c>
      <c r="L48" s="666">
        <f t="shared" si="8"/>
        <v>7.1999999999999995E-2</v>
      </c>
      <c r="M48" s="666">
        <f t="shared" si="8"/>
        <v>3.3000000000000002E-2</v>
      </c>
      <c r="N48" s="666">
        <f t="shared" si="8"/>
        <v>0.04</v>
      </c>
      <c r="O48" s="666">
        <f t="shared" si="8"/>
        <v>0.156</v>
      </c>
      <c r="P48" s="673">
        <f t="shared" si="9"/>
        <v>1</v>
      </c>
      <c r="S48" s="672">
        <f t="shared" si="4"/>
        <v>2035</v>
      </c>
      <c r="T48" s="674">
        <v>0</v>
      </c>
      <c r="U48" s="674">
        <v>5</v>
      </c>
      <c r="V48" s="675">
        <f t="shared" si="5"/>
        <v>0</v>
      </c>
      <c r="W48" s="676">
        <v>1</v>
      </c>
      <c r="X48" s="677">
        <f t="shared" si="10"/>
        <v>0</v>
      </c>
    </row>
    <row r="49" spans="2:24">
      <c r="B49" s="672">
        <f t="shared" si="11"/>
        <v>2036</v>
      </c>
      <c r="C49" s="678"/>
      <c r="D49" s="665">
        <v>1</v>
      </c>
      <c r="E49" s="666">
        <f t="shared" si="8"/>
        <v>0.435</v>
      </c>
      <c r="F49" s="666">
        <f t="shared" si="8"/>
        <v>0.129</v>
      </c>
      <c r="G49" s="666">
        <f t="shared" si="8"/>
        <v>0</v>
      </c>
      <c r="H49" s="666">
        <f t="shared" si="8"/>
        <v>0</v>
      </c>
      <c r="I49" s="666">
        <f t="shared" si="8"/>
        <v>9.9000000000000005E-2</v>
      </c>
      <c r="J49" s="666">
        <f t="shared" si="8"/>
        <v>2.7E-2</v>
      </c>
      <c r="K49" s="666">
        <f t="shared" si="8"/>
        <v>8.9999999999999993E-3</v>
      </c>
      <c r="L49" s="666">
        <f t="shared" si="8"/>
        <v>7.1999999999999995E-2</v>
      </c>
      <c r="M49" s="666">
        <f t="shared" si="8"/>
        <v>3.3000000000000002E-2</v>
      </c>
      <c r="N49" s="666">
        <f t="shared" si="8"/>
        <v>0.04</v>
      </c>
      <c r="O49" s="666">
        <f t="shared" si="8"/>
        <v>0.156</v>
      </c>
      <c r="P49" s="673">
        <f t="shared" si="9"/>
        <v>1</v>
      </c>
      <c r="S49" s="672">
        <f t="shared" si="4"/>
        <v>2036</v>
      </c>
      <c r="T49" s="674">
        <v>0</v>
      </c>
      <c r="U49" s="674">
        <v>5</v>
      </c>
      <c r="V49" s="675">
        <f t="shared" si="5"/>
        <v>0</v>
      </c>
      <c r="W49" s="676">
        <v>1</v>
      </c>
      <c r="X49" s="677">
        <f t="shared" si="10"/>
        <v>0</v>
      </c>
    </row>
    <row r="50" spans="2:24">
      <c r="B50" s="672">
        <f t="shared" si="11"/>
        <v>2037</v>
      </c>
      <c r="C50" s="678"/>
      <c r="D50" s="665">
        <v>1</v>
      </c>
      <c r="E50" s="666">
        <f t="shared" si="8"/>
        <v>0.435</v>
      </c>
      <c r="F50" s="666">
        <f t="shared" si="8"/>
        <v>0.129</v>
      </c>
      <c r="G50" s="666">
        <f t="shared" si="8"/>
        <v>0</v>
      </c>
      <c r="H50" s="666">
        <f t="shared" si="8"/>
        <v>0</v>
      </c>
      <c r="I50" s="666">
        <f t="shared" si="8"/>
        <v>9.9000000000000005E-2</v>
      </c>
      <c r="J50" s="666">
        <f t="shared" si="8"/>
        <v>2.7E-2</v>
      </c>
      <c r="K50" s="666">
        <f t="shared" si="8"/>
        <v>8.9999999999999993E-3</v>
      </c>
      <c r="L50" s="666">
        <f t="shared" si="8"/>
        <v>7.1999999999999995E-2</v>
      </c>
      <c r="M50" s="666">
        <f t="shared" si="8"/>
        <v>3.3000000000000002E-2</v>
      </c>
      <c r="N50" s="666">
        <f t="shared" si="8"/>
        <v>0.04</v>
      </c>
      <c r="O50" s="666">
        <f t="shared" si="8"/>
        <v>0.156</v>
      </c>
      <c r="P50" s="673">
        <f t="shared" si="9"/>
        <v>1</v>
      </c>
      <c r="S50" s="672">
        <f t="shared" si="4"/>
        <v>2037</v>
      </c>
      <c r="T50" s="674">
        <v>0</v>
      </c>
      <c r="U50" s="674">
        <v>5</v>
      </c>
      <c r="V50" s="675">
        <f t="shared" si="5"/>
        <v>0</v>
      </c>
      <c r="W50" s="676">
        <v>1</v>
      </c>
      <c r="X50" s="677">
        <f t="shared" si="10"/>
        <v>0</v>
      </c>
    </row>
    <row r="51" spans="2:24">
      <c r="B51" s="672">
        <f t="shared" si="11"/>
        <v>2038</v>
      </c>
      <c r="C51" s="678"/>
      <c r="D51" s="665">
        <v>1</v>
      </c>
      <c r="E51" s="666">
        <f t="shared" si="8"/>
        <v>0.435</v>
      </c>
      <c r="F51" s="666">
        <f t="shared" si="8"/>
        <v>0.129</v>
      </c>
      <c r="G51" s="666">
        <f t="shared" si="8"/>
        <v>0</v>
      </c>
      <c r="H51" s="666">
        <f t="shared" si="8"/>
        <v>0</v>
      </c>
      <c r="I51" s="666">
        <f t="shared" si="8"/>
        <v>9.9000000000000005E-2</v>
      </c>
      <c r="J51" s="666">
        <f t="shared" si="8"/>
        <v>2.7E-2</v>
      </c>
      <c r="K51" s="666">
        <f t="shared" si="8"/>
        <v>8.9999999999999993E-3</v>
      </c>
      <c r="L51" s="666">
        <f t="shared" si="8"/>
        <v>7.1999999999999995E-2</v>
      </c>
      <c r="M51" s="666">
        <f t="shared" si="8"/>
        <v>3.3000000000000002E-2</v>
      </c>
      <c r="N51" s="666">
        <f t="shared" si="8"/>
        <v>0.04</v>
      </c>
      <c r="O51" s="666">
        <f t="shared" si="8"/>
        <v>0.156</v>
      </c>
      <c r="P51" s="673">
        <f t="shared" si="9"/>
        <v>1</v>
      </c>
      <c r="S51" s="672">
        <f t="shared" si="4"/>
        <v>2038</v>
      </c>
      <c r="T51" s="674">
        <v>0</v>
      </c>
      <c r="U51" s="674">
        <v>5</v>
      </c>
      <c r="V51" s="675">
        <f t="shared" si="5"/>
        <v>0</v>
      </c>
      <c r="W51" s="676">
        <v>1</v>
      </c>
      <c r="X51" s="677">
        <f t="shared" si="10"/>
        <v>0</v>
      </c>
    </row>
    <row r="52" spans="2:24">
      <c r="B52" s="672">
        <f t="shared" si="11"/>
        <v>2039</v>
      </c>
      <c r="C52" s="678"/>
      <c r="D52" s="665">
        <v>1</v>
      </c>
      <c r="E52" s="666">
        <f t="shared" si="8"/>
        <v>0.435</v>
      </c>
      <c r="F52" s="666">
        <f t="shared" si="8"/>
        <v>0.129</v>
      </c>
      <c r="G52" s="666">
        <f t="shared" si="8"/>
        <v>0</v>
      </c>
      <c r="H52" s="666">
        <f t="shared" si="8"/>
        <v>0</v>
      </c>
      <c r="I52" s="666">
        <f t="shared" si="8"/>
        <v>9.9000000000000005E-2</v>
      </c>
      <c r="J52" s="666">
        <f t="shared" si="8"/>
        <v>2.7E-2</v>
      </c>
      <c r="K52" s="666">
        <f t="shared" si="8"/>
        <v>8.9999999999999993E-3</v>
      </c>
      <c r="L52" s="666">
        <f t="shared" si="8"/>
        <v>7.1999999999999995E-2</v>
      </c>
      <c r="M52" s="666">
        <f t="shared" si="8"/>
        <v>3.3000000000000002E-2</v>
      </c>
      <c r="N52" s="666">
        <f t="shared" si="8"/>
        <v>0.04</v>
      </c>
      <c r="O52" s="666">
        <f t="shared" si="8"/>
        <v>0.156</v>
      </c>
      <c r="P52" s="673">
        <f t="shared" si="9"/>
        <v>1</v>
      </c>
      <c r="S52" s="672">
        <f t="shared" si="4"/>
        <v>2039</v>
      </c>
      <c r="T52" s="674">
        <v>0</v>
      </c>
      <c r="U52" s="674">
        <v>5</v>
      </c>
      <c r="V52" s="675">
        <f t="shared" si="5"/>
        <v>0</v>
      </c>
      <c r="W52" s="676">
        <v>1</v>
      </c>
      <c r="X52" s="677">
        <f t="shared" si="10"/>
        <v>0</v>
      </c>
    </row>
    <row r="53" spans="2:24">
      <c r="B53" s="672">
        <f t="shared" si="11"/>
        <v>2040</v>
      </c>
      <c r="C53" s="678"/>
      <c r="D53" s="665">
        <v>1</v>
      </c>
      <c r="E53" s="666">
        <f t="shared" ref="E53:O68" si="12">E$8</f>
        <v>0.435</v>
      </c>
      <c r="F53" s="666">
        <f t="shared" si="12"/>
        <v>0.129</v>
      </c>
      <c r="G53" s="666">
        <f t="shared" si="8"/>
        <v>0</v>
      </c>
      <c r="H53" s="666">
        <f t="shared" si="12"/>
        <v>0</v>
      </c>
      <c r="I53" s="666">
        <f t="shared" si="8"/>
        <v>9.9000000000000005E-2</v>
      </c>
      <c r="J53" s="666">
        <f t="shared" si="12"/>
        <v>2.7E-2</v>
      </c>
      <c r="K53" s="666">
        <f t="shared" si="12"/>
        <v>8.9999999999999993E-3</v>
      </c>
      <c r="L53" s="666">
        <f t="shared" si="12"/>
        <v>7.1999999999999995E-2</v>
      </c>
      <c r="M53" s="666">
        <f t="shared" si="12"/>
        <v>3.3000000000000002E-2</v>
      </c>
      <c r="N53" s="666">
        <f t="shared" si="12"/>
        <v>0.04</v>
      </c>
      <c r="O53" s="666">
        <f t="shared" si="12"/>
        <v>0.156</v>
      </c>
      <c r="P53" s="673">
        <f t="shared" si="9"/>
        <v>1</v>
      </c>
      <c r="S53" s="672">
        <f t="shared" si="4"/>
        <v>2040</v>
      </c>
      <c r="T53" s="674">
        <v>0</v>
      </c>
      <c r="U53" s="674">
        <v>5</v>
      </c>
      <c r="V53" s="675">
        <f t="shared" si="5"/>
        <v>0</v>
      </c>
      <c r="W53" s="676">
        <v>1</v>
      </c>
      <c r="X53" s="677">
        <f t="shared" si="10"/>
        <v>0</v>
      </c>
    </row>
    <row r="54" spans="2:24">
      <c r="B54" s="672">
        <f t="shared" si="11"/>
        <v>2041</v>
      </c>
      <c r="C54" s="678"/>
      <c r="D54" s="665">
        <v>1</v>
      </c>
      <c r="E54" s="666">
        <f t="shared" si="12"/>
        <v>0.435</v>
      </c>
      <c r="F54" s="666">
        <f t="shared" si="12"/>
        <v>0.129</v>
      </c>
      <c r="G54" s="666">
        <f t="shared" si="8"/>
        <v>0</v>
      </c>
      <c r="H54" s="666">
        <f t="shared" si="12"/>
        <v>0</v>
      </c>
      <c r="I54" s="666">
        <f t="shared" si="8"/>
        <v>9.9000000000000005E-2</v>
      </c>
      <c r="J54" s="666">
        <f t="shared" si="12"/>
        <v>2.7E-2</v>
      </c>
      <c r="K54" s="666">
        <f t="shared" si="12"/>
        <v>8.9999999999999993E-3</v>
      </c>
      <c r="L54" s="666">
        <f t="shared" si="12"/>
        <v>7.1999999999999995E-2</v>
      </c>
      <c r="M54" s="666">
        <f t="shared" si="12"/>
        <v>3.3000000000000002E-2</v>
      </c>
      <c r="N54" s="666">
        <f t="shared" si="12"/>
        <v>0.04</v>
      </c>
      <c r="O54" s="666">
        <f t="shared" si="12"/>
        <v>0.156</v>
      </c>
      <c r="P54" s="673">
        <f t="shared" si="9"/>
        <v>1</v>
      </c>
      <c r="S54" s="672">
        <f t="shared" si="4"/>
        <v>2041</v>
      </c>
      <c r="T54" s="674">
        <v>0</v>
      </c>
      <c r="U54" s="674">
        <v>5</v>
      </c>
      <c r="V54" s="675">
        <f t="shared" si="5"/>
        <v>0</v>
      </c>
      <c r="W54" s="676">
        <v>1</v>
      </c>
      <c r="X54" s="677">
        <f t="shared" si="10"/>
        <v>0</v>
      </c>
    </row>
    <row r="55" spans="2:24">
      <c r="B55" s="672">
        <f t="shared" si="11"/>
        <v>2042</v>
      </c>
      <c r="C55" s="678"/>
      <c r="D55" s="665">
        <v>1</v>
      </c>
      <c r="E55" s="666">
        <f t="shared" si="12"/>
        <v>0.435</v>
      </c>
      <c r="F55" s="666">
        <f t="shared" si="12"/>
        <v>0.129</v>
      </c>
      <c r="G55" s="666">
        <f t="shared" si="8"/>
        <v>0</v>
      </c>
      <c r="H55" s="666">
        <f t="shared" si="12"/>
        <v>0</v>
      </c>
      <c r="I55" s="666">
        <f t="shared" si="8"/>
        <v>9.9000000000000005E-2</v>
      </c>
      <c r="J55" s="666">
        <f t="shared" si="12"/>
        <v>2.7E-2</v>
      </c>
      <c r="K55" s="666">
        <f t="shared" si="12"/>
        <v>8.9999999999999993E-3</v>
      </c>
      <c r="L55" s="666">
        <f t="shared" si="12"/>
        <v>7.1999999999999995E-2</v>
      </c>
      <c r="M55" s="666">
        <f t="shared" si="12"/>
        <v>3.3000000000000002E-2</v>
      </c>
      <c r="N55" s="666">
        <f t="shared" si="12"/>
        <v>0.04</v>
      </c>
      <c r="O55" s="666">
        <f t="shared" si="12"/>
        <v>0.156</v>
      </c>
      <c r="P55" s="673">
        <f t="shared" si="9"/>
        <v>1</v>
      </c>
      <c r="S55" s="672">
        <f t="shared" si="4"/>
        <v>2042</v>
      </c>
      <c r="T55" s="674">
        <v>0</v>
      </c>
      <c r="U55" s="674">
        <v>5</v>
      </c>
      <c r="V55" s="675">
        <f t="shared" si="5"/>
        <v>0</v>
      </c>
      <c r="W55" s="676">
        <v>1</v>
      </c>
      <c r="X55" s="677">
        <f t="shared" si="10"/>
        <v>0</v>
      </c>
    </row>
    <row r="56" spans="2:24">
      <c r="B56" s="672">
        <f t="shared" si="11"/>
        <v>2043</v>
      </c>
      <c r="C56" s="678"/>
      <c r="D56" s="665">
        <v>1</v>
      </c>
      <c r="E56" s="666">
        <f t="shared" si="12"/>
        <v>0.435</v>
      </c>
      <c r="F56" s="666">
        <f t="shared" si="12"/>
        <v>0.129</v>
      </c>
      <c r="G56" s="666">
        <f t="shared" si="8"/>
        <v>0</v>
      </c>
      <c r="H56" s="666">
        <f t="shared" si="12"/>
        <v>0</v>
      </c>
      <c r="I56" s="666">
        <f t="shared" si="8"/>
        <v>9.9000000000000005E-2</v>
      </c>
      <c r="J56" s="666">
        <f t="shared" si="12"/>
        <v>2.7E-2</v>
      </c>
      <c r="K56" s="666">
        <f t="shared" si="12"/>
        <v>8.9999999999999993E-3</v>
      </c>
      <c r="L56" s="666">
        <f t="shared" si="12"/>
        <v>7.1999999999999995E-2</v>
      </c>
      <c r="M56" s="666">
        <f t="shared" si="12"/>
        <v>3.3000000000000002E-2</v>
      </c>
      <c r="N56" s="666">
        <f t="shared" si="12"/>
        <v>0.04</v>
      </c>
      <c r="O56" s="666">
        <f t="shared" si="12"/>
        <v>0.156</v>
      </c>
      <c r="P56" s="673">
        <f t="shared" si="9"/>
        <v>1</v>
      </c>
      <c r="S56" s="672">
        <f t="shared" si="4"/>
        <v>2043</v>
      </c>
      <c r="T56" s="674">
        <v>0</v>
      </c>
      <c r="U56" s="674">
        <v>5</v>
      </c>
      <c r="V56" s="675">
        <f t="shared" si="5"/>
        <v>0</v>
      </c>
      <c r="W56" s="676">
        <v>1</v>
      </c>
      <c r="X56" s="677">
        <f t="shared" si="10"/>
        <v>0</v>
      </c>
    </row>
    <row r="57" spans="2:24">
      <c r="B57" s="672">
        <f t="shared" si="11"/>
        <v>2044</v>
      </c>
      <c r="C57" s="678"/>
      <c r="D57" s="665">
        <v>1</v>
      </c>
      <c r="E57" s="666">
        <f t="shared" si="12"/>
        <v>0.435</v>
      </c>
      <c r="F57" s="666">
        <f t="shared" si="12"/>
        <v>0.129</v>
      </c>
      <c r="G57" s="666">
        <f t="shared" si="8"/>
        <v>0</v>
      </c>
      <c r="H57" s="666">
        <f t="shared" si="12"/>
        <v>0</v>
      </c>
      <c r="I57" s="666">
        <f t="shared" si="8"/>
        <v>9.9000000000000005E-2</v>
      </c>
      <c r="J57" s="666">
        <f t="shared" si="12"/>
        <v>2.7E-2</v>
      </c>
      <c r="K57" s="666">
        <f t="shared" si="12"/>
        <v>8.9999999999999993E-3</v>
      </c>
      <c r="L57" s="666">
        <f t="shared" si="12"/>
        <v>7.1999999999999995E-2</v>
      </c>
      <c r="M57" s="666">
        <f t="shared" si="12"/>
        <v>3.3000000000000002E-2</v>
      </c>
      <c r="N57" s="666">
        <f t="shared" si="12"/>
        <v>0.04</v>
      </c>
      <c r="O57" s="666">
        <f t="shared" si="12"/>
        <v>0.156</v>
      </c>
      <c r="P57" s="673">
        <f t="shared" si="9"/>
        <v>1</v>
      </c>
      <c r="S57" s="672">
        <f t="shared" si="4"/>
        <v>2044</v>
      </c>
      <c r="T57" s="674">
        <v>0</v>
      </c>
      <c r="U57" s="674">
        <v>5</v>
      </c>
      <c r="V57" s="675">
        <f t="shared" si="5"/>
        <v>0</v>
      </c>
      <c r="W57" s="676">
        <v>1</v>
      </c>
      <c r="X57" s="677">
        <f t="shared" si="10"/>
        <v>0</v>
      </c>
    </row>
    <row r="58" spans="2:24">
      <c r="B58" s="672">
        <f t="shared" si="11"/>
        <v>2045</v>
      </c>
      <c r="C58" s="678"/>
      <c r="D58" s="665">
        <v>1</v>
      </c>
      <c r="E58" s="666">
        <f t="shared" si="12"/>
        <v>0.435</v>
      </c>
      <c r="F58" s="666">
        <f t="shared" si="12"/>
        <v>0.129</v>
      </c>
      <c r="G58" s="666">
        <f t="shared" si="8"/>
        <v>0</v>
      </c>
      <c r="H58" s="666">
        <f t="shared" si="12"/>
        <v>0</v>
      </c>
      <c r="I58" s="666">
        <f t="shared" si="8"/>
        <v>9.9000000000000005E-2</v>
      </c>
      <c r="J58" s="666">
        <f t="shared" si="12"/>
        <v>2.7E-2</v>
      </c>
      <c r="K58" s="666">
        <f t="shared" si="12"/>
        <v>8.9999999999999993E-3</v>
      </c>
      <c r="L58" s="666">
        <f t="shared" si="12"/>
        <v>7.1999999999999995E-2</v>
      </c>
      <c r="M58" s="666">
        <f t="shared" si="12"/>
        <v>3.3000000000000002E-2</v>
      </c>
      <c r="N58" s="666">
        <f t="shared" si="12"/>
        <v>0.04</v>
      </c>
      <c r="O58" s="666">
        <f t="shared" si="12"/>
        <v>0.156</v>
      </c>
      <c r="P58" s="673">
        <f t="shared" si="9"/>
        <v>1</v>
      </c>
      <c r="S58" s="672">
        <f t="shared" si="4"/>
        <v>2045</v>
      </c>
      <c r="T58" s="674">
        <v>0</v>
      </c>
      <c r="U58" s="674">
        <v>5</v>
      </c>
      <c r="V58" s="675">
        <f t="shared" si="5"/>
        <v>0</v>
      </c>
      <c r="W58" s="676">
        <v>1</v>
      </c>
      <c r="X58" s="677">
        <f t="shared" si="10"/>
        <v>0</v>
      </c>
    </row>
    <row r="59" spans="2:24">
      <c r="B59" s="672">
        <f t="shared" si="11"/>
        <v>2046</v>
      </c>
      <c r="C59" s="678"/>
      <c r="D59" s="665">
        <v>1</v>
      </c>
      <c r="E59" s="666">
        <f t="shared" si="12"/>
        <v>0.435</v>
      </c>
      <c r="F59" s="666">
        <f t="shared" si="12"/>
        <v>0.129</v>
      </c>
      <c r="G59" s="666">
        <f t="shared" si="12"/>
        <v>0</v>
      </c>
      <c r="H59" s="666">
        <f t="shared" si="12"/>
        <v>0</v>
      </c>
      <c r="I59" s="666">
        <f t="shared" si="12"/>
        <v>9.9000000000000005E-2</v>
      </c>
      <c r="J59" s="666">
        <f t="shared" si="12"/>
        <v>2.7E-2</v>
      </c>
      <c r="K59" s="666">
        <f t="shared" si="12"/>
        <v>8.9999999999999993E-3</v>
      </c>
      <c r="L59" s="666">
        <f t="shared" si="12"/>
        <v>7.1999999999999995E-2</v>
      </c>
      <c r="M59" s="666">
        <f t="shared" si="12"/>
        <v>3.3000000000000002E-2</v>
      </c>
      <c r="N59" s="666">
        <f t="shared" si="12"/>
        <v>0.04</v>
      </c>
      <c r="O59" s="666">
        <f t="shared" si="12"/>
        <v>0.156</v>
      </c>
      <c r="P59" s="673">
        <f t="shared" si="9"/>
        <v>1</v>
      </c>
      <c r="S59" s="672">
        <f t="shared" si="4"/>
        <v>2046</v>
      </c>
      <c r="T59" s="674">
        <v>0</v>
      </c>
      <c r="U59" s="674">
        <v>5</v>
      </c>
      <c r="V59" s="675">
        <f t="shared" si="5"/>
        <v>0</v>
      </c>
      <c r="W59" s="676">
        <v>1</v>
      </c>
      <c r="X59" s="677">
        <f t="shared" si="10"/>
        <v>0</v>
      </c>
    </row>
    <row r="60" spans="2:24">
      <c r="B60" s="672">
        <f t="shared" si="11"/>
        <v>2047</v>
      </c>
      <c r="C60" s="678"/>
      <c r="D60" s="665">
        <v>1</v>
      </c>
      <c r="E60" s="666">
        <f t="shared" si="12"/>
        <v>0.435</v>
      </c>
      <c r="F60" s="666">
        <f t="shared" si="12"/>
        <v>0.129</v>
      </c>
      <c r="G60" s="666">
        <f t="shared" si="12"/>
        <v>0</v>
      </c>
      <c r="H60" s="666">
        <f t="shared" si="12"/>
        <v>0</v>
      </c>
      <c r="I60" s="666">
        <f t="shared" si="12"/>
        <v>9.9000000000000005E-2</v>
      </c>
      <c r="J60" s="666">
        <f t="shared" si="12"/>
        <v>2.7E-2</v>
      </c>
      <c r="K60" s="666">
        <f t="shared" si="12"/>
        <v>8.9999999999999993E-3</v>
      </c>
      <c r="L60" s="666">
        <f t="shared" si="12"/>
        <v>7.1999999999999995E-2</v>
      </c>
      <c r="M60" s="666">
        <f t="shared" si="12"/>
        <v>3.3000000000000002E-2</v>
      </c>
      <c r="N60" s="666">
        <f t="shared" si="12"/>
        <v>0.04</v>
      </c>
      <c r="O60" s="666">
        <f t="shared" si="12"/>
        <v>0.156</v>
      </c>
      <c r="P60" s="673">
        <f t="shared" si="9"/>
        <v>1</v>
      </c>
      <c r="S60" s="672">
        <f t="shared" si="4"/>
        <v>2047</v>
      </c>
      <c r="T60" s="674">
        <v>0</v>
      </c>
      <c r="U60" s="674">
        <v>5</v>
      </c>
      <c r="V60" s="675">
        <f t="shared" si="5"/>
        <v>0</v>
      </c>
      <c r="W60" s="676">
        <v>1</v>
      </c>
      <c r="X60" s="677">
        <f t="shared" si="10"/>
        <v>0</v>
      </c>
    </row>
    <row r="61" spans="2:24">
      <c r="B61" s="672">
        <f t="shared" si="11"/>
        <v>2048</v>
      </c>
      <c r="C61" s="678"/>
      <c r="D61" s="665">
        <v>1</v>
      </c>
      <c r="E61" s="666">
        <f t="shared" si="12"/>
        <v>0.435</v>
      </c>
      <c r="F61" s="666">
        <f t="shared" si="12"/>
        <v>0.129</v>
      </c>
      <c r="G61" s="666">
        <f t="shared" si="12"/>
        <v>0</v>
      </c>
      <c r="H61" s="666">
        <f t="shared" si="12"/>
        <v>0</v>
      </c>
      <c r="I61" s="666">
        <f t="shared" si="12"/>
        <v>9.9000000000000005E-2</v>
      </c>
      <c r="J61" s="666">
        <f t="shared" si="12"/>
        <v>2.7E-2</v>
      </c>
      <c r="K61" s="666">
        <f t="shared" si="12"/>
        <v>8.9999999999999993E-3</v>
      </c>
      <c r="L61" s="666">
        <f t="shared" si="12"/>
        <v>7.1999999999999995E-2</v>
      </c>
      <c r="M61" s="666">
        <f t="shared" si="12"/>
        <v>3.3000000000000002E-2</v>
      </c>
      <c r="N61" s="666">
        <f t="shared" si="12"/>
        <v>0.04</v>
      </c>
      <c r="O61" s="666">
        <f t="shared" si="12"/>
        <v>0.156</v>
      </c>
      <c r="P61" s="673">
        <f t="shared" si="9"/>
        <v>1</v>
      </c>
      <c r="S61" s="672">
        <f t="shared" si="4"/>
        <v>2048</v>
      </c>
      <c r="T61" s="674">
        <v>0</v>
      </c>
      <c r="U61" s="674">
        <v>5</v>
      </c>
      <c r="V61" s="675">
        <f t="shared" si="5"/>
        <v>0</v>
      </c>
      <c r="W61" s="676">
        <v>1</v>
      </c>
      <c r="X61" s="677">
        <f t="shared" si="10"/>
        <v>0</v>
      </c>
    </row>
    <row r="62" spans="2:24">
      <c r="B62" s="672">
        <f t="shared" si="11"/>
        <v>2049</v>
      </c>
      <c r="C62" s="678"/>
      <c r="D62" s="665">
        <v>1</v>
      </c>
      <c r="E62" s="666">
        <f t="shared" si="12"/>
        <v>0.435</v>
      </c>
      <c r="F62" s="666">
        <f t="shared" si="12"/>
        <v>0.129</v>
      </c>
      <c r="G62" s="666">
        <f t="shared" si="12"/>
        <v>0</v>
      </c>
      <c r="H62" s="666">
        <f t="shared" si="12"/>
        <v>0</v>
      </c>
      <c r="I62" s="666">
        <f t="shared" si="12"/>
        <v>9.9000000000000005E-2</v>
      </c>
      <c r="J62" s="666">
        <f t="shared" si="12"/>
        <v>2.7E-2</v>
      </c>
      <c r="K62" s="666">
        <f t="shared" si="12"/>
        <v>8.9999999999999993E-3</v>
      </c>
      <c r="L62" s="666">
        <f t="shared" si="12"/>
        <v>7.1999999999999995E-2</v>
      </c>
      <c r="M62" s="666">
        <f t="shared" si="12"/>
        <v>3.3000000000000002E-2</v>
      </c>
      <c r="N62" s="666">
        <f t="shared" si="12"/>
        <v>0.04</v>
      </c>
      <c r="O62" s="666">
        <f t="shared" si="12"/>
        <v>0.156</v>
      </c>
      <c r="P62" s="673">
        <f t="shared" si="9"/>
        <v>1</v>
      </c>
      <c r="S62" s="672">
        <f t="shared" si="4"/>
        <v>2049</v>
      </c>
      <c r="T62" s="674">
        <v>0</v>
      </c>
      <c r="U62" s="674">
        <v>5</v>
      </c>
      <c r="V62" s="675">
        <f t="shared" si="5"/>
        <v>0</v>
      </c>
      <c r="W62" s="676">
        <v>1</v>
      </c>
      <c r="X62" s="677">
        <f t="shared" si="10"/>
        <v>0</v>
      </c>
    </row>
    <row r="63" spans="2:24">
      <c r="B63" s="672">
        <f t="shared" si="11"/>
        <v>2050</v>
      </c>
      <c r="C63" s="678"/>
      <c r="D63" s="665">
        <v>1</v>
      </c>
      <c r="E63" s="666">
        <f t="shared" ref="E63:O78" si="13">E$8</f>
        <v>0.435</v>
      </c>
      <c r="F63" s="666">
        <f t="shared" si="13"/>
        <v>0.129</v>
      </c>
      <c r="G63" s="666">
        <f t="shared" si="12"/>
        <v>0</v>
      </c>
      <c r="H63" s="666">
        <f t="shared" si="13"/>
        <v>0</v>
      </c>
      <c r="I63" s="666">
        <f t="shared" si="12"/>
        <v>9.9000000000000005E-2</v>
      </c>
      <c r="J63" s="666">
        <f t="shared" si="13"/>
        <v>2.7E-2</v>
      </c>
      <c r="K63" s="666">
        <f t="shared" si="13"/>
        <v>8.9999999999999993E-3</v>
      </c>
      <c r="L63" s="666">
        <f t="shared" si="13"/>
        <v>7.1999999999999995E-2</v>
      </c>
      <c r="M63" s="666">
        <f t="shared" si="13"/>
        <v>3.3000000000000002E-2</v>
      </c>
      <c r="N63" s="666">
        <f t="shared" si="13"/>
        <v>0.04</v>
      </c>
      <c r="O63" s="666">
        <f t="shared" si="13"/>
        <v>0.156</v>
      </c>
      <c r="P63" s="673">
        <f t="shared" si="9"/>
        <v>1</v>
      </c>
      <c r="S63" s="672">
        <f t="shared" si="4"/>
        <v>2050</v>
      </c>
      <c r="T63" s="674">
        <v>0</v>
      </c>
      <c r="U63" s="674">
        <v>5</v>
      </c>
      <c r="V63" s="675">
        <f t="shared" si="5"/>
        <v>0</v>
      </c>
      <c r="W63" s="676">
        <v>1</v>
      </c>
      <c r="X63" s="677">
        <f t="shared" si="10"/>
        <v>0</v>
      </c>
    </row>
    <row r="64" spans="2:24">
      <c r="B64" s="672">
        <f t="shared" si="11"/>
        <v>2051</v>
      </c>
      <c r="C64" s="678"/>
      <c r="D64" s="665">
        <v>1</v>
      </c>
      <c r="E64" s="666">
        <f t="shared" si="13"/>
        <v>0.435</v>
      </c>
      <c r="F64" s="666">
        <f t="shared" si="13"/>
        <v>0.129</v>
      </c>
      <c r="G64" s="666">
        <f t="shared" si="12"/>
        <v>0</v>
      </c>
      <c r="H64" s="666">
        <f t="shared" si="13"/>
        <v>0</v>
      </c>
      <c r="I64" s="666">
        <f t="shared" si="12"/>
        <v>9.9000000000000005E-2</v>
      </c>
      <c r="J64" s="666">
        <f t="shared" si="13"/>
        <v>2.7E-2</v>
      </c>
      <c r="K64" s="666">
        <f t="shared" si="13"/>
        <v>8.9999999999999993E-3</v>
      </c>
      <c r="L64" s="666">
        <f t="shared" si="13"/>
        <v>7.1999999999999995E-2</v>
      </c>
      <c r="M64" s="666">
        <f t="shared" si="13"/>
        <v>3.3000000000000002E-2</v>
      </c>
      <c r="N64" s="666">
        <f t="shared" si="13"/>
        <v>0.04</v>
      </c>
      <c r="O64" s="666">
        <f t="shared" si="13"/>
        <v>0.156</v>
      </c>
      <c r="P64" s="673">
        <f t="shared" si="9"/>
        <v>1</v>
      </c>
      <c r="S64" s="672">
        <f t="shared" si="4"/>
        <v>2051</v>
      </c>
      <c r="T64" s="674">
        <v>0</v>
      </c>
      <c r="U64" s="674">
        <v>5</v>
      </c>
      <c r="V64" s="675">
        <f t="shared" si="5"/>
        <v>0</v>
      </c>
      <c r="W64" s="676">
        <v>1</v>
      </c>
      <c r="X64" s="677">
        <f t="shared" si="10"/>
        <v>0</v>
      </c>
    </row>
    <row r="65" spans="2:24">
      <c r="B65" s="672">
        <f t="shared" si="11"/>
        <v>2052</v>
      </c>
      <c r="C65" s="678"/>
      <c r="D65" s="665">
        <v>1</v>
      </c>
      <c r="E65" s="666">
        <f t="shared" si="13"/>
        <v>0.435</v>
      </c>
      <c r="F65" s="666">
        <f t="shared" si="13"/>
        <v>0.129</v>
      </c>
      <c r="G65" s="666">
        <f t="shared" si="12"/>
        <v>0</v>
      </c>
      <c r="H65" s="666">
        <f t="shared" si="13"/>
        <v>0</v>
      </c>
      <c r="I65" s="666">
        <f t="shared" si="12"/>
        <v>9.9000000000000005E-2</v>
      </c>
      <c r="J65" s="666">
        <f t="shared" si="13"/>
        <v>2.7E-2</v>
      </c>
      <c r="K65" s="666">
        <f t="shared" si="13"/>
        <v>8.9999999999999993E-3</v>
      </c>
      <c r="L65" s="666">
        <f t="shared" si="13"/>
        <v>7.1999999999999995E-2</v>
      </c>
      <c r="M65" s="666">
        <f t="shared" si="13"/>
        <v>3.3000000000000002E-2</v>
      </c>
      <c r="N65" s="666">
        <f t="shared" si="13"/>
        <v>0.04</v>
      </c>
      <c r="O65" s="666">
        <f t="shared" si="13"/>
        <v>0.156</v>
      </c>
      <c r="P65" s="673">
        <f t="shared" si="9"/>
        <v>1</v>
      </c>
      <c r="S65" s="672">
        <f t="shared" si="4"/>
        <v>2052</v>
      </c>
      <c r="T65" s="674">
        <v>0</v>
      </c>
      <c r="U65" s="674">
        <v>5</v>
      </c>
      <c r="V65" s="675">
        <f t="shared" si="5"/>
        <v>0</v>
      </c>
      <c r="W65" s="676">
        <v>1</v>
      </c>
      <c r="X65" s="677">
        <f t="shared" si="10"/>
        <v>0</v>
      </c>
    </row>
    <row r="66" spans="2:24">
      <c r="B66" s="672">
        <f t="shared" si="11"/>
        <v>2053</v>
      </c>
      <c r="C66" s="678"/>
      <c r="D66" s="665">
        <v>1</v>
      </c>
      <c r="E66" s="666">
        <f t="shared" si="13"/>
        <v>0.435</v>
      </c>
      <c r="F66" s="666">
        <f t="shared" si="13"/>
        <v>0.129</v>
      </c>
      <c r="G66" s="666">
        <f t="shared" si="12"/>
        <v>0</v>
      </c>
      <c r="H66" s="666">
        <f t="shared" si="13"/>
        <v>0</v>
      </c>
      <c r="I66" s="666">
        <f t="shared" si="12"/>
        <v>9.9000000000000005E-2</v>
      </c>
      <c r="J66" s="666">
        <f t="shared" si="13"/>
        <v>2.7E-2</v>
      </c>
      <c r="K66" s="666">
        <f t="shared" si="13"/>
        <v>8.9999999999999993E-3</v>
      </c>
      <c r="L66" s="666">
        <f t="shared" si="13"/>
        <v>7.1999999999999995E-2</v>
      </c>
      <c r="M66" s="666">
        <f t="shared" si="13"/>
        <v>3.3000000000000002E-2</v>
      </c>
      <c r="N66" s="666">
        <f t="shared" si="13"/>
        <v>0.04</v>
      </c>
      <c r="O66" s="666">
        <f t="shared" si="13"/>
        <v>0.156</v>
      </c>
      <c r="P66" s="673">
        <f t="shared" si="9"/>
        <v>1</v>
      </c>
      <c r="S66" s="672">
        <f t="shared" si="4"/>
        <v>2053</v>
      </c>
      <c r="T66" s="674">
        <v>0</v>
      </c>
      <c r="U66" s="674">
        <v>5</v>
      </c>
      <c r="V66" s="675">
        <f t="shared" si="5"/>
        <v>0</v>
      </c>
      <c r="W66" s="676">
        <v>1</v>
      </c>
      <c r="X66" s="677">
        <f t="shared" si="10"/>
        <v>0</v>
      </c>
    </row>
    <row r="67" spans="2:24">
      <c r="B67" s="672">
        <f t="shared" si="11"/>
        <v>2054</v>
      </c>
      <c r="C67" s="678"/>
      <c r="D67" s="665">
        <v>1</v>
      </c>
      <c r="E67" s="666">
        <f t="shared" si="13"/>
        <v>0.435</v>
      </c>
      <c r="F67" s="666">
        <f t="shared" si="13"/>
        <v>0.129</v>
      </c>
      <c r="G67" s="666">
        <f t="shared" si="12"/>
        <v>0</v>
      </c>
      <c r="H67" s="666">
        <f t="shared" si="13"/>
        <v>0</v>
      </c>
      <c r="I67" s="666">
        <f t="shared" si="12"/>
        <v>9.9000000000000005E-2</v>
      </c>
      <c r="J67" s="666">
        <f t="shared" si="13"/>
        <v>2.7E-2</v>
      </c>
      <c r="K67" s="666">
        <f t="shared" si="13"/>
        <v>8.9999999999999993E-3</v>
      </c>
      <c r="L67" s="666">
        <f t="shared" si="13"/>
        <v>7.1999999999999995E-2</v>
      </c>
      <c r="M67" s="666">
        <f t="shared" si="13"/>
        <v>3.3000000000000002E-2</v>
      </c>
      <c r="N67" s="666">
        <f t="shared" si="13"/>
        <v>0.04</v>
      </c>
      <c r="O67" s="666">
        <f t="shared" si="13"/>
        <v>0.156</v>
      </c>
      <c r="P67" s="673">
        <f t="shared" si="9"/>
        <v>1</v>
      </c>
      <c r="S67" s="672">
        <f t="shared" si="4"/>
        <v>2054</v>
      </c>
      <c r="T67" s="674">
        <v>0</v>
      </c>
      <c r="U67" s="674">
        <v>5</v>
      </c>
      <c r="V67" s="675">
        <f t="shared" si="5"/>
        <v>0</v>
      </c>
      <c r="W67" s="676">
        <v>1</v>
      </c>
      <c r="X67" s="677">
        <f t="shared" si="10"/>
        <v>0</v>
      </c>
    </row>
    <row r="68" spans="2:24">
      <c r="B68" s="672">
        <f t="shared" si="11"/>
        <v>2055</v>
      </c>
      <c r="C68" s="678"/>
      <c r="D68" s="665">
        <v>1</v>
      </c>
      <c r="E68" s="666">
        <f t="shared" si="13"/>
        <v>0.435</v>
      </c>
      <c r="F68" s="666">
        <f t="shared" si="13"/>
        <v>0.129</v>
      </c>
      <c r="G68" s="666">
        <f t="shared" si="12"/>
        <v>0</v>
      </c>
      <c r="H68" s="666">
        <f t="shared" si="13"/>
        <v>0</v>
      </c>
      <c r="I68" s="666">
        <f t="shared" si="12"/>
        <v>9.9000000000000005E-2</v>
      </c>
      <c r="J68" s="666">
        <f t="shared" si="13"/>
        <v>2.7E-2</v>
      </c>
      <c r="K68" s="666">
        <f t="shared" si="13"/>
        <v>8.9999999999999993E-3</v>
      </c>
      <c r="L68" s="666">
        <f t="shared" si="13"/>
        <v>7.1999999999999995E-2</v>
      </c>
      <c r="M68" s="666">
        <f t="shared" si="13"/>
        <v>3.3000000000000002E-2</v>
      </c>
      <c r="N68" s="666">
        <f t="shared" si="13"/>
        <v>0.04</v>
      </c>
      <c r="O68" s="666">
        <f t="shared" si="13"/>
        <v>0.156</v>
      </c>
      <c r="P68" s="673">
        <f t="shared" si="9"/>
        <v>1</v>
      </c>
      <c r="S68" s="672">
        <f t="shared" si="4"/>
        <v>2055</v>
      </c>
      <c r="T68" s="674">
        <v>0</v>
      </c>
      <c r="U68" s="674">
        <v>5</v>
      </c>
      <c r="V68" s="675">
        <f t="shared" si="5"/>
        <v>0</v>
      </c>
      <c r="W68" s="676">
        <v>1</v>
      </c>
      <c r="X68" s="677">
        <f t="shared" si="10"/>
        <v>0</v>
      </c>
    </row>
    <row r="69" spans="2:24">
      <c r="B69" s="672">
        <f t="shared" si="11"/>
        <v>2056</v>
      </c>
      <c r="C69" s="678"/>
      <c r="D69" s="665">
        <v>1</v>
      </c>
      <c r="E69" s="666">
        <f t="shared" si="13"/>
        <v>0.435</v>
      </c>
      <c r="F69" s="666">
        <f t="shared" si="13"/>
        <v>0.129</v>
      </c>
      <c r="G69" s="666">
        <f t="shared" si="13"/>
        <v>0</v>
      </c>
      <c r="H69" s="666">
        <f t="shared" si="13"/>
        <v>0</v>
      </c>
      <c r="I69" s="666">
        <f t="shared" si="13"/>
        <v>9.9000000000000005E-2</v>
      </c>
      <c r="J69" s="666">
        <f t="shared" si="13"/>
        <v>2.7E-2</v>
      </c>
      <c r="K69" s="666">
        <f t="shared" si="13"/>
        <v>8.9999999999999993E-3</v>
      </c>
      <c r="L69" s="666">
        <f t="shared" si="13"/>
        <v>7.1999999999999995E-2</v>
      </c>
      <c r="M69" s="666">
        <f t="shared" si="13"/>
        <v>3.3000000000000002E-2</v>
      </c>
      <c r="N69" s="666">
        <f t="shared" si="13"/>
        <v>0.04</v>
      </c>
      <c r="O69" s="666">
        <f t="shared" si="13"/>
        <v>0.156</v>
      </c>
      <c r="P69" s="673">
        <f t="shared" si="9"/>
        <v>1</v>
      </c>
      <c r="S69" s="672">
        <f t="shared" si="4"/>
        <v>2056</v>
      </c>
      <c r="T69" s="674">
        <v>0</v>
      </c>
      <c r="U69" s="674">
        <v>5</v>
      </c>
      <c r="V69" s="675">
        <f t="shared" si="5"/>
        <v>0</v>
      </c>
      <c r="W69" s="676">
        <v>1</v>
      </c>
      <c r="X69" s="677">
        <f t="shared" si="10"/>
        <v>0</v>
      </c>
    </row>
    <row r="70" spans="2:24">
      <c r="B70" s="672">
        <f t="shared" si="11"/>
        <v>2057</v>
      </c>
      <c r="C70" s="678"/>
      <c r="D70" s="665">
        <v>1</v>
      </c>
      <c r="E70" s="666">
        <f t="shared" si="13"/>
        <v>0.435</v>
      </c>
      <c r="F70" s="666">
        <f t="shared" si="13"/>
        <v>0.129</v>
      </c>
      <c r="G70" s="666">
        <f t="shared" si="13"/>
        <v>0</v>
      </c>
      <c r="H70" s="666">
        <f t="shared" si="13"/>
        <v>0</v>
      </c>
      <c r="I70" s="666">
        <f t="shared" si="13"/>
        <v>9.9000000000000005E-2</v>
      </c>
      <c r="J70" s="666">
        <f t="shared" si="13"/>
        <v>2.7E-2</v>
      </c>
      <c r="K70" s="666">
        <f t="shared" si="13"/>
        <v>8.9999999999999993E-3</v>
      </c>
      <c r="L70" s="666">
        <f t="shared" si="13"/>
        <v>7.1999999999999995E-2</v>
      </c>
      <c r="M70" s="666">
        <f t="shared" si="13"/>
        <v>3.3000000000000002E-2</v>
      </c>
      <c r="N70" s="666">
        <f t="shared" si="13"/>
        <v>0.04</v>
      </c>
      <c r="O70" s="666">
        <f t="shared" si="13"/>
        <v>0.156</v>
      </c>
      <c r="P70" s="673">
        <f t="shared" si="9"/>
        <v>1</v>
      </c>
      <c r="S70" s="672">
        <f t="shared" si="4"/>
        <v>2057</v>
      </c>
      <c r="T70" s="674">
        <v>0</v>
      </c>
      <c r="U70" s="674">
        <v>5</v>
      </c>
      <c r="V70" s="675">
        <f t="shared" si="5"/>
        <v>0</v>
      </c>
      <c r="W70" s="676">
        <v>1</v>
      </c>
      <c r="X70" s="677">
        <f t="shared" si="10"/>
        <v>0</v>
      </c>
    </row>
    <row r="71" spans="2:24">
      <c r="B71" s="672">
        <f t="shared" si="11"/>
        <v>2058</v>
      </c>
      <c r="C71" s="678"/>
      <c r="D71" s="665">
        <v>1</v>
      </c>
      <c r="E71" s="666">
        <f t="shared" si="13"/>
        <v>0.435</v>
      </c>
      <c r="F71" s="666">
        <f t="shared" si="13"/>
        <v>0.129</v>
      </c>
      <c r="G71" s="666">
        <f t="shared" si="13"/>
        <v>0</v>
      </c>
      <c r="H71" s="666">
        <f t="shared" si="13"/>
        <v>0</v>
      </c>
      <c r="I71" s="666">
        <f t="shared" si="13"/>
        <v>9.9000000000000005E-2</v>
      </c>
      <c r="J71" s="666">
        <f t="shared" si="13"/>
        <v>2.7E-2</v>
      </c>
      <c r="K71" s="666">
        <f t="shared" si="13"/>
        <v>8.9999999999999993E-3</v>
      </c>
      <c r="L71" s="666">
        <f t="shared" si="13"/>
        <v>7.1999999999999995E-2</v>
      </c>
      <c r="M71" s="666">
        <f t="shared" si="13"/>
        <v>3.3000000000000002E-2</v>
      </c>
      <c r="N71" s="666">
        <f t="shared" si="13"/>
        <v>0.04</v>
      </c>
      <c r="O71" s="666">
        <f t="shared" si="13"/>
        <v>0.156</v>
      </c>
      <c r="P71" s="673">
        <f t="shared" si="9"/>
        <v>1</v>
      </c>
      <c r="S71" s="672">
        <f t="shared" si="4"/>
        <v>2058</v>
      </c>
      <c r="T71" s="674">
        <v>0</v>
      </c>
      <c r="U71" s="674">
        <v>5</v>
      </c>
      <c r="V71" s="675">
        <f t="shared" si="5"/>
        <v>0</v>
      </c>
      <c r="W71" s="676">
        <v>1</v>
      </c>
      <c r="X71" s="677">
        <f t="shared" si="10"/>
        <v>0</v>
      </c>
    </row>
    <row r="72" spans="2:24">
      <c r="B72" s="672">
        <f t="shared" si="11"/>
        <v>2059</v>
      </c>
      <c r="C72" s="678"/>
      <c r="D72" s="665">
        <v>1</v>
      </c>
      <c r="E72" s="666">
        <f t="shared" si="13"/>
        <v>0.435</v>
      </c>
      <c r="F72" s="666">
        <f t="shared" si="13"/>
        <v>0.129</v>
      </c>
      <c r="G72" s="666">
        <f t="shared" si="13"/>
        <v>0</v>
      </c>
      <c r="H72" s="666">
        <f t="shared" si="13"/>
        <v>0</v>
      </c>
      <c r="I72" s="666">
        <f t="shared" si="13"/>
        <v>9.9000000000000005E-2</v>
      </c>
      <c r="J72" s="666">
        <f t="shared" si="13"/>
        <v>2.7E-2</v>
      </c>
      <c r="K72" s="666">
        <f t="shared" si="13"/>
        <v>8.9999999999999993E-3</v>
      </c>
      <c r="L72" s="666">
        <f t="shared" si="13"/>
        <v>7.1999999999999995E-2</v>
      </c>
      <c r="M72" s="666">
        <f t="shared" si="13"/>
        <v>3.3000000000000002E-2</v>
      </c>
      <c r="N72" s="666">
        <f t="shared" si="13"/>
        <v>0.04</v>
      </c>
      <c r="O72" s="666">
        <f t="shared" si="13"/>
        <v>0.156</v>
      </c>
      <c r="P72" s="673">
        <f t="shared" si="9"/>
        <v>1</v>
      </c>
      <c r="S72" s="672">
        <f t="shared" si="4"/>
        <v>2059</v>
      </c>
      <c r="T72" s="674">
        <v>0</v>
      </c>
      <c r="U72" s="674">
        <v>5</v>
      </c>
      <c r="V72" s="675">
        <f t="shared" si="5"/>
        <v>0</v>
      </c>
      <c r="W72" s="676">
        <v>1</v>
      </c>
      <c r="X72" s="677">
        <f t="shared" si="10"/>
        <v>0</v>
      </c>
    </row>
    <row r="73" spans="2:24">
      <c r="B73" s="672">
        <f t="shared" si="11"/>
        <v>2060</v>
      </c>
      <c r="C73" s="678"/>
      <c r="D73" s="665">
        <v>1</v>
      </c>
      <c r="E73" s="666">
        <f t="shared" ref="E73:O88" si="14">E$8</f>
        <v>0.435</v>
      </c>
      <c r="F73" s="666">
        <f t="shared" si="14"/>
        <v>0.129</v>
      </c>
      <c r="G73" s="666">
        <f t="shared" si="13"/>
        <v>0</v>
      </c>
      <c r="H73" s="666">
        <f t="shared" si="14"/>
        <v>0</v>
      </c>
      <c r="I73" s="666">
        <f t="shared" si="13"/>
        <v>9.9000000000000005E-2</v>
      </c>
      <c r="J73" s="666">
        <f t="shared" si="14"/>
        <v>2.7E-2</v>
      </c>
      <c r="K73" s="666">
        <f t="shared" si="14"/>
        <v>8.9999999999999993E-3</v>
      </c>
      <c r="L73" s="666">
        <f t="shared" si="14"/>
        <v>7.1999999999999995E-2</v>
      </c>
      <c r="M73" s="666">
        <f t="shared" si="14"/>
        <v>3.3000000000000002E-2</v>
      </c>
      <c r="N73" s="666">
        <f t="shared" si="14"/>
        <v>0.04</v>
      </c>
      <c r="O73" s="666">
        <f t="shared" si="14"/>
        <v>0.156</v>
      </c>
      <c r="P73" s="673">
        <f t="shared" si="9"/>
        <v>1</v>
      </c>
      <c r="S73" s="672">
        <f t="shared" si="4"/>
        <v>2060</v>
      </c>
      <c r="T73" s="674">
        <v>0</v>
      </c>
      <c r="U73" s="674">
        <v>5</v>
      </c>
      <c r="V73" s="675">
        <f t="shared" si="5"/>
        <v>0</v>
      </c>
      <c r="W73" s="676">
        <v>1</v>
      </c>
      <c r="X73" s="677">
        <f t="shared" si="10"/>
        <v>0</v>
      </c>
    </row>
    <row r="74" spans="2:24">
      <c r="B74" s="672">
        <f t="shared" si="11"/>
        <v>2061</v>
      </c>
      <c r="C74" s="678"/>
      <c r="D74" s="665">
        <v>1</v>
      </c>
      <c r="E74" s="666">
        <f t="shared" si="14"/>
        <v>0.435</v>
      </c>
      <c r="F74" s="666">
        <f t="shared" si="14"/>
        <v>0.129</v>
      </c>
      <c r="G74" s="666">
        <f t="shared" si="13"/>
        <v>0</v>
      </c>
      <c r="H74" s="666">
        <f t="shared" si="14"/>
        <v>0</v>
      </c>
      <c r="I74" s="666">
        <f t="shared" si="13"/>
        <v>9.9000000000000005E-2</v>
      </c>
      <c r="J74" s="666">
        <f t="shared" si="14"/>
        <v>2.7E-2</v>
      </c>
      <c r="K74" s="666">
        <f t="shared" si="14"/>
        <v>8.9999999999999993E-3</v>
      </c>
      <c r="L74" s="666">
        <f t="shared" si="14"/>
        <v>7.1999999999999995E-2</v>
      </c>
      <c r="M74" s="666">
        <f t="shared" si="14"/>
        <v>3.3000000000000002E-2</v>
      </c>
      <c r="N74" s="666">
        <f t="shared" si="14"/>
        <v>0.04</v>
      </c>
      <c r="O74" s="666">
        <f t="shared" si="14"/>
        <v>0.156</v>
      </c>
      <c r="P74" s="673">
        <f t="shared" si="9"/>
        <v>1</v>
      </c>
      <c r="S74" s="672">
        <f t="shared" si="4"/>
        <v>2061</v>
      </c>
      <c r="T74" s="674">
        <v>0</v>
      </c>
      <c r="U74" s="674">
        <v>5</v>
      </c>
      <c r="V74" s="675">
        <f t="shared" si="5"/>
        <v>0</v>
      </c>
      <c r="W74" s="676">
        <v>1</v>
      </c>
      <c r="X74" s="677">
        <f t="shared" si="10"/>
        <v>0</v>
      </c>
    </row>
    <row r="75" spans="2:24">
      <c r="B75" s="672">
        <f t="shared" si="11"/>
        <v>2062</v>
      </c>
      <c r="C75" s="678"/>
      <c r="D75" s="665">
        <v>1</v>
      </c>
      <c r="E75" s="666">
        <f t="shared" si="14"/>
        <v>0.435</v>
      </c>
      <c r="F75" s="666">
        <f t="shared" si="14"/>
        <v>0.129</v>
      </c>
      <c r="G75" s="666">
        <f t="shared" si="13"/>
        <v>0</v>
      </c>
      <c r="H75" s="666">
        <f t="shared" si="14"/>
        <v>0</v>
      </c>
      <c r="I75" s="666">
        <f t="shared" si="13"/>
        <v>9.9000000000000005E-2</v>
      </c>
      <c r="J75" s="666">
        <f t="shared" si="14"/>
        <v>2.7E-2</v>
      </c>
      <c r="K75" s="666">
        <f t="shared" si="14"/>
        <v>8.9999999999999993E-3</v>
      </c>
      <c r="L75" s="666">
        <f t="shared" si="14"/>
        <v>7.1999999999999995E-2</v>
      </c>
      <c r="M75" s="666">
        <f t="shared" si="14"/>
        <v>3.3000000000000002E-2</v>
      </c>
      <c r="N75" s="666">
        <f t="shared" si="14"/>
        <v>0.04</v>
      </c>
      <c r="O75" s="666">
        <f t="shared" si="14"/>
        <v>0.156</v>
      </c>
      <c r="P75" s="673">
        <f t="shared" si="9"/>
        <v>1</v>
      </c>
      <c r="S75" s="672">
        <f t="shared" si="4"/>
        <v>2062</v>
      </c>
      <c r="T75" s="674">
        <v>0</v>
      </c>
      <c r="U75" s="674">
        <v>5</v>
      </c>
      <c r="V75" s="675">
        <f t="shared" si="5"/>
        <v>0</v>
      </c>
      <c r="W75" s="676">
        <v>1</v>
      </c>
      <c r="X75" s="677">
        <f t="shared" si="10"/>
        <v>0</v>
      </c>
    </row>
    <row r="76" spans="2:24">
      <c r="B76" s="672">
        <f t="shared" si="11"/>
        <v>2063</v>
      </c>
      <c r="C76" s="678"/>
      <c r="D76" s="665">
        <v>1</v>
      </c>
      <c r="E76" s="666">
        <f t="shared" si="14"/>
        <v>0.435</v>
      </c>
      <c r="F76" s="666">
        <f t="shared" si="14"/>
        <v>0.129</v>
      </c>
      <c r="G76" s="666">
        <f t="shared" si="13"/>
        <v>0</v>
      </c>
      <c r="H76" s="666">
        <f t="shared" si="14"/>
        <v>0</v>
      </c>
      <c r="I76" s="666">
        <f t="shared" si="13"/>
        <v>9.9000000000000005E-2</v>
      </c>
      <c r="J76" s="666">
        <f t="shared" si="14"/>
        <v>2.7E-2</v>
      </c>
      <c r="K76" s="666">
        <f t="shared" si="14"/>
        <v>8.9999999999999993E-3</v>
      </c>
      <c r="L76" s="666">
        <f t="shared" si="14"/>
        <v>7.1999999999999995E-2</v>
      </c>
      <c r="M76" s="666">
        <f t="shared" si="14"/>
        <v>3.3000000000000002E-2</v>
      </c>
      <c r="N76" s="666">
        <f t="shared" si="14"/>
        <v>0.04</v>
      </c>
      <c r="O76" s="666">
        <f t="shared" si="14"/>
        <v>0.156</v>
      </c>
      <c r="P76" s="673">
        <f t="shared" si="9"/>
        <v>1</v>
      </c>
      <c r="S76" s="672">
        <f t="shared" si="4"/>
        <v>2063</v>
      </c>
      <c r="T76" s="674">
        <v>0</v>
      </c>
      <c r="U76" s="674">
        <v>5</v>
      </c>
      <c r="V76" s="675">
        <f t="shared" si="5"/>
        <v>0</v>
      </c>
      <c r="W76" s="676">
        <v>1</v>
      </c>
      <c r="X76" s="677">
        <f t="shared" si="10"/>
        <v>0</v>
      </c>
    </row>
    <row r="77" spans="2:24">
      <c r="B77" s="672">
        <f t="shared" si="11"/>
        <v>2064</v>
      </c>
      <c r="C77" s="678"/>
      <c r="D77" s="665">
        <v>1</v>
      </c>
      <c r="E77" s="666">
        <f t="shared" si="14"/>
        <v>0.435</v>
      </c>
      <c r="F77" s="666">
        <f t="shared" si="14"/>
        <v>0.129</v>
      </c>
      <c r="G77" s="666">
        <f t="shared" si="13"/>
        <v>0</v>
      </c>
      <c r="H77" s="666">
        <f t="shared" si="14"/>
        <v>0</v>
      </c>
      <c r="I77" s="666">
        <f t="shared" si="13"/>
        <v>9.9000000000000005E-2</v>
      </c>
      <c r="J77" s="666">
        <f t="shared" si="14"/>
        <v>2.7E-2</v>
      </c>
      <c r="K77" s="666">
        <f t="shared" si="14"/>
        <v>8.9999999999999993E-3</v>
      </c>
      <c r="L77" s="666">
        <f t="shared" si="14"/>
        <v>7.1999999999999995E-2</v>
      </c>
      <c r="M77" s="666">
        <f t="shared" si="14"/>
        <v>3.3000000000000002E-2</v>
      </c>
      <c r="N77" s="666">
        <f t="shared" si="14"/>
        <v>0.04</v>
      </c>
      <c r="O77" s="666">
        <f t="shared" si="14"/>
        <v>0.156</v>
      </c>
      <c r="P77" s="673">
        <f t="shared" ref="P77:P93" si="15">SUM(E77:O77)</f>
        <v>1</v>
      </c>
      <c r="S77" s="672">
        <f t="shared" si="4"/>
        <v>2064</v>
      </c>
      <c r="T77" s="674">
        <v>0</v>
      </c>
      <c r="U77" s="674">
        <v>5</v>
      </c>
      <c r="V77" s="675">
        <f t="shared" si="5"/>
        <v>0</v>
      </c>
      <c r="W77" s="676">
        <v>1</v>
      </c>
      <c r="X77" s="677">
        <f t="shared" ref="X77:X93" si="16">V77*W77</f>
        <v>0</v>
      </c>
    </row>
    <row r="78" spans="2:24">
      <c r="B78" s="672">
        <f t="shared" ref="B78:B93" si="17">B77+1</f>
        <v>2065</v>
      </c>
      <c r="C78" s="678"/>
      <c r="D78" s="665">
        <v>1</v>
      </c>
      <c r="E78" s="666">
        <f t="shared" si="14"/>
        <v>0.435</v>
      </c>
      <c r="F78" s="666">
        <f t="shared" si="14"/>
        <v>0.129</v>
      </c>
      <c r="G78" s="666">
        <f t="shared" si="13"/>
        <v>0</v>
      </c>
      <c r="H78" s="666">
        <f t="shared" si="14"/>
        <v>0</v>
      </c>
      <c r="I78" s="666">
        <f t="shared" si="13"/>
        <v>9.9000000000000005E-2</v>
      </c>
      <c r="J78" s="666">
        <f t="shared" si="14"/>
        <v>2.7E-2</v>
      </c>
      <c r="K78" s="666">
        <f t="shared" si="14"/>
        <v>8.9999999999999993E-3</v>
      </c>
      <c r="L78" s="666">
        <f t="shared" si="14"/>
        <v>7.1999999999999995E-2</v>
      </c>
      <c r="M78" s="666">
        <f t="shared" si="14"/>
        <v>3.3000000000000002E-2</v>
      </c>
      <c r="N78" s="666">
        <f t="shared" si="14"/>
        <v>0.04</v>
      </c>
      <c r="O78" s="666">
        <f t="shared" si="14"/>
        <v>0.156</v>
      </c>
      <c r="P78" s="673">
        <f t="shared" si="15"/>
        <v>1</v>
      </c>
      <c r="S78" s="672">
        <f t="shared" ref="S78:S93" si="18">S77+1</f>
        <v>2065</v>
      </c>
      <c r="T78" s="674">
        <v>0</v>
      </c>
      <c r="U78" s="674">
        <v>5</v>
      </c>
      <c r="V78" s="675">
        <f t="shared" si="5"/>
        <v>0</v>
      </c>
      <c r="W78" s="676">
        <v>1</v>
      </c>
      <c r="X78" s="677">
        <f t="shared" si="16"/>
        <v>0</v>
      </c>
    </row>
    <row r="79" spans="2:24">
      <c r="B79" s="672">
        <f t="shared" si="17"/>
        <v>2066</v>
      </c>
      <c r="C79" s="678"/>
      <c r="D79" s="665">
        <v>1</v>
      </c>
      <c r="E79" s="666">
        <f t="shared" si="14"/>
        <v>0.435</v>
      </c>
      <c r="F79" s="666">
        <f t="shared" si="14"/>
        <v>0.129</v>
      </c>
      <c r="G79" s="666">
        <f t="shared" si="14"/>
        <v>0</v>
      </c>
      <c r="H79" s="666">
        <f t="shared" si="14"/>
        <v>0</v>
      </c>
      <c r="I79" s="666">
        <f t="shared" si="14"/>
        <v>9.9000000000000005E-2</v>
      </c>
      <c r="J79" s="666">
        <f t="shared" si="14"/>
        <v>2.7E-2</v>
      </c>
      <c r="K79" s="666">
        <f t="shared" si="14"/>
        <v>8.9999999999999993E-3</v>
      </c>
      <c r="L79" s="666">
        <f t="shared" si="14"/>
        <v>7.1999999999999995E-2</v>
      </c>
      <c r="M79" s="666">
        <f t="shared" si="14"/>
        <v>3.3000000000000002E-2</v>
      </c>
      <c r="N79" s="666">
        <f t="shared" si="14"/>
        <v>0.04</v>
      </c>
      <c r="O79" s="666">
        <f t="shared" si="14"/>
        <v>0.156</v>
      </c>
      <c r="P79" s="673">
        <f t="shared" si="15"/>
        <v>1</v>
      </c>
      <c r="S79" s="672">
        <f t="shared" si="18"/>
        <v>2066</v>
      </c>
      <c r="T79" s="674">
        <v>0</v>
      </c>
      <c r="U79" s="674">
        <v>5</v>
      </c>
      <c r="V79" s="675">
        <f t="shared" ref="V79:V93" si="19">T79*U79</f>
        <v>0</v>
      </c>
      <c r="W79" s="676">
        <v>1</v>
      </c>
      <c r="X79" s="677">
        <f t="shared" si="16"/>
        <v>0</v>
      </c>
    </row>
    <row r="80" spans="2:24">
      <c r="B80" s="672">
        <f t="shared" si="17"/>
        <v>2067</v>
      </c>
      <c r="C80" s="678"/>
      <c r="D80" s="665">
        <v>1</v>
      </c>
      <c r="E80" s="666">
        <f t="shared" si="14"/>
        <v>0.435</v>
      </c>
      <c r="F80" s="666">
        <f t="shared" si="14"/>
        <v>0.129</v>
      </c>
      <c r="G80" s="666">
        <f t="shared" si="14"/>
        <v>0</v>
      </c>
      <c r="H80" s="666">
        <f t="shared" si="14"/>
        <v>0</v>
      </c>
      <c r="I80" s="666">
        <f t="shared" si="14"/>
        <v>9.9000000000000005E-2</v>
      </c>
      <c r="J80" s="666">
        <f t="shared" si="14"/>
        <v>2.7E-2</v>
      </c>
      <c r="K80" s="666">
        <f t="shared" si="14"/>
        <v>8.9999999999999993E-3</v>
      </c>
      <c r="L80" s="666">
        <f t="shared" si="14"/>
        <v>7.1999999999999995E-2</v>
      </c>
      <c r="M80" s="666">
        <f t="shared" si="14"/>
        <v>3.3000000000000002E-2</v>
      </c>
      <c r="N80" s="666">
        <f t="shared" si="14"/>
        <v>0.04</v>
      </c>
      <c r="O80" s="666">
        <f t="shared" si="14"/>
        <v>0.156</v>
      </c>
      <c r="P80" s="673">
        <f t="shared" si="15"/>
        <v>1</v>
      </c>
      <c r="S80" s="672">
        <f t="shared" si="18"/>
        <v>2067</v>
      </c>
      <c r="T80" s="674">
        <v>0</v>
      </c>
      <c r="U80" s="674">
        <v>5</v>
      </c>
      <c r="V80" s="675">
        <f t="shared" si="19"/>
        <v>0</v>
      </c>
      <c r="W80" s="676">
        <v>1</v>
      </c>
      <c r="X80" s="677">
        <f t="shared" si="16"/>
        <v>0</v>
      </c>
    </row>
    <row r="81" spans="2:24">
      <c r="B81" s="672">
        <f t="shared" si="17"/>
        <v>2068</v>
      </c>
      <c r="C81" s="678"/>
      <c r="D81" s="665">
        <v>1</v>
      </c>
      <c r="E81" s="666">
        <f t="shared" si="14"/>
        <v>0.435</v>
      </c>
      <c r="F81" s="666">
        <f t="shared" si="14"/>
        <v>0.129</v>
      </c>
      <c r="G81" s="666">
        <f t="shared" si="14"/>
        <v>0</v>
      </c>
      <c r="H81" s="666">
        <f t="shared" si="14"/>
        <v>0</v>
      </c>
      <c r="I81" s="666">
        <f t="shared" si="14"/>
        <v>9.9000000000000005E-2</v>
      </c>
      <c r="J81" s="666">
        <f t="shared" si="14"/>
        <v>2.7E-2</v>
      </c>
      <c r="K81" s="666">
        <f t="shared" si="14"/>
        <v>8.9999999999999993E-3</v>
      </c>
      <c r="L81" s="666">
        <f t="shared" si="14"/>
        <v>7.1999999999999995E-2</v>
      </c>
      <c r="M81" s="666">
        <f t="shared" si="14"/>
        <v>3.3000000000000002E-2</v>
      </c>
      <c r="N81" s="666">
        <f t="shared" si="14"/>
        <v>0.04</v>
      </c>
      <c r="O81" s="666">
        <f t="shared" si="14"/>
        <v>0.156</v>
      </c>
      <c r="P81" s="673">
        <f t="shared" si="15"/>
        <v>1</v>
      </c>
      <c r="S81" s="672">
        <f t="shared" si="18"/>
        <v>2068</v>
      </c>
      <c r="T81" s="674">
        <v>0</v>
      </c>
      <c r="U81" s="674">
        <v>5</v>
      </c>
      <c r="V81" s="675">
        <f t="shared" si="19"/>
        <v>0</v>
      </c>
      <c r="W81" s="676">
        <v>1</v>
      </c>
      <c r="X81" s="677">
        <f t="shared" si="16"/>
        <v>0</v>
      </c>
    </row>
    <row r="82" spans="2:24">
      <c r="B82" s="672">
        <f t="shared" si="17"/>
        <v>2069</v>
      </c>
      <c r="C82" s="678"/>
      <c r="D82" s="665">
        <v>1</v>
      </c>
      <c r="E82" s="666">
        <f t="shared" si="14"/>
        <v>0.435</v>
      </c>
      <c r="F82" s="666">
        <f t="shared" si="14"/>
        <v>0.129</v>
      </c>
      <c r="G82" s="666">
        <f t="shared" si="14"/>
        <v>0</v>
      </c>
      <c r="H82" s="666">
        <f t="shared" si="14"/>
        <v>0</v>
      </c>
      <c r="I82" s="666">
        <f t="shared" si="14"/>
        <v>9.9000000000000005E-2</v>
      </c>
      <c r="J82" s="666">
        <f t="shared" si="14"/>
        <v>2.7E-2</v>
      </c>
      <c r="K82" s="666">
        <f t="shared" si="14"/>
        <v>8.9999999999999993E-3</v>
      </c>
      <c r="L82" s="666">
        <f t="shared" si="14"/>
        <v>7.1999999999999995E-2</v>
      </c>
      <c r="M82" s="666">
        <f t="shared" si="14"/>
        <v>3.3000000000000002E-2</v>
      </c>
      <c r="N82" s="666">
        <f t="shared" si="14"/>
        <v>0.04</v>
      </c>
      <c r="O82" s="666">
        <f t="shared" si="14"/>
        <v>0.156</v>
      </c>
      <c r="P82" s="673">
        <f t="shared" si="15"/>
        <v>1</v>
      </c>
      <c r="S82" s="672">
        <f t="shared" si="18"/>
        <v>2069</v>
      </c>
      <c r="T82" s="674">
        <v>0</v>
      </c>
      <c r="U82" s="674">
        <v>5</v>
      </c>
      <c r="V82" s="675">
        <f t="shared" si="19"/>
        <v>0</v>
      </c>
      <c r="W82" s="676">
        <v>1</v>
      </c>
      <c r="X82" s="677">
        <f t="shared" si="16"/>
        <v>0</v>
      </c>
    </row>
    <row r="83" spans="2:24">
      <c r="B83" s="672">
        <f t="shared" si="17"/>
        <v>2070</v>
      </c>
      <c r="C83" s="678"/>
      <c r="D83" s="665">
        <v>1</v>
      </c>
      <c r="E83" s="666">
        <f t="shared" ref="E83:O93" si="20">E$8</f>
        <v>0.435</v>
      </c>
      <c r="F83" s="666">
        <f t="shared" si="20"/>
        <v>0.129</v>
      </c>
      <c r="G83" s="666">
        <f t="shared" si="14"/>
        <v>0</v>
      </c>
      <c r="H83" s="666">
        <f t="shared" si="20"/>
        <v>0</v>
      </c>
      <c r="I83" s="666">
        <f t="shared" si="14"/>
        <v>9.9000000000000005E-2</v>
      </c>
      <c r="J83" s="666">
        <f t="shared" si="20"/>
        <v>2.7E-2</v>
      </c>
      <c r="K83" s="666">
        <f t="shared" si="20"/>
        <v>8.9999999999999993E-3</v>
      </c>
      <c r="L83" s="666">
        <f t="shared" si="20"/>
        <v>7.1999999999999995E-2</v>
      </c>
      <c r="M83" s="666">
        <f t="shared" si="20"/>
        <v>3.3000000000000002E-2</v>
      </c>
      <c r="N83" s="666">
        <f t="shared" si="20"/>
        <v>0.04</v>
      </c>
      <c r="O83" s="666">
        <f t="shared" si="20"/>
        <v>0.156</v>
      </c>
      <c r="P83" s="673">
        <f t="shared" si="15"/>
        <v>1</v>
      </c>
      <c r="S83" s="672">
        <f t="shared" si="18"/>
        <v>2070</v>
      </c>
      <c r="T83" s="674">
        <v>0</v>
      </c>
      <c r="U83" s="674">
        <v>5</v>
      </c>
      <c r="V83" s="675">
        <f t="shared" si="19"/>
        <v>0</v>
      </c>
      <c r="W83" s="676">
        <v>1</v>
      </c>
      <c r="X83" s="677">
        <f t="shared" si="16"/>
        <v>0</v>
      </c>
    </row>
    <row r="84" spans="2:24">
      <c r="B84" s="672">
        <f t="shared" si="17"/>
        <v>2071</v>
      </c>
      <c r="C84" s="678"/>
      <c r="D84" s="665">
        <v>1</v>
      </c>
      <c r="E84" s="666">
        <f t="shared" si="20"/>
        <v>0.435</v>
      </c>
      <c r="F84" s="666">
        <f t="shared" si="20"/>
        <v>0.129</v>
      </c>
      <c r="G84" s="666">
        <f t="shared" si="14"/>
        <v>0</v>
      </c>
      <c r="H84" s="666">
        <f t="shared" si="20"/>
        <v>0</v>
      </c>
      <c r="I84" s="666">
        <f t="shared" si="14"/>
        <v>9.9000000000000005E-2</v>
      </c>
      <c r="J84" s="666">
        <f t="shared" si="20"/>
        <v>2.7E-2</v>
      </c>
      <c r="K84" s="666">
        <f t="shared" si="20"/>
        <v>8.9999999999999993E-3</v>
      </c>
      <c r="L84" s="666">
        <f t="shared" si="20"/>
        <v>7.1999999999999995E-2</v>
      </c>
      <c r="M84" s="666">
        <f t="shared" si="20"/>
        <v>3.3000000000000002E-2</v>
      </c>
      <c r="N84" s="666">
        <f t="shared" si="20"/>
        <v>0.04</v>
      </c>
      <c r="O84" s="666">
        <f t="shared" si="20"/>
        <v>0.156</v>
      </c>
      <c r="P84" s="673">
        <f t="shared" si="15"/>
        <v>1</v>
      </c>
      <c r="S84" s="672">
        <f t="shared" si="18"/>
        <v>2071</v>
      </c>
      <c r="T84" s="674">
        <v>0</v>
      </c>
      <c r="U84" s="674">
        <v>5</v>
      </c>
      <c r="V84" s="675">
        <f t="shared" si="19"/>
        <v>0</v>
      </c>
      <c r="W84" s="676">
        <v>1</v>
      </c>
      <c r="X84" s="677">
        <f t="shared" si="16"/>
        <v>0</v>
      </c>
    </row>
    <row r="85" spans="2:24">
      <c r="B85" s="672">
        <f t="shared" si="17"/>
        <v>2072</v>
      </c>
      <c r="C85" s="678"/>
      <c r="D85" s="665">
        <v>1</v>
      </c>
      <c r="E85" s="666">
        <f t="shared" si="20"/>
        <v>0.435</v>
      </c>
      <c r="F85" s="666">
        <f t="shared" si="20"/>
        <v>0.129</v>
      </c>
      <c r="G85" s="666">
        <f t="shared" si="14"/>
        <v>0</v>
      </c>
      <c r="H85" s="666">
        <f t="shared" si="20"/>
        <v>0</v>
      </c>
      <c r="I85" s="666">
        <f t="shared" si="14"/>
        <v>9.9000000000000005E-2</v>
      </c>
      <c r="J85" s="666">
        <f t="shared" si="20"/>
        <v>2.7E-2</v>
      </c>
      <c r="K85" s="666">
        <f t="shared" si="20"/>
        <v>8.9999999999999993E-3</v>
      </c>
      <c r="L85" s="666">
        <f t="shared" si="20"/>
        <v>7.1999999999999995E-2</v>
      </c>
      <c r="M85" s="666">
        <f t="shared" si="20"/>
        <v>3.3000000000000002E-2</v>
      </c>
      <c r="N85" s="666">
        <f t="shared" si="20"/>
        <v>0.04</v>
      </c>
      <c r="O85" s="666">
        <f t="shared" si="20"/>
        <v>0.156</v>
      </c>
      <c r="P85" s="673">
        <f t="shared" si="15"/>
        <v>1</v>
      </c>
      <c r="S85" s="672">
        <f t="shared" si="18"/>
        <v>2072</v>
      </c>
      <c r="T85" s="674">
        <v>0</v>
      </c>
      <c r="U85" s="674">
        <v>5</v>
      </c>
      <c r="V85" s="675">
        <f t="shared" si="19"/>
        <v>0</v>
      </c>
      <c r="W85" s="676">
        <v>1</v>
      </c>
      <c r="X85" s="677">
        <f t="shared" si="16"/>
        <v>0</v>
      </c>
    </row>
    <row r="86" spans="2:24">
      <c r="B86" s="672">
        <f t="shared" si="17"/>
        <v>2073</v>
      </c>
      <c r="C86" s="678"/>
      <c r="D86" s="665">
        <v>1</v>
      </c>
      <c r="E86" s="666">
        <f t="shared" si="20"/>
        <v>0.435</v>
      </c>
      <c r="F86" s="666">
        <f t="shared" si="20"/>
        <v>0.129</v>
      </c>
      <c r="G86" s="666">
        <f t="shared" si="14"/>
        <v>0</v>
      </c>
      <c r="H86" s="666">
        <f t="shared" si="20"/>
        <v>0</v>
      </c>
      <c r="I86" s="666">
        <f t="shared" si="14"/>
        <v>9.9000000000000005E-2</v>
      </c>
      <c r="J86" s="666">
        <f t="shared" si="20"/>
        <v>2.7E-2</v>
      </c>
      <c r="K86" s="666">
        <f t="shared" si="20"/>
        <v>8.9999999999999993E-3</v>
      </c>
      <c r="L86" s="666">
        <f t="shared" si="20"/>
        <v>7.1999999999999995E-2</v>
      </c>
      <c r="M86" s="666">
        <f t="shared" si="20"/>
        <v>3.3000000000000002E-2</v>
      </c>
      <c r="N86" s="666">
        <f t="shared" si="20"/>
        <v>0.04</v>
      </c>
      <c r="O86" s="666">
        <f t="shared" si="20"/>
        <v>0.156</v>
      </c>
      <c r="P86" s="673">
        <f t="shared" si="15"/>
        <v>1</v>
      </c>
      <c r="S86" s="672">
        <f t="shared" si="18"/>
        <v>2073</v>
      </c>
      <c r="T86" s="674">
        <v>0</v>
      </c>
      <c r="U86" s="674">
        <v>5</v>
      </c>
      <c r="V86" s="675">
        <f t="shared" si="19"/>
        <v>0</v>
      </c>
      <c r="W86" s="676">
        <v>1</v>
      </c>
      <c r="X86" s="677">
        <f t="shared" si="16"/>
        <v>0</v>
      </c>
    </row>
    <row r="87" spans="2:24">
      <c r="B87" s="672">
        <f t="shared" si="17"/>
        <v>2074</v>
      </c>
      <c r="C87" s="678"/>
      <c r="D87" s="665">
        <v>1</v>
      </c>
      <c r="E87" s="666">
        <f t="shared" si="20"/>
        <v>0.435</v>
      </c>
      <c r="F87" s="666">
        <f t="shared" si="20"/>
        <v>0.129</v>
      </c>
      <c r="G87" s="666">
        <f t="shared" si="14"/>
        <v>0</v>
      </c>
      <c r="H87" s="666">
        <f t="shared" si="20"/>
        <v>0</v>
      </c>
      <c r="I87" s="666">
        <f t="shared" si="14"/>
        <v>9.9000000000000005E-2</v>
      </c>
      <c r="J87" s="666">
        <f t="shared" si="20"/>
        <v>2.7E-2</v>
      </c>
      <c r="K87" s="666">
        <f t="shared" si="20"/>
        <v>8.9999999999999993E-3</v>
      </c>
      <c r="L87" s="666">
        <f t="shared" si="20"/>
        <v>7.1999999999999995E-2</v>
      </c>
      <c r="M87" s="666">
        <f t="shared" si="20"/>
        <v>3.3000000000000002E-2</v>
      </c>
      <c r="N87" s="666">
        <f t="shared" si="20"/>
        <v>0.04</v>
      </c>
      <c r="O87" s="666">
        <f t="shared" si="20"/>
        <v>0.156</v>
      </c>
      <c r="P87" s="673">
        <f t="shared" si="15"/>
        <v>1</v>
      </c>
      <c r="S87" s="672">
        <f t="shared" si="18"/>
        <v>2074</v>
      </c>
      <c r="T87" s="674">
        <v>0</v>
      </c>
      <c r="U87" s="674">
        <v>5</v>
      </c>
      <c r="V87" s="675">
        <f t="shared" si="19"/>
        <v>0</v>
      </c>
      <c r="W87" s="676">
        <v>1</v>
      </c>
      <c r="X87" s="677">
        <f t="shared" si="16"/>
        <v>0</v>
      </c>
    </row>
    <row r="88" spans="2:24">
      <c r="B88" s="672">
        <f t="shared" si="17"/>
        <v>2075</v>
      </c>
      <c r="C88" s="678"/>
      <c r="D88" s="665">
        <v>1</v>
      </c>
      <c r="E88" s="666">
        <f t="shared" si="20"/>
        <v>0.435</v>
      </c>
      <c r="F88" s="666">
        <f t="shared" si="20"/>
        <v>0.129</v>
      </c>
      <c r="G88" s="666">
        <f t="shared" si="14"/>
        <v>0</v>
      </c>
      <c r="H88" s="666">
        <f t="shared" si="20"/>
        <v>0</v>
      </c>
      <c r="I88" s="666">
        <f t="shared" si="14"/>
        <v>9.9000000000000005E-2</v>
      </c>
      <c r="J88" s="666">
        <f t="shared" si="20"/>
        <v>2.7E-2</v>
      </c>
      <c r="K88" s="666">
        <f t="shared" si="20"/>
        <v>8.9999999999999993E-3</v>
      </c>
      <c r="L88" s="666">
        <f t="shared" si="20"/>
        <v>7.1999999999999995E-2</v>
      </c>
      <c r="M88" s="666">
        <f t="shared" si="20"/>
        <v>3.3000000000000002E-2</v>
      </c>
      <c r="N88" s="666">
        <f t="shared" si="20"/>
        <v>0.04</v>
      </c>
      <c r="O88" s="666">
        <f t="shared" si="20"/>
        <v>0.156</v>
      </c>
      <c r="P88" s="673">
        <f t="shared" si="15"/>
        <v>1</v>
      </c>
      <c r="S88" s="672">
        <f t="shared" si="18"/>
        <v>2075</v>
      </c>
      <c r="T88" s="674">
        <v>0</v>
      </c>
      <c r="U88" s="674">
        <v>5</v>
      </c>
      <c r="V88" s="675">
        <f t="shared" si="19"/>
        <v>0</v>
      </c>
      <c r="W88" s="676">
        <v>1</v>
      </c>
      <c r="X88" s="677">
        <f t="shared" si="16"/>
        <v>0</v>
      </c>
    </row>
    <row r="89" spans="2:24">
      <c r="B89" s="672">
        <f t="shared" si="17"/>
        <v>2076</v>
      </c>
      <c r="C89" s="678"/>
      <c r="D89" s="665">
        <v>1</v>
      </c>
      <c r="E89" s="666">
        <f t="shared" si="20"/>
        <v>0.435</v>
      </c>
      <c r="F89" s="666">
        <f t="shared" si="20"/>
        <v>0.129</v>
      </c>
      <c r="G89" s="666">
        <f t="shared" si="20"/>
        <v>0</v>
      </c>
      <c r="H89" s="666">
        <f t="shared" si="20"/>
        <v>0</v>
      </c>
      <c r="I89" s="666">
        <f t="shared" si="20"/>
        <v>9.9000000000000005E-2</v>
      </c>
      <c r="J89" s="666">
        <f t="shared" si="20"/>
        <v>2.7E-2</v>
      </c>
      <c r="K89" s="666">
        <f t="shared" si="20"/>
        <v>8.9999999999999993E-3</v>
      </c>
      <c r="L89" s="666">
        <f t="shared" si="20"/>
        <v>7.1999999999999995E-2</v>
      </c>
      <c r="M89" s="666">
        <f t="shared" si="20"/>
        <v>3.3000000000000002E-2</v>
      </c>
      <c r="N89" s="666">
        <f t="shared" si="20"/>
        <v>0.04</v>
      </c>
      <c r="O89" s="666">
        <f t="shared" si="20"/>
        <v>0.156</v>
      </c>
      <c r="P89" s="673">
        <f t="shared" si="15"/>
        <v>1</v>
      </c>
      <c r="S89" s="672">
        <f t="shared" si="18"/>
        <v>2076</v>
      </c>
      <c r="T89" s="674">
        <v>0</v>
      </c>
      <c r="U89" s="674">
        <v>5</v>
      </c>
      <c r="V89" s="675">
        <f t="shared" si="19"/>
        <v>0</v>
      </c>
      <c r="W89" s="676">
        <v>1</v>
      </c>
      <c r="X89" s="677">
        <f t="shared" si="16"/>
        <v>0</v>
      </c>
    </row>
    <row r="90" spans="2:24">
      <c r="B90" s="672">
        <f t="shared" si="17"/>
        <v>2077</v>
      </c>
      <c r="C90" s="678"/>
      <c r="D90" s="665">
        <v>1</v>
      </c>
      <c r="E90" s="666">
        <f t="shared" si="20"/>
        <v>0.435</v>
      </c>
      <c r="F90" s="666">
        <f t="shared" si="20"/>
        <v>0.129</v>
      </c>
      <c r="G90" s="666">
        <f t="shared" si="20"/>
        <v>0</v>
      </c>
      <c r="H90" s="666">
        <f t="shared" si="20"/>
        <v>0</v>
      </c>
      <c r="I90" s="666">
        <f t="shared" si="20"/>
        <v>9.9000000000000005E-2</v>
      </c>
      <c r="J90" s="666">
        <f t="shared" si="20"/>
        <v>2.7E-2</v>
      </c>
      <c r="K90" s="666">
        <f t="shared" si="20"/>
        <v>8.9999999999999993E-3</v>
      </c>
      <c r="L90" s="666">
        <f t="shared" si="20"/>
        <v>7.1999999999999995E-2</v>
      </c>
      <c r="M90" s="666">
        <f t="shared" si="20"/>
        <v>3.3000000000000002E-2</v>
      </c>
      <c r="N90" s="666">
        <f t="shared" si="20"/>
        <v>0.04</v>
      </c>
      <c r="O90" s="666">
        <f t="shared" si="20"/>
        <v>0.156</v>
      </c>
      <c r="P90" s="673">
        <f t="shared" si="15"/>
        <v>1</v>
      </c>
      <c r="S90" s="672">
        <f t="shared" si="18"/>
        <v>2077</v>
      </c>
      <c r="T90" s="674">
        <v>0</v>
      </c>
      <c r="U90" s="674">
        <v>5</v>
      </c>
      <c r="V90" s="675">
        <f t="shared" si="19"/>
        <v>0</v>
      </c>
      <c r="W90" s="676">
        <v>1</v>
      </c>
      <c r="X90" s="677">
        <f t="shared" si="16"/>
        <v>0</v>
      </c>
    </row>
    <row r="91" spans="2:24">
      <c r="B91" s="672">
        <f t="shared" si="17"/>
        <v>2078</v>
      </c>
      <c r="C91" s="678"/>
      <c r="D91" s="665">
        <v>1</v>
      </c>
      <c r="E91" s="666">
        <f t="shared" si="20"/>
        <v>0.435</v>
      </c>
      <c r="F91" s="666">
        <f t="shared" si="20"/>
        <v>0.129</v>
      </c>
      <c r="G91" s="666">
        <f t="shared" si="20"/>
        <v>0</v>
      </c>
      <c r="H91" s="666">
        <f t="shared" si="20"/>
        <v>0</v>
      </c>
      <c r="I91" s="666">
        <f t="shared" si="20"/>
        <v>9.9000000000000005E-2</v>
      </c>
      <c r="J91" s="666">
        <f t="shared" si="20"/>
        <v>2.7E-2</v>
      </c>
      <c r="K91" s="666">
        <f t="shared" si="20"/>
        <v>8.9999999999999993E-3</v>
      </c>
      <c r="L91" s="666">
        <f t="shared" si="20"/>
        <v>7.1999999999999995E-2</v>
      </c>
      <c r="M91" s="666">
        <f t="shared" si="20"/>
        <v>3.3000000000000002E-2</v>
      </c>
      <c r="N91" s="666">
        <f t="shared" si="20"/>
        <v>0.04</v>
      </c>
      <c r="O91" s="666">
        <f t="shared" si="20"/>
        <v>0.156</v>
      </c>
      <c r="P91" s="673">
        <f t="shared" si="15"/>
        <v>1</v>
      </c>
      <c r="S91" s="672">
        <f t="shared" si="18"/>
        <v>2078</v>
      </c>
      <c r="T91" s="674">
        <v>0</v>
      </c>
      <c r="U91" s="674">
        <v>5</v>
      </c>
      <c r="V91" s="675">
        <f t="shared" si="19"/>
        <v>0</v>
      </c>
      <c r="W91" s="676">
        <v>1</v>
      </c>
      <c r="X91" s="677">
        <f t="shared" si="16"/>
        <v>0</v>
      </c>
    </row>
    <row r="92" spans="2:24">
      <c r="B92" s="672">
        <f t="shared" si="17"/>
        <v>2079</v>
      </c>
      <c r="C92" s="678"/>
      <c r="D92" s="665">
        <v>1</v>
      </c>
      <c r="E92" s="666">
        <f t="shared" si="20"/>
        <v>0.435</v>
      </c>
      <c r="F92" s="666">
        <f t="shared" si="20"/>
        <v>0.129</v>
      </c>
      <c r="G92" s="666">
        <f t="shared" si="20"/>
        <v>0</v>
      </c>
      <c r="H92" s="666">
        <f t="shared" si="20"/>
        <v>0</v>
      </c>
      <c r="I92" s="666">
        <f t="shared" si="20"/>
        <v>9.9000000000000005E-2</v>
      </c>
      <c r="J92" s="666">
        <f t="shared" si="20"/>
        <v>2.7E-2</v>
      </c>
      <c r="K92" s="666">
        <f t="shared" si="20"/>
        <v>8.9999999999999993E-3</v>
      </c>
      <c r="L92" s="666">
        <f t="shared" si="20"/>
        <v>7.1999999999999995E-2</v>
      </c>
      <c r="M92" s="666">
        <f t="shared" si="20"/>
        <v>3.3000000000000002E-2</v>
      </c>
      <c r="N92" s="666">
        <f t="shared" si="20"/>
        <v>0.04</v>
      </c>
      <c r="O92" s="666">
        <f t="shared" si="20"/>
        <v>0.156</v>
      </c>
      <c r="P92" s="673">
        <f t="shared" si="15"/>
        <v>1</v>
      </c>
      <c r="S92" s="672">
        <f t="shared" si="18"/>
        <v>2079</v>
      </c>
      <c r="T92" s="674">
        <v>0</v>
      </c>
      <c r="U92" s="674">
        <v>5</v>
      </c>
      <c r="V92" s="675">
        <f t="shared" si="19"/>
        <v>0</v>
      </c>
      <c r="W92" s="676">
        <v>1</v>
      </c>
      <c r="X92" s="677">
        <f t="shared" si="16"/>
        <v>0</v>
      </c>
    </row>
    <row r="93" spans="2:24" ht="13.5" thickBot="1">
      <c r="B93" s="679">
        <f t="shared" si="17"/>
        <v>2080</v>
      </c>
      <c r="C93" s="680"/>
      <c r="D93" s="665">
        <v>1</v>
      </c>
      <c r="E93" s="681">
        <f t="shared" si="20"/>
        <v>0.435</v>
      </c>
      <c r="F93" s="681">
        <f t="shared" si="20"/>
        <v>0.129</v>
      </c>
      <c r="G93" s="681">
        <f t="shared" si="20"/>
        <v>0</v>
      </c>
      <c r="H93" s="681">
        <f t="shared" si="20"/>
        <v>0</v>
      </c>
      <c r="I93" s="681">
        <f t="shared" si="20"/>
        <v>9.9000000000000005E-2</v>
      </c>
      <c r="J93" s="681">
        <f t="shared" si="20"/>
        <v>2.7E-2</v>
      </c>
      <c r="K93" s="681">
        <f t="shared" si="20"/>
        <v>8.9999999999999993E-3</v>
      </c>
      <c r="L93" s="681">
        <f t="shared" si="20"/>
        <v>7.1999999999999995E-2</v>
      </c>
      <c r="M93" s="681">
        <f t="shared" si="20"/>
        <v>3.3000000000000002E-2</v>
      </c>
      <c r="N93" s="681">
        <f t="shared" si="20"/>
        <v>0.04</v>
      </c>
      <c r="O93" s="682">
        <f t="shared" si="20"/>
        <v>0.156</v>
      </c>
      <c r="P93" s="683">
        <f t="shared" si="15"/>
        <v>1</v>
      </c>
      <c r="S93" s="679">
        <f t="shared" si="18"/>
        <v>2080</v>
      </c>
      <c r="T93" s="684">
        <v>0</v>
      </c>
      <c r="U93" s="685">
        <v>5</v>
      </c>
      <c r="V93" s="686">
        <f t="shared" si="19"/>
        <v>0</v>
      </c>
      <c r="W93" s="687">
        <v>1</v>
      </c>
      <c r="X93" s="688">
        <f t="shared" si="16"/>
        <v>0</v>
      </c>
    </row>
  </sheetData>
  <customSheetViews>
    <customSheetView guid="{B400968E-E9A7-41C3-9739-36597C9C6BC6}" showGridLines="0" showRuler="0">
      <pane xSplit="2" ySplit="10" topLeftCell="C11" activePane="bottomRight" state="frozenSplit"/>
      <selection pane="bottomRight" activeCell="E18" sqref="E18"/>
      <pageMargins left="0.7" right="0.7" top="0.75" bottom="0.75" header="0.3" footer="0.3"/>
      <pageSetup paperSize="9" orientation="portrait"/>
      <headerFooter alignWithMargins="0"/>
    </customSheetView>
  </customSheetViews>
  <mergeCells count="13">
    <mergeCell ref="E9:O9"/>
    <mergeCell ref="J10:J11"/>
    <mergeCell ref="L10:O10"/>
    <mergeCell ref="H10:H11"/>
    <mergeCell ref="K10:K11"/>
    <mergeCell ref="G10:G11"/>
    <mergeCell ref="I10:I11"/>
    <mergeCell ref="P10:P11"/>
    <mergeCell ref="B10:B11"/>
    <mergeCell ref="C10:C11"/>
    <mergeCell ref="D10:D11"/>
    <mergeCell ref="E10:E11"/>
    <mergeCell ref="F10:F11"/>
  </mergeCells>
  <phoneticPr fontId="16" type="noConversion"/>
  <dataValidations count="1">
    <dataValidation type="decimal" showInputMessage="1" showErrorMessage="1" error="Please enter a number between 1% and 100%" sqref="W13:W93">
      <formula1>0</formula1>
      <formula2>1</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T86"/>
  <sheetViews>
    <sheetView workbookViewId="0">
      <pane ySplit="5" topLeftCell="A6" activePane="bottomLeft" state="frozen"/>
      <selection pane="bottomLeft" activeCell="G15" sqref="G15"/>
    </sheetView>
  </sheetViews>
  <sheetFormatPr defaultColWidth="8.85546875" defaultRowHeight="12.75"/>
  <cols>
    <col min="1" max="1" width="8.85546875" style="416"/>
    <col min="2" max="2" width="7.42578125" style="416" customWidth="1"/>
    <col min="3" max="3" width="10.42578125" style="416" customWidth="1"/>
    <col min="4" max="4" width="10.28515625" style="416" customWidth="1"/>
    <col min="5" max="5" width="11.140625" style="416" customWidth="1"/>
    <col min="6" max="7" width="11.42578125" style="416" customWidth="1"/>
    <col min="8" max="8" width="8.7109375" style="416" customWidth="1"/>
    <col min="9" max="9" width="11" style="416" customWidth="1"/>
    <col min="10" max="16384" width="8.85546875" style="416"/>
  </cols>
  <sheetData>
    <row r="2" spans="2:16" ht="18">
      <c r="B2" s="415" t="s">
        <v>241</v>
      </c>
    </row>
    <row r="3" spans="2:16" ht="13.5" thickBot="1">
      <c r="B3" s="452" t="s">
        <v>274</v>
      </c>
    </row>
    <row r="4" spans="2:16" ht="25.5">
      <c r="B4" s="457" t="s">
        <v>1</v>
      </c>
      <c r="C4" s="458" t="s">
        <v>6</v>
      </c>
      <c r="D4" s="459" t="s">
        <v>269</v>
      </c>
      <c r="E4" s="459" t="s">
        <v>267</v>
      </c>
      <c r="F4" s="459" t="s">
        <v>139</v>
      </c>
      <c r="G4" s="459" t="s">
        <v>2</v>
      </c>
      <c r="H4" s="458" t="s">
        <v>16</v>
      </c>
      <c r="I4" s="458" t="s">
        <v>229</v>
      </c>
      <c r="J4" s="458" t="s">
        <v>230</v>
      </c>
      <c r="K4" s="458" t="s">
        <v>231</v>
      </c>
      <c r="L4" s="458" t="s">
        <v>232</v>
      </c>
      <c r="M4" s="460" t="s">
        <v>233</v>
      </c>
      <c r="N4" s="460" t="s">
        <v>146</v>
      </c>
      <c r="O4" s="460" t="s">
        <v>204</v>
      </c>
      <c r="P4" s="460" t="s">
        <v>308</v>
      </c>
    </row>
    <row r="5" spans="2:16" ht="13.5" thickBot="1">
      <c r="B5" s="461"/>
      <c r="C5" s="456" t="s">
        <v>24</v>
      </c>
      <c r="D5" s="456" t="s">
        <v>24</v>
      </c>
      <c r="E5" s="456" t="s">
        <v>24</v>
      </c>
      <c r="F5" s="456" t="s">
        <v>24</v>
      </c>
      <c r="G5" s="456" t="s">
        <v>24</v>
      </c>
      <c r="H5" s="456" t="s">
        <v>24</v>
      </c>
      <c r="I5" s="456" t="s">
        <v>24</v>
      </c>
      <c r="J5" s="456" t="s">
        <v>24</v>
      </c>
      <c r="K5" s="456" t="s">
        <v>24</v>
      </c>
      <c r="L5" s="456" t="s">
        <v>24</v>
      </c>
      <c r="M5" s="456" t="s">
        <v>24</v>
      </c>
      <c r="N5" s="456" t="s">
        <v>24</v>
      </c>
      <c r="O5" s="456" t="s">
        <v>24</v>
      </c>
      <c r="P5" s="456" t="s">
        <v>24</v>
      </c>
    </row>
    <row r="6" spans="2:16">
      <c r="B6" s="422">
        <f>year</f>
        <v>2000</v>
      </c>
      <c r="C6" s="455">
        <v>0.59</v>
      </c>
      <c r="D6" s="455">
        <v>0.44</v>
      </c>
      <c r="E6" s="455">
        <v>0.44</v>
      </c>
      <c r="F6" s="455">
        <v>0.56999999999999995</v>
      </c>
      <c r="G6" s="455">
        <v>0.56999999999999995</v>
      </c>
      <c r="H6" s="455">
        <v>0.73</v>
      </c>
      <c r="I6" s="455">
        <v>0.89</v>
      </c>
      <c r="J6" s="455">
        <v>0.56999999999999995</v>
      </c>
      <c r="K6" s="455">
        <v>0.97</v>
      </c>
      <c r="L6" s="455">
        <v>0.66</v>
      </c>
      <c r="M6" s="455">
        <v>0.95</v>
      </c>
      <c r="N6" s="455">
        <v>0</v>
      </c>
      <c r="O6" s="455">
        <v>0</v>
      </c>
      <c r="P6" s="455">
        <v>0</v>
      </c>
    </row>
    <row r="7" spans="2:16">
      <c r="B7" s="417">
        <f>B6+1</f>
        <v>2001</v>
      </c>
      <c r="C7" s="455">
        <v>0.59</v>
      </c>
      <c r="D7" s="455">
        <v>0.44</v>
      </c>
      <c r="E7" s="455">
        <v>0.44</v>
      </c>
      <c r="F7" s="455">
        <v>0.56999999999999995</v>
      </c>
      <c r="G7" s="455">
        <v>0.56999999999999995</v>
      </c>
      <c r="H7" s="455">
        <v>0.73</v>
      </c>
      <c r="I7" s="455">
        <v>0.89</v>
      </c>
      <c r="J7" s="455">
        <v>0.56999999999999995</v>
      </c>
      <c r="K7" s="455">
        <v>0.97</v>
      </c>
      <c r="L7" s="455">
        <v>0.66</v>
      </c>
      <c r="M7" s="455">
        <v>0.95</v>
      </c>
      <c r="N7" s="455">
        <v>0</v>
      </c>
      <c r="O7" s="455">
        <v>0</v>
      </c>
      <c r="P7" s="455">
        <v>0</v>
      </c>
    </row>
    <row r="8" spans="2:16">
      <c r="B8" s="417">
        <f t="shared" ref="B8:B71" si="0">B7+1</f>
        <v>2002</v>
      </c>
      <c r="C8" s="455">
        <v>0.59</v>
      </c>
      <c r="D8" s="455">
        <v>0.44</v>
      </c>
      <c r="E8" s="455">
        <v>0.44</v>
      </c>
      <c r="F8" s="455">
        <v>0.56999999999999995</v>
      </c>
      <c r="G8" s="455">
        <v>0.56999999999999995</v>
      </c>
      <c r="H8" s="455">
        <v>0.73</v>
      </c>
      <c r="I8" s="455">
        <v>0.89</v>
      </c>
      <c r="J8" s="455">
        <v>0.56999999999999995</v>
      </c>
      <c r="K8" s="455">
        <v>0.97</v>
      </c>
      <c r="L8" s="455">
        <v>0.66</v>
      </c>
      <c r="M8" s="455">
        <v>0.95</v>
      </c>
      <c r="N8" s="455">
        <v>0</v>
      </c>
      <c r="O8" s="455">
        <v>0</v>
      </c>
      <c r="P8" s="455">
        <v>0</v>
      </c>
    </row>
    <row r="9" spans="2:16">
      <c r="B9" s="417">
        <f t="shared" si="0"/>
        <v>2003</v>
      </c>
      <c r="C9" s="455">
        <v>0.59</v>
      </c>
      <c r="D9" s="455">
        <v>0.44</v>
      </c>
      <c r="E9" s="455">
        <v>0.44</v>
      </c>
      <c r="F9" s="455">
        <v>0.56999999999999995</v>
      </c>
      <c r="G9" s="455">
        <v>0.56999999999999995</v>
      </c>
      <c r="H9" s="455">
        <v>0.73</v>
      </c>
      <c r="I9" s="455">
        <v>0.89</v>
      </c>
      <c r="J9" s="455">
        <v>0.56999999999999995</v>
      </c>
      <c r="K9" s="455">
        <v>0.97</v>
      </c>
      <c r="L9" s="455">
        <v>0.66</v>
      </c>
      <c r="M9" s="455">
        <v>0.95</v>
      </c>
      <c r="N9" s="455">
        <v>0</v>
      </c>
      <c r="O9" s="455">
        <v>0</v>
      </c>
      <c r="P9" s="455">
        <v>0</v>
      </c>
    </row>
    <row r="10" spans="2:16">
      <c r="B10" s="417">
        <f t="shared" si="0"/>
        <v>2004</v>
      </c>
      <c r="C10" s="455">
        <v>0.59</v>
      </c>
      <c r="D10" s="455">
        <v>0.44</v>
      </c>
      <c r="E10" s="455">
        <v>0.44</v>
      </c>
      <c r="F10" s="455">
        <v>0.56999999999999995</v>
      </c>
      <c r="G10" s="455">
        <v>0.56999999999999995</v>
      </c>
      <c r="H10" s="455">
        <v>0.73</v>
      </c>
      <c r="I10" s="455">
        <v>0.89</v>
      </c>
      <c r="J10" s="455">
        <v>0.56999999999999995</v>
      </c>
      <c r="K10" s="455">
        <v>0.97</v>
      </c>
      <c r="L10" s="455">
        <v>0.66</v>
      </c>
      <c r="M10" s="455">
        <v>0.95</v>
      </c>
      <c r="N10" s="455">
        <v>0</v>
      </c>
      <c r="O10" s="455">
        <v>0</v>
      </c>
      <c r="P10" s="455">
        <v>0</v>
      </c>
    </row>
    <row r="11" spans="2:16">
      <c r="B11" s="417">
        <f t="shared" si="0"/>
        <v>2005</v>
      </c>
      <c r="C11" s="455">
        <v>0.59</v>
      </c>
      <c r="D11" s="455">
        <v>0.44</v>
      </c>
      <c r="E11" s="455">
        <v>0.44</v>
      </c>
      <c r="F11" s="455">
        <v>0.56999999999999995</v>
      </c>
      <c r="G11" s="455">
        <v>0.56999999999999995</v>
      </c>
      <c r="H11" s="455">
        <v>0.73</v>
      </c>
      <c r="I11" s="455">
        <v>0.89</v>
      </c>
      <c r="J11" s="455">
        <v>0.56999999999999995</v>
      </c>
      <c r="K11" s="455">
        <v>0.97</v>
      </c>
      <c r="L11" s="455">
        <v>0.66</v>
      </c>
      <c r="M11" s="455">
        <v>0.95</v>
      </c>
      <c r="N11" s="455">
        <v>0</v>
      </c>
      <c r="O11" s="455">
        <v>0</v>
      </c>
      <c r="P11" s="455">
        <v>0</v>
      </c>
    </row>
    <row r="12" spans="2:16">
      <c r="B12" s="417">
        <f t="shared" si="0"/>
        <v>2006</v>
      </c>
      <c r="C12" s="455">
        <v>0.59</v>
      </c>
      <c r="D12" s="455">
        <v>0.44</v>
      </c>
      <c r="E12" s="455">
        <v>0.44</v>
      </c>
      <c r="F12" s="455">
        <v>0.56999999999999995</v>
      </c>
      <c r="G12" s="455">
        <v>0.56999999999999995</v>
      </c>
      <c r="H12" s="455">
        <v>0.73</v>
      </c>
      <c r="I12" s="455">
        <v>0.89</v>
      </c>
      <c r="J12" s="455">
        <v>0.56999999999999995</v>
      </c>
      <c r="K12" s="455">
        <v>0.97</v>
      </c>
      <c r="L12" s="455">
        <v>0.66</v>
      </c>
      <c r="M12" s="455">
        <v>0.95</v>
      </c>
      <c r="N12" s="455">
        <v>0</v>
      </c>
      <c r="O12" s="455">
        <v>0</v>
      </c>
      <c r="P12" s="455">
        <v>0</v>
      </c>
    </row>
    <row r="13" spans="2:16">
      <c r="B13" s="417">
        <f t="shared" si="0"/>
        <v>2007</v>
      </c>
      <c r="C13" s="455">
        <v>0.59</v>
      </c>
      <c r="D13" s="455">
        <v>0.44</v>
      </c>
      <c r="E13" s="455">
        <v>0.44</v>
      </c>
      <c r="F13" s="455">
        <v>0.56999999999999995</v>
      </c>
      <c r="G13" s="455">
        <v>0.56999999999999995</v>
      </c>
      <c r="H13" s="455">
        <v>0.73</v>
      </c>
      <c r="I13" s="455">
        <v>0.89</v>
      </c>
      <c r="J13" s="455">
        <v>0.56999999999999995</v>
      </c>
      <c r="K13" s="455">
        <v>0.97</v>
      </c>
      <c r="L13" s="455">
        <v>0.66</v>
      </c>
      <c r="M13" s="455">
        <v>0.95</v>
      </c>
      <c r="N13" s="455">
        <v>0</v>
      </c>
      <c r="O13" s="455">
        <v>0</v>
      </c>
      <c r="P13" s="455">
        <v>0</v>
      </c>
    </row>
    <row r="14" spans="2:16">
      <c r="B14" s="417">
        <f t="shared" si="0"/>
        <v>2008</v>
      </c>
      <c r="C14" s="455">
        <v>0.59</v>
      </c>
      <c r="D14" s="455">
        <v>0.44</v>
      </c>
      <c r="E14" s="455">
        <v>0.44</v>
      </c>
      <c r="F14" s="455">
        <v>0.56999999999999995</v>
      </c>
      <c r="G14" s="455">
        <v>0.56999999999999995</v>
      </c>
      <c r="H14" s="455">
        <v>0.73</v>
      </c>
      <c r="I14" s="455">
        <v>0.89</v>
      </c>
      <c r="J14" s="455">
        <v>0.56999999999999995</v>
      </c>
      <c r="K14" s="455">
        <v>0.97</v>
      </c>
      <c r="L14" s="455">
        <v>0.66</v>
      </c>
      <c r="M14" s="455">
        <v>0.95</v>
      </c>
      <c r="N14" s="455">
        <v>0</v>
      </c>
      <c r="O14" s="455">
        <v>0</v>
      </c>
      <c r="P14" s="455">
        <v>0</v>
      </c>
    </row>
    <row r="15" spans="2:16">
      <c r="B15" s="417">
        <f t="shared" si="0"/>
        <v>2009</v>
      </c>
      <c r="C15" s="455">
        <v>0.59</v>
      </c>
      <c r="D15" s="455">
        <v>0.44</v>
      </c>
      <c r="E15" s="455">
        <v>0.44</v>
      </c>
      <c r="F15" s="455">
        <v>0.56999999999999995</v>
      </c>
      <c r="G15" s="455">
        <v>0.56999999999999995</v>
      </c>
      <c r="H15" s="455">
        <v>0.73</v>
      </c>
      <c r="I15" s="455">
        <v>0.89</v>
      </c>
      <c r="J15" s="455">
        <v>0.56999999999999995</v>
      </c>
      <c r="K15" s="455">
        <v>0.97</v>
      </c>
      <c r="L15" s="455">
        <v>0.66</v>
      </c>
      <c r="M15" s="455">
        <v>0.95</v>
      </c>
      <c r="N15" s="455">
        <v>0</v>
      </c>
      <c r="O15" s="455">
        <v>0</v>
      </c>
      <c r="P15" s="455">
        <v>0</v>
      </c>
    </row>
    <row r="16" spans="2:16">
      <c r="B16" s="417">
        <f t="shared" si="0"/>
        <v>2010</v>
      </c>
      <c r="C16" s="455">
        <v>0.59</v>
      </c>
      <c r="D16" s="455">
        <v>0.44</v>
      </c>
      <c r="E16" s="455">
        <v>0.44</v>
      </c>
      <c r="F16" s="455">
        <v>0.56999999999999995</v>
      </c>
      <c r="G16" s="455">
        <v>0.56999999999999995</v>
      </c>
      <c r="H16" s="455">
        <v>0.73</v>
      </c>
      <c r="I16" s="455">
        <v>0.89</v>
      </c>
      <c r="J16" s="455">
        <v>0.56999999999999995</v>
      </c>
      <c r="K16" s="455">
        <v>0.97</v>
      </c>
      <c r="L16" s="455">
        <v>0.66</v>
      </c>
      <c r="M16" s="455">
        <v>0.95</v>
      </c>
      <c r="N16" s="455">
        <v>0</v>
      </c>
      <c r="O16" s="455">
        <v>0</v>
      </c>
      <c r="P16" s="455">
        <v>0</v>
      </c>
    </row>
    <row r="17" spans="2:20">
      <c r="B17" s="417">
        <f t="shared" si="0"/>
        <v>2011</v>
      </c>
      <c r="C17" s="455">
        <v>0.59</v>
      </c>
      <c r="D17" s="455">
        <v>0.44</v>
      </c>
      <c r="E17" s="455">
        <v>0.44</v>
      </c>
      <c r="F17" s="455">
        <v>0.56999999999999995</v>
      </c>
      <c r="G17" s="455">
        <v>0.56999999999999995</v>
      </c>
      <c r="H17" s="455">
        <v>0.73</v>
      </c>
      <c r="I17" s="455">
        <v>0.89</v>
      </c>
      <c r="J17" s="455">
        <v>0.56999999999999995</v>
      </c>
      <c r="K17" s="455">
        <v>0.97</v>
      </c>
      <c r="L17" s="455">
        <v>0.66</v>
      </c>
      <c r="M17" s="455">
        <v>0.95</v>
      </c>
      <c r="N17" s="455">
        <v>0</v>
      </c>
      <c r="O17" s="455">
        <v>0</v>
      </c>
      <c r="P17" s="455">
        <v>0</v>
      </c>
    </row>
    <row r="18" spans="2:20">
      <c r="B18" s="417">
        <f t="shared" si="0"/>
        <v>2012</v>
      </c>
      <c r="C18" s="455">
        <v>0.59</v>
      </c>
      <c r="D18" s="455">
        <v>0.44</v>
      </c>
      <c r="E18" s="455">
        <v>0.44</v>
      </c>
      <c r="F18" s="455">
        <v>0.56999999999999995</v>
      </c>
      <c r="G18" s="455">
        <v>0.56999999999999995</v>
      </c>
      <c r="H18" s="455">
        <v>0.73</v>
      </c>
      <c r="I18" s="455">
        <v>0.89</v>
      </c>
      <c r="J18" s="455">
        <v>0.56999999999999995</v>
      </c>
      <c r="K18" s="455">
        <v>0.97</v>
      </c>
      <c r="L18" s="455">
        <v>0.66</v>
      </c>
      <c r="M18" s="455">
        <v>0.95</v>
      </c>
      <c r="N18" s="455">
        <v>0</v>
      </c>
      <c r="O18" s="455">
        <v>0</v>
      </c>
      <c r="P18" s="455">
        <v>0</v>
      </c>
      <c r="S18" s="418"/>
      <c r="T18" s="419"/>
    </row>
    <row r="19" spans="2:20">
      <c r="B19" s="417">
        <f t="shared" si="0"/>
        <v>2013</v>
      </c>
      <c r="C19" s="455">
        <v>0.59</v>
      </c>
      <c r="D19" s="455">
        <v>0.44</v>
      </c>
      <c r="E19" s="455">
        <v>0.44</v>
      </c>
      <c r="F19" s="455">
        <v>0.56999999999999995</v>
      </c>
      <c r="G19" s="455">
        <v>0.56999999999999995</v>
      </c>
      <c r="H19" s="455">
        <v>0.73</v>
      </c>
      <c r="I19" s="455">
        <v>0.89</v>
      </c>
      <c r="J19" s="455">
        <v>0.56999999999999995</v>
      </c>
      <c r="K19" s="455">
        <v>0.97</v>
      </c>
      <c r="L19" s="455">
        <v>0.66</v>
      </c>
      <c r="M19" s="455">
        <v>0.95</v>
      </c>
      <c r="N19" s="455">
        <v>0</v>
      </c>
      <c r="O19" s="455">
        <v>0</v>
      </c>
      <c r="P19" s="455">
        <v>0</v>
      </c>
      <c r="S19" s="418"/>
      <c r="T19" s="420"/>
    </row>
    <row r="20" spans="2:20">
      <c r="B20" s="417">
        <f t="shared" si="0"/>
        <v>2014</v>
      </c>
      <c r="C20" s="455">
        <v>0.59</v>
      </c>
      <c r="D20" s="455">
        <v>0.44</v>
      </c>
      <c r="E20" s="455">
        <v>0.44</v>
      </c>
      <c r="F20" s="455">
        <v>0.56999999999999995</v>
      </c>
      <c r="G20" s="455">
        <v>0.56999999999999995</v>
      </c>
      <c r="H20" s="455">
        <v>0.73</v>
      </c>
      <c r="I20" s="455">
        <v>0.89</v>
      </c>
      <c r="J20" s="455">
        <v>0.56999999999999995</v>
      </c>
      <c r="K20" s="455">
        <v>0.97</v>
      </c>
      <c r="L20" s="455">
        <v>0.66</v>
      </c>
      <c r="M20" s="455">
        <v>0.95</v>
      </c>
      <c r="N20" s="455">
        <v>0</v>
      </c>
      <c r="O20" s="455">
        <v>0</v>
      </c>
      <c r="P20" s="455">
        <v>0</v>
      </c>
      <c r="S20" s="418"/>
      <c r="T20" s="420"/>
    </row>
    <row r="21" spans="2:20">
      <c r="B21" s="417">
        <f t="shared" si="0"/>
        <v>2015</v>
      </c>
      <c r="C21" s="455">
        <v>0.59</v>
      </c>
      <c r="D21" s="455">
        <v>0.44</v>
      </c>
      <c r="E21" s="455">
        <v>0.44</v>
      </c>
      <c r="F21" s="455">
        <v>0.56999999999999995</v>
      </c>
      <c r="G21" s="455">
        <v>0.56999999999999995</v>
      </c>
      <c r="H21" s="455">
        <v>0.73</v>
      </c>
      <c r="I21" s="455">
        <v>0.89</v>
      </c>
      <c r="J21" s="455">
        <v>0.56999999999999995</v>
      </c>
      <c r="K21" s="455">
        <v>0.97</v>
      </c>
      <c r="L21" s="455">
        <v>0.66</v>
      </c>
      <c r="M21" s="455">
        <v>0.95</v>
      </c>
      <c r="N21" s="455">
        <v>0</v>
      </c>
      <c r="O21" s="455">
        <v>0</v>
      </c>
      <c r="P21" s="455">
        <v>0</v>
      </c>
      <c r="S21" s="418"/>
      <c r="T21" s="420"/>
    </row>
    <row r="22" spans="2:20">
      <c r="B22" s="417">
        <f t="shared" si="0"/>
        <v>2016</v>
      </c>
      <c r="C22" s="455">
        <v>0.59</v>
      </c>
      <c r="D22" s="455">
        <v>0.44</v>
      </c>
      <c r="E22" s="455">
        <v>0.44</v>
      </c>
      <c r="F22" s="455">
        <v>0.56999999999999995</v>
      </c>
      <c r="G22" s="455">
        <v>0.56999999999999995</v>
      </c>
      <c r="H22" s="455">
        <v>0.73</v>
      </c>
      <c r="I22" s="455">
        <v>0.89</v>
      </c>
      <c r="J22" s="455">
        <v>0.56999999999999995</v>
      </c>
      <c r="K22" s="455">
        <v>0.97</v>
      </c>
      <c r="L22" s="455">
        <v>0.66</v>
      </c>
      <c r="M22" s="455">
        <v>0.95</v>
      </c>
      <c r="N22" s="455">
        <v>0</v>
      </c>
      <c r="O22" s="455">
        <v>0</v>
      </c>
      <c r="P22" s="455">
        <v>0</v>
      </c>
      <c r="S22" s="418"/>
      <c r="T22" s="420"/>
    </row>
    <row r="23" spans="2:20">
      <c r="B23" s="417">
        <f t="shared" si="0"/>
        <v>2017</v>
      </c>
      <c r="C23" s="455">
        <v>0.59</v>
      </c>
      <c r="D23" s="455">
        <v>0.44</v>
      </c>
      <c r="E23" s="455">
        <v>0.44</v>
      </c>
      <c r="F23" s="455">
        <v>0.56999999999999995</v>
      </c>
      <c r="G23" s="455">
        <v>0.56999999999999995</v>
      </c>
      <c r="H23" s="455">
        <v>0.73</v>
      </c>
      <c r="I23" s="455">
        <v>0.89</v>
      </c>
      <c r="J23" s="455">
        <v>0.56999999999999995</v>
      </c>
      <c r="K23" s="455">
        <v>0.97</v>
      </c>
      <c r="L23" s="455">
        <v>0.66</v>
      </c>
      <c r="M23" s="455">
        <v>0.95</v>
      </c>
      <c r="N23" s="455">
        <v>0</v>
      </c>
      <c r="O23" s="455">
        <v>0</v>
      </c>
      <c r="P23" s="455">
        <v>0</v>
      </c>
      <c r="S23" s="418"/>
      <c r="T23" s="420"/>
    </row>
    <row r="24" spans="2:20">
      <c r="B24" s="417">
        <f t="shared" si="0"/>
        <v>2018</v>
      </c>
      <c r="C24" s="455">
        <v>0.59</v>
      </c>
      <c r="D24" s="455">
        <v>0.44</v>
      </c>
      <c r="E24" s="455">
        <v>0.44</v>
      </c>
      <c r="F24" s="455">
        <v>0.56999999999999995</v>
      </c>
      <c r="G24" s="455">
        <v>0.56999999999999995</v>
      </c>
      <c r="H24" s="455">
        <v>0.73</v>
      </c>
      <c r="I24" s="455">
        <v>0.89</v>
      </c>
      <c r="J24" s="455">
        <v>0.56999999999999995</v>
      </c>
      <c r="K24" s="455">
        <v>0.97</v>
      </c>
      <c r="L24" s="455">
        <v>0.66</v>
      </c>
      <c r="M24" s="455">
        <v>0.95</v>
      </c>
      <c r="N24" s="455">
        <v>0</v>
      </c>
      <c r="O24" s="455">
        <v>0</v>
      </c>
      <c r="P24" s="455">
        <v>0</v>
      </c>
      <c r="S24" s="418"/>
      <c r="T24" s="420"/>
    </row>
    <row r="25" spans="2:20">
      <c r="B25" s="417">
        <f t="shared" si="0"/>
        <v>2019</v>
      </c>
      <c r="C25" s="455">
        <v>0.59</v>
      </c>
      <c r="D25" s="455">
        <v>0.44</v>
      </c>
      <c r="E25" s="455">
        <v>0.44</v>
      </c>
      <c r="F25" s="455">
        <v>0.56999999999999995</v>
      </c>
      <c r="G25" s="455">
        <v>0.56999999999999995</v>
      </c>
      <c r="H25" s="455">
        <v>0.73</v>
      </c>
      <c r="I25" s="455">
        <v>0.89</v>
      </c>
      <c r="J25" s="455">
        <v>0.56999999999999995</v>
      </c>
      <c r="K25" s="455">
        <v>0.97</v>
      </c>
      <c r="L25" s="455">
        <v>0.66</v>
      </c>
      <c r="M25" s="455">
        <v>0.95</v>
      </c>
      <c r="N25" s="455">
        <v>0</v>
      </c>
      <c r="O25" s="455">
        <v>0</v>
      </c>
      <c r="P25" s="455">
        <v>0</v>
      </c>
      <c r="S25" s="418"/>
      <c r="T25" s="420"/>
    </row>
    <row r="26" spans="2:20">
      <c r="B26" s="417">
        <f t="shared" si="0"/>
        <v>2020</v>
      </c>
      <c r="C26" s="455">
        <v>0.59</v>
      </c>
      <c r="D26" s="455">
        <v>0.44</v>
      </c>
      <c r="E26" s="455">
        <v>0.44</v>
      </c>
      <c r="F26" s="455">
        <v>0.56999999999999995</v>
      </c>
      <c r="G26" s="455">
        <v>0.56999999999999995</v>
      </c>
      <c r="H26" s="455">
        <v>0.73</v>
      </c>
      <c r="I26" s="455">
        <v>0.89</v>
      </c>
      <c r="J26" s="455">
        <v>0.56999999999999995</v>
      </c>
      <c r="K26" s="455">
        <v>0.97</v>
      </c>
      <c r="L26" s="455">
        <v>0.66</v>
      </c>
      <c r="M26" s="455">
        <v>0.95</v>
      </c>
      <c r="N26" s="455">
        <v>0</v>
      </c>
      <c r="O26" s="455">
        <v>0</v>
      </c>
      <c r="P26" s="455">
        <v>0</v>
      </c>
      <c r="S26" s="418"/>
      <c r="T26" s="420"/>
    </row>
    <row r="27" spans="2:20">
      <c r="B27" s="417">
        <f t="shared" si="0"/>
        <v>2021</v>
      </c>
      <c r="C27" s="455">
        <v>0.59</v>
      </c>
      <c r="D27" s="455">
        <v>0.44</v>
      </c>
      <c r="E27" s="455">
        <v>0.44</v>
      </c>
      <c r="F27" s="455">
        <v>0.56999999999999995</v>
      </c>
      <c r="G27" s="455">
        <v>0.56999999999999995</v>
      </c>
      <c r="H27" s="455">
        <v>0.73</v>
      </c>
      <c r="I27" s="455">
        <v>0.89</v>
      </c>
      <c r="J27" s="455">
        <v>0.56999999999999995</v>
      </c>
      <c r="K27" s="455">
        <v>0.97</v>
      </c>
      <c r="L27" s="455">
        <v>0.66</v>
      </c>
      <c r="M27" s="455">
        <v>0.95</v>
      </c>
      <c r="N27" s="455">
        <v>0</v>
      </c>
      <c r="O27" s="455">
        <v>0</v>
      </c>
      <c r="P27" s="455">
        <v>0</v>
      </c>
      <c r="S27" s="421"/>
      <c r="T27" s="420"/>
    </row>
    <row r="28" spans="2:20">
      <c r="B28" s="417">
        <f t="shared" si="0"/>
        <v>2022</v>
      </c>
      <c r="C28" s="455">
        <v>0.59</v>
      </c>
      <c r="D28" s="455">
        <v>0.44</v>
      </c>
      <c r="E28" s="455">
        <v>0.44</v>
      </c>
      <c r="F28" s="455">
        <v>0.56999999999999995</v>
      </c>
      <c r="G28" s="455">
        <v>0.56999999999999995</v>
      </c>
      <c r="H28" s="455">
        <v>0.73</v>
      </c>
      <c r="I28" s="455">
        <v>0.89</v>
      </c>
      <c r="J28" s="455">
        <v>0.56999999999999995</v>
      </c>
      <c r="K28" s="455">
        <v>0.97</v>
      </c>
      <c r="L28" s="455">
        <v>0.66</v>
      </c>
      <c r="M28" s="455">
        <v>0.95</v>
      </c>
      <c r="N28" s="455">
        <v>0</v>
      </c>
      <c r="O28" s="455">
        <v>0</v>
      </c>
      <c r="P28" s="455">
        <v>0</v>
      </c>
    </row>
    <row r="29" spans="2:20">
      <c r="B29" s="417">
        <f t="shared" si="0"/>
        <v>2023</v>
      </c>
      <c r="C29" s="455">
        <v>0.59</v>
      </c>
      <c r="D29" s="455">
        <v>0.44</v>
      </c>
      <c r="E29" s="455">
        <v>0.44</v>
      </c>
      <c r="F29" s="455">
        <v>0.56999999999999995</v>
      </c>
      <c r="G29" s="455">
        <v>0.56999999999999995</v>
      </c>
      <c r="H29" s="455">
        <v>0.73</v>
      </c>
      <c r="I29" s="455">
        <v>0.89</v>
      </c>
      <c r="J29" s="455">
        <v>0.56999999999999995</v>
      </c>
      <c r="K29" s="455">
        <v>0.97</v>
      </c>
      <c r="L29" s="455">
        <v>0.66</v>
      </c>
      <c r="M29" s="455">
        <v>0.95</v>
      </c>
      <c r="N29" s="455">
        <v>0</v>
      </c>
      <c r="O29" s="455">
        <v>0</v>
      </c>
      <c r="P29" s="455">
        <v>0</v>
      </c>
    </row>
    <row r="30" spans="2:20">
      <c r="B30" s="417">
        <f t="shared" si="0"/>
        <v>2024</v>
      </c>
      <c r="C30" s="455">
        <v>0.59</v>
      </c>
      <c r="D30" s="455">
        <v>0.44</v>
      </c>
      <c r="E30" s="455">
        <v>0.44</v>
      </c>
      <c r="F30" s="455">
        <v>0.56999999999999995</v>
      </c>
      <c r="G30" s="455">
        <v>0.56999999999999995</v>
      </c>
      <c r="H30" s="455">
        <v>0.73</v>
      </c>
      <c r="I30" s="455">
        <v>0.89</v>
      </c>
      <c r="J30" s="455">
        <v>0.56999999999999995</v>
      </c>
      <c r="K30" s="455">
        <v>0.97</v>
      </c>
      <c r="L30" s="455">
        <v>0.66</v>
      </c>
      <c r="M30" s="455">
        <v>0.95</v>
      </c>
      <c r="N30" s="455">
        <v>0</v>
      </c>
      <c r="O30" s="455">
        <v>0</v>
      </c>
      <c r="P30" s="455">
        <v>0</v>
      </c>
    </row>
    <row r="31" spans="2:20">
      <c r="B31" s="417">
        <f t="shared" si="0"/>
        <v>2025</v>
      </c>
      <c r="C31" s="455">
        <v>0.59</v>
      </c>
      <c r="D31" s="455">
        <v>0.44</v>
      </c>
      <c r="E31" s="455">
        <v>0.44</v>
      </c>
      <c r="F31" s="455">
        <v>0.56999999999999995</v>
      </c>
      <c r="G31" s="455">
        <v>0.56999999999999995</v>
      </c>
      <c r="H31" s="455">
        <v>0.73</v>
      </c>
      <c r="I31" s="455">
        <v>0.89</v>
      </c>
      <c r="J31" s="455">
        <v>0.56999999999999995</v>
      </c>
      <c r="K31" s="455">
        <v>0.97</v>
      </c>
      <c r="L31" s="455">
        <v>0.66</v>
      </c>
      <c r="M31" s="455">
        <v>0.95</v>
      </c>
      <c r="N31" s="455">
        <v>0</v>
      </c>
      <c r="O31" s="455">
        <v>0</v>
      </c>
      <c r="P31" s="455">
        <v>0</v>
      </c>
    </row>
    <row r="32" spans="2:20">
      <c r="B32" s="417">
        <f t="shared" si="0"/>
        <v>2026</v>
      </c>
      <c r="C32" s="455">
        <v>0.59</v>
      </c>
      <c r="D32" s="455">
        <v>0.44</v>
      </c>
      <c r="E32" s="455">
        <v>0.44</v>
      </c>
      <c r="F32" s="455">
        <v>0.56999999999999995</v>
      </c>
      <c r="G32" s="455">
        <v>0.56999999999999995</v>
      </c>
      <c r="H32" s="455">
        <v>0.73</v>
      </c>
      <c r="I32" s="455">
        <v>0.89</v>
      </c>
      <c r="J32" s="455">
        <v>0.56999999999999995</v>
      </c>
      <c r="K32" s="455">
        <v>0.97</v>
      </c>
      <c r="L32" s="455">
        <v>0.66</v>
      </c>
      <c r="M32" s="455">
        <v>0.95</v>
      </c>
      <c r="N32" s="455">
        <v>0</v>
      </c>
      <c r="O32" s="455">
        <v>0</v>
      </c>
      <c r="P32" s="455">
        <v>0</v>
      </c>
    </row>
    <row r="33" spans="2:16">
      <c r="B33" s="417">
        <f t="shared" si="0"/>
        <v>2027</v>
      </c>
      <c r="C33" s="455">
        <v>0.59</v>
      </c>
      <c r="D33" s="455">
        <v>0.44</v>
      </c>
      <c r="E33" s="455">
        <v>0.44</v>
      </c>
      <c r="F33" s="455">
        <v>0.56999999999999995</v>
      </c>
      <c r="G33" s="455">
        <v>0.56999999999999995</v>
      </c>
      <c r="H33" s="455">
        <v>0.73</v>
      </c>
      <c r="I33" s="455">
        <v>0.89</v>
      </c>
      <c r="J33" s="455">
        <v>0.56999999999999995</v>
      </c>
      <c r="K33" s="455">
        <v>0.97</v>
      </c>
      <c r="L33" s="455">
        <v>0.66</v>
      </c>
      <c r="M33" s="455">
        <v>0.95</v>
      </c>
      <c r="N33" s="455">
        <v>0</v>
      </c>
      <c r="O33" s="455">
        <v>0</v>
      </c>
      <c r="P33" s="455">
        <v>0</v>
      </c>
    </row>
    <row r="34" spans="2:16">
      <c r="B34" s="417">
        <f t="shared" si="0"/>
        <v>2028</v>
      </c>
      <c r="C34" s="455">
        <v>0.59</v>
      </c>
      <c r="D34" s="455">
        <v>0.44</v>
      </c>
      <c r="E34" s="455">
        <v>0.44</v>
      </c>
      <c r="F34" s="455">
        <v>0.56999999999999995</v>
      </c>
      <c r="G34" s="455">
        <v>0.56999999999999995</v>
      </c>
      <c r="H34" s="455">
        <v>0.73</v>
      </c>
      <c r="I34" s="455">
        <v>0.89</v>
      </c>
      <c r="J34" s="455">
        <v>0.56999999999999995</v>
      </c>
      <c r="K34" s="455">
        <v>0.97</v>
      </c>
      <c r="L34" s="455">
        <v>0.66</v>
      </c>
      <c r="M34" s="455">
        <v>0.95</v>
      </c>
      <c r="N34" s="455">
        <v>0</v>
      </c>
      <c r="O34" s="455">
        <v>0</v>
      </c>
      <c r="P34" s="455">
        <v>0</v>
      </c>
    </row>
    <row r="35" spans="2:16">
      <c r="B35" s="417">
        <f t="shared" si="0"/>
        <v>2029</v>
      </c>
      <c r="C35" s="455">
        <v>0.59</v>
      </c>
      <c r="D35" s="455">
        <v>0.44</v>
      </c>
      <c r="E35" s="455">
        <v>0.44</v>
      </c>
      <c r="F35" s="455">
        <v>0.56999999999999995</v>
      </c>
      <c r="G35" s="455">
        <v>0.56999999999999995</v>
      </c>
      <c r="H35" s="455">
        <v>0.73</v>
      </c>
      <c r="I35" s="455">
        <v>0.89</v>
      </c>
      <c r="J35" s="455">
        <v>0.56999999999999995</v>
      </c>
      <c r="K35" s="455">
        <v>0.97</v>
      </c>
      <c r="L35" s="455">
        <v>0.66</v>
      </c>
      <c r="M35" s="455">
        <v>0.95</v>
      </c>
      <c r="N35" s="455">
        <v>0</v>
      </c>
      <c r="O35" s="455">
        <v>0</v>
      </c>
      <c r="P35" s="455">
        <v>0</v>
      </c>
    </row>
    <row r="36" spans="2:16">
      <c r="B36" s="417">
        <f t="shared" si="0"/>
        <v>2030</v>
      </c>
      <c r="C36" s="455">
        <v>0.59</v>
      </c>
      <c r="D36" s="455">
        <v>0.44</v>
      </c>
      <c r="E36" s="455">
        <v>0.44</v>
      </c>
      <c r="F36" s="455">
        <v>0.56999999999999995</v>
      </c>
      <c r="G36" s="455">
        <v>0.56999999999999995</v>
      </c>
      <c r="H36" s="455">
        <v>0.73</v>
      </c>
      <c r="I36" s="455">
        <v>0.89</v>
      </c>
      <c r="J36" s="455">
        <v>0.56999999999999995</v>
      </c>
      <c r="K36" s="455">
        <v>0.97</v>
      </c>
      <c r="L36" s="455">
        <v>0.66</v>
      </c>
      <c r="M36" s="455">
        <v>0.95</v>
      </c>
      <c r="N36" s="455">
        <v>0</v>
      </c>
      <c r="O36" s="455">
        <v>0</v>
      </c>
      <c r="P36" s="455">
        <v>0</v>
      </c>
    </row>
    <row r="37" spans="2:16">
      <c r="B37" s="417">
        <f t="shared" si="0"/>
        <v>2031</v>
      </c>
      <c r="C37" s="455">
        <v>0.59</v>
      </c>
      <c r="D37" s="455">
        <v>0.44</v>
      </c>
      <c r="E37" s="455">
        <v>0.44</v>
      </c>
      <c r="F37" s="455">
        <v>0.56999999999999995</v>
      </c>
      <c r="G37" s="455">
        <v>0.56999999999999995</v>
      </c>
      <c r="H37" s="455">
        <v>0.73</v>
      </c>
      <c r="I37" s="455">
        <v>0.89</v>
      </c>
      <c r="J37" s="455">
        <v>0.56999999999999995</v>
      </c>
      <c r="K37" s="455">
        <v>0.97</v>
      </c>
      <c r="L37" s="455">
        <v>0.66</v>
      </c>
      <c r="M37" s="455">
        <v>0.95</v>
      </c>
      <c r="N37" s="455">
        <v>0</v>
      </c>
      <c r="O37" s="455">
        <v>0</v>
      </c>
      <c r="P37" s="455">
        <v>0</v>
      </c>
    </row>
    <row r="38" spans="2:16">
      <c r="B38" s="417">
        <f t="shared" si="0"/>
        <v>2032</v>
      </c>
      <c r="C38" s="455">
        <v>0.59</v>
      </c>
      <c r="D38" s="455">
        <v>0.44</v>
      </c>
      <c r="E38" s="455">
        <v>0.44</v>
      </c>
      <c r="F38" s="455">
        <v>0.56999999999999995</v>
      </c>
      <c r="G38" s="455">
        <v>0.56999999999999995</v>
      </c>
      <c r="H38" s="455">
        <v>0.73</v>
      </c>
      <c r="I38" s="455">
        <v>0.89</v>
      </c>
      <c r="J38" s="455">
        <v>0.56999999999999995</v>
      </c>
      <c r="K38" s="455">
        <v>0.97</v>
      </c>
      <c r="L38" s="455">
        <v>0.66</v>
      </c>
      <c r="M38" s="455">
        <v>0.95</v>
      </c>
      <c r="N38" s="455">
        <v>0</v>
      </c>
      <c r="O38" s="455">
        <v>0</v>
      </c>
      <c r="P38" s="455">
        <v>0</v>
      </c>
    </row>
    <row r="39" spans="2:16">
      <c r="B39" s="417">
        <f t="shared" si="0"/>
        <v>2033</v>
      </c>
      <c r="C39" s="455">
        <v>0.59</v>
      </c>
      <c r="D39" s="455">
        <v>0.44</v>
      </c>
      <c r="E39" s="455">
        <v>0.44</v>
      </c>
      <c r="F39" s="455">
        <v>0.56999999999999995</v>
      </c>
      <c r="G39" s="455">
        <v>0.56999999999999995</v>
      </c>
      <c r="H39" s="455">
        <v>0.73</v>
      </c>
      <c r="I39" s="455">
        <v>0.89</v>
      </c>
      <c r="J39" s="455">
        <v>0.56999999999999995</v>
      </c>
      <c r="K39" s="455">
        <v>0.97</v>
      </c>
      <c r="L39" s="455">
        <v>0.66</v>
      </c>
      <c r="M39" s="455">
        <v>0.95</v>
      </c>
      <c r="N39" s="455">
        <v>0</v>
      </c>
      <c r="O39" s="455">
        <v>0</v>
      </c>
      <c r="P39" s="455">
        <v>0</v>
      </c>
    </row>
    <row r="40" spans="2:16">
      <c r="B40" s="417">
        <f t="shared" si="0"/>
        <v>2034</v>
      </c>
      <c r="C40" s="455">
        <v>0.59</v>
      </c>
      <c r="D40" s="455">
        <v>0.44</v>
      </c>
      <c r="E40" s="455">
        <v>0.44</v>
      </c>
      <c r="F40" s="455">
        <v>0.56999999999999995</v>
      </c>
      <c r="G40" s="455">
        <v>0.56999999999999995</v>
      </c>
      <c r="H40" s="455">
        <v>0.73</v>
      </c>
      <c r="I40" s="455">
        <v>0.89</v>
      </c>
      <c r="J40" s="455">
        <v>0.56999999999999995</v>
      </c>
      <c r="K40" s="455">
        <v>0.97</v>
      </c>
      <c r="L40" s="455">
        <v>0.66</v>
      </c>
      <c r="M40" s="455">
        <v>0.95</v>
      </c>
      <c r="N40" s="455">
        <v>0</v>
      </c>
      <c r="O40" s="455">
        <v>0</v>
      </c>
      <c r="P40" s="455">
        <v>0</v>
      </c>
    </row>
    <row r="41" spans="2:16">
      <c r="B41" s="417">
        <f t="shared" si="0"/>
        <v>2035</v>
      </c>
      <c r="C41" s="455">
        <v>0.59</v>
      </c>
      <c r="D41" s="455">
        <v>0.44</v>
      </c>
      <c r="E41" s="455">
        <v>0.44</v>
      </c>
      <c r="F41" s="455">
        <v>0.56999999999999995</v>
      </c>
      <c r="G41" s="455">
        <v>0.56999999999999995</v>
      </c>
      <c r="H41" s="455">
        <v>0.73</v>
      </c>
      <c r="I41" s="455">
        <v>0.89</v>
      </c>
      <c r="J41" s="455">
        <v>0.56999999999999995</v>
      </c>
      <c r="K41" s="455">
        <v>0.97</v>
      </c>
      <c r="L41" s="455">
        <v>0.66</v>
      </c>
      <c r="M41" s="455">
        <v>0.95</v>
      </c>
      <c r="N41" s="455">
        <v>0</v>
      </c>
      <c r="O41" s="455">
        <v>0</v>
      </c>
      <c r="P41" s="455">
        <v>0</v>
      </c>
    </row>
    <row r="42" spans="2:16">
      <c r="B42" s="417">
        <f t="shared" si="0"/>
        <v>2036</v>
      </c>
      <c r="C42" s="455">
        <v>0.59</v>
      </c>
      <c r="D42" s="455">
        <v>0.44</v>
      </c>
      <c r="E42" s="455">
        <v>0.44</v>
      </c>
      <c r="F42" s="455">
        <v>0.56999999999999995</v>
      </c>
      <c r="G42" s="455">
        <v>0.56999999999999995</v>
      </c>
      <c r="H42" s="455">
        <v>0.73</v>
      </c>
      <c r="I42" s="455">
        <v>0.89</v>
      </c>
      <c r="J42" s="455">
        <v>0.56999999999999995</v>
      </c>
      <c r="K42" s="455">
        <v>0.97</v>
      </c>
      <c r="L42" s="455">
        <v>0.66</v>
      </c>
      <c r="M42" s="455">
        <v>0.95</v>
      </c>
      <c r="N42" s="455">
        <v>0</v>
      </c>
      <c r="O42" s="455">
        <v>0</v>
      </c>
      <c r="P42" s="455">
        <v>0</v>
      </c>
    </row>
    <row r="43" spans="2:16">
      <c r="B43" s="417">
        <f t="shared" si="0"/>
        <v>2037</v>
      </c>
      <c r="C43" s="455">
        <v>0.59</v>
      </c>
      <c r="D43" s="455">
        <v>0.44</v>
      </c>
      <c r="E43" s="455">
        <v>0.44</v>
      </c>
      <c r="F43" s="455">
        <v>0.56999999999999995</v>
      </c>
      <c r="G43" s="455">
        <v>0.56999999999999995</v>
      </c>
      <c r="H43" s="455">
        <v>0.73</v>
      </c>
      <c r="I43" s="455">
        <v>0.89</v>
      </c>
      <c r="J43" s="455">
        <v>0.56999999999999995</v>
      </c>
      <c r="K43" s="455">
        <v>0.97</v>
      </c>
      <c r="L43" s="455">
        <v>0.66</v>
      </c>
      <c r="M43" s="455">
        <v>0.95</v>
      </c>
      <c r="N43" s="455">
        <v>0</v>
      </c>
      <c r="O43" s="455">
        <v>0</v>
      </c>
      <c r="P43" s="455">
        <v>0</v>
      </c>
    </row>
    <row r="44" spans="2:16">
      <c r="B44" s="417">
        <f t="shared" si="0"/>
        <v>2038</v>
      </c>
      <c r="C44" s="455">
        <v>0.59</v>
      </c>
      <c r="D44" s="455">
        <v>0.44</v>
      </c>
      <c r="E44" s="455">
        <v>0.44</v>
      </c>
      <c r="F44" s="455">
        <v>0.56999999999999995</v>
      </c>
      <c r="G44" s="455">
        <v>0.56999999999999995</v>
      </c>
      <c r="H44" s="455">
        <v>0.73</v>
      </c>
      <c r="I44" s="455">
        <v>0.89</v>
      </c>
      <c r="J44" s="455">
        <v>0.56999999999999995</v>
      </c>
      <c r="K44" s="455">
        <v>0.97</v>
      </c>
      <c r="L44" s="455">
        <v>0.66</v>
      </c>
      <c r="M44" s="455">
        <v>0.95</v>
      </c>
      <c r="N44" s="455">
        <v>0</v>
      </c>
      <c r="O44" s="455">
        <v>0</v>
      </c>
      <c r="P44" s="455">
        <v>0</v>
      </c>
    </row>
    <row r="45" spans="2:16">
      <c r="B45" s="417">
        <f t="shared" si="0"/>
        <v>2039</v>
      </c>
      <c r="C45" s="455">
        <v>0.59</v>
      </c>
      <c r="D45" s="455">
        <v>0.44</v>
      </c>
      <c r="E45" s="455">
        <v>0.44</v>
      </c>
      <c r="F45" s="455">
        <v>0.56999999999999995</v>
      </c>
      <c r="G45" s="455">
        <v>0.56999999999999995</v>
      </c>
      <c r="H45" s="455">
        <v>0.73</v>
      </c>
      <c r="I45" s="455">
        <v>0.89</v>
      </c>
      <c r="J45" s="455">
        <v>0.56999999999999995</v>
      </c>
      <c r="K45" s="455">
        <v>0.97</v>
      </c>
      <c r="L45" s="455">
        <v>0.66</v>
      </c>
      <c r="M45" s="455">
        <v>0.95</v>
      </c>
      <c r="N45" s="455">
        <v>0</v>
      </c>
      <c r="O45" s="455">
        <v>0</v>
      </c>
      <c r="P45" s="455">
        <v>0</v>
      </c>
    </row>
    <row r="46" spans="2:16">
      <c r="B46" s="417">
        <f t="shared" si="0"/>
        <v>2040</v>
      </c>
      <c r="C46" s="455">
        <v>0.59</v>
      </c>
      <c r="D46" s="455">
        <v>0.44</v>
      </c>
      <c r="E46" s="455">
        <v>0.44</v>
      </c>
      <c r="F46" s="455">
        <v>0.56999999999999995</v>
      </c>
      <c r="G46" s="455">
        <v>0.56999999999999995</v>
      </c>
      <c r="H46" s="455">
        <v>0.73</v>
      </c>
      <c r="I46" s="455">
        <v>0.89</v>
      </c>
      <c r="J46" s="455">
        <v>0.56999999999999995</v>
      </c>
      <c r="K46" s="455">
        <v>0.97</v>
      </c>
      <c r="L46" s="455">
        <v>0.66</v>
      </c>
      <c r="M46" s="455">
        <v>0.95</v>
      </c>
      <c r="N46" s="455">
        <v>0</v>
      </c>
      <c r="O46" s="455">
        <v>0</v>
      </c>
      <c r="P46" s="455">
        <v>0</v>
      </c>
    </row>
    <row r="47" spans="2:16">
      <c r="B47" s="417">
        <f t="shared" si="0"/>
        <v>2041</v>
      </c>
      <c r="C47" s="455">
        <v>0.59</v>
      </c>
      <c r="D47" s="455">
        <v>0.44</v>
      </c>
      <c r="E47" s="455">
        <v>0.44</v>
      </c>
      <c r="F47" s="455">
        <v>0.56999999999999995</v>
      </c>
      <c r="G47" s="455">
        <v>0.56999999999999995</v>
      </c>
      <c r="H47" s="455">
        <v>0.73</v>
      </c>
      <c r="I47" s="455">
        <v>0.89</v>
      </c>
      <c r="J47" s="455">
        <v>0.56999999999999995</v>
      </c>
      <c r="K47" s="455">
        <v>0.97</v>
      </c>
      <c r="L47" s="455">
        <v>0.66</v>
      </c>
      <c r="M47" s="455">
        <v>0.95</v>
      </c>
      <c r="N47" s="455">
        <v>0</v>
      </c>
      <c r="O47" s="455">
        <v>0</v>
      </c>
      <c r="P47" s="455">
        <v>0</v>
      </c>
    </row>
    <row r="48" spans="2:16">
      <c r="B48" s="417">
        <f t="shared" si="0"/>
        <v>2042</v>
      </c>
      <c r="C48" s="455">
        <v>0.59</v>
      </c>
      <c r="D48" s="455">
        <v>0.44</v>
      </c>
      <c r="E48" s="455">
        <v>0.44</v>
      </c>
      <c r="F48" s="455">
        <v>0.56999999999999995</v>
      </c>
      <c r="G48" s="455">
        <v>0.56999999999999995</v>
      </c>
      <c r="H48" s="455">
        <v>0.73</v>
      </c>
      <c r="I48" s="455">
        <v>0.89</v>
      </c>
      <c r="J48" s="455">
        <v>0.56999999999999995</v>
      </c>
      <c r="K48" s="455">
        <v>0.97</v>
      </c>
      <c r="L48" s="455">
        <v>0.66</v>
      </c>
      <c r="M48" s="455">
        <v>0.95</v>
      </c>
      <c r="N48" s="455">
        <v>0</v>
      </c>
      <c r="O48" s="455">
        <v>0</v>
      </c>
      <c r="P48" s="455">
        <v>0</v>
      </c>
    </row>
    <row r="49" spans="2:16">
      <c r="B49" s="417">
        <f t="shared" si="0"/>
        <v>2043</v>
      </c>
      <c r="C49" s="455">
        <v>0.59</v>
      </c>
      <c r="D49" s="455">
        <v>0.44</v>
      </c>
      <c r="E49" s="455">
        <v>0.44</v>
      </c>
      <c r="F49" s="455">
        <v>0.56999999999999995</v>
      </c>
      <c r="G49" s="455">
        <v>0.56999999999999995</v>
      </c>
      <c r="H49" s="455">
        <v>0.73</v>
      </c>
      <c r="I49" s="455">
        <v>0.89</v>
      </c>
      <c r="J49" s="455">
        <v>0.56999999999999995</v>
      </c>
      <c r="K49" s="455">
        <v>0.97</v>
      </c>
      <c r="L49" s="455">
        <v>0.66</v>
      </c>
      <c r="M49" s="455">
        <v>0.95</v>
      </c>
      <c r="N49" s="455">
        <v>0</v>
      </c>
      <c r="O49" s="455">
        <v>0</v>
      </c>
      <c r="P49" s="455">
        <v>0</v>
      </c>
    </row>
    <row r="50" spans="2:16">
      <c r="B50" s="417">
        <f t="shared" si="0"/>
        <v>2044</v>
      </c>
      <c r="C50" s="455">
        <v>0.59</v>
      </c>
      <c r="D50" s="455">
        <v>0.44</v>
      </c>
      <c r="E50" s="455">
        <v>0.44</v>
      </c>
      <c r="F50" s="455">
        <v>0.56999999999999995</v>
      </c>
      <c r="G50" s="455">
        <v>0.56999999999999995</v>
      </c>
      <c r="H50" s="455">
        <v>0.73</v>
      </c>
      <c r="I50" s="455">
        <v>0.89</v>
      </c>
      <c r="J50" s="455">
        <v>0.56999999999999995</v>
      </c>
      <c r="K50" s="455">
        <v>0.97</v>
      </c>
      <c r="L50" s="455">
        <v>0.66</v>
      </c>
      <c r="M50" s="455">
        <v>0.95</v>
      </c>
      <c r="N50" s="455">
        <v>0</v>
      </c>
      <c r="O50" s="455">
        <v>0</v>
      </c>
      <c r="P50" s="455">
        <v>0</v>
      </c>
    </row>
    <row r="51" spans="2:16">
      <c r="B51" s="417">
        <f t="shared" si="0"/>
        <v>2045</v>
      </c>
      <c r="C51" s="455">
        <v>0.59</v>
      </c>
      <c r="D51" s="455">
        <v>0.44</v>
      </c>
      <c r="E51" s="455">
        <v>0.44</v>
      </c>
      <c r="F51" s="455">
        <v>0.56999999999999995</v>
      </c>
      <c r="G51" s="455">
        <v>0.56999999999999995</v>
      </c>
      <c r="H51" s="455">
        <v>0.73</v>
      </c>
      <c r="I51" s="455">
        <v>0.89</v>
      </c>
      <c r="J51" s="455">
        <v>0.56999999999999995</v>
      </c>
      <c r="K51" s="455">
        <v>0.97</v>
      </c>
      <c r="L51" s="455">
        <v>0.66</v>
      </c>
      <c r="M51" s="455">
        <v>0.95</v>
      </c>
      <c r="N51" s="455">
        <v>0</v>
      </c>
      <c r="O51" s="455">
        <v>0</v>
      </c>
      <c r="P51" s="455">
        <v>0</v>
      </c>
    </row>
    <row r="52" spans="2:16">
      <c r="B52" s="417">
        <f t="shared" si="0"/>
        <v>2046</v>
      </c>
      <c r="C52" s="455">
        <v>0.59</v>
      </c>
      <c r="D52" s="455">
        <v>0.44</v>
      </c>
      <c r="E52" s="455">
        <v>0.44</v>
      </c>
      <c r="F52" s="455">
        <v>0.56999999999999995</v>
      </c>
      <c r="G52" s="455">
        <v>0.56999999999999995</v>
      </c>
      <c r="H52" s="455">
        <v>0.73</v>
      </c>
      <c r="I52" s="455">
        <v>0.89</v>
      </c>
      <c r="J52" s="455">
        <v>0.56999999999999995</v>
      </c>
      <c r="K52" s="455">
        <v>0.97</v>
      </c>
      <c r="L52" s="455">
        <v>0.66</v>
      </c>
      <c r="M52" s="455">
        <v>0.95</v>
      </c>
      <c r="N52" s="455">
        <v>0</v>
      </c>
      <c r="O52" s="455">
        <v>0</v>
      </c>
      <c r="P52" s="455">
        <v>0</v>
      </c>
    </row>
    <row r="53" spans="2:16">
      <c r="B53" s="417">
        <f t="shared" si="0"/>
        <v>2047</v>
      </c>
      <c r="C53" s="455">
        <v>0.59</v>
      </c>
      <c r="D53" s="455">
        <v>0.44</v>
      </c>
      <c r="E53" s="455">
        <v>0.44</v>
      </c>
      <c r="F53" s="455">
        <v>0.56999999999999995</v>
      </c>
      <c r="G53" s="455">
        <v>0.56999999999999995</v>
      </c>
      <c r="H53" s="455">
        <v>0.73</v>
      </c>
      <c r="I53" s="455">
        <v>0.89</v>
      </c>
      <c r="J53" s="455">
        <v>0.56999999999999995</v>
      </c>
      <c r="K53" s="455">
        <v>0.97</v>
      </c>
      <c r="L53" s="455">
        <v>0.66</v>
      </c>
      <c r="M53" s="455">
        <v>0.95</v>
      </c>
      <c r="N53" s="455">
        <v>0</v>
      </c>
      <c r="O53" s="455">
        <v>0</v>
      </c>
      <c r="P53" s="455">
        <v>0</v>
      </c>
    </row>
    <row r="54" spans="2:16">
      <c r="B54" s="417">
        <f t="shared" si="0"/>
        <v>2048</v>
      </c>
      <c r="C54" s="455">
        <v>0.59</v>
      </c>
      <c r="D54" s="455">
        <v>0.44</v>
      </c>
      <c r="E54" s="455">
        <v>0.44</v>
      </c>
      <c r="F54" s="455">
        <v>0.56999999999999995</v>
      </c>
      <c r="G54" s="455">
        <v>0.56999999999999995</v>
      </c>
      <c r="H54" s="455">
        <v>0.73</v>
      </c>
      <c r="I54" s="455">
        <v>0.89</v>
      </c>
      <c r="J54" s="455">
        <v>0.56999999999999995</v>
      </c>
      <c r="K54" s="455">
        <v>0.97</v>
      </c>
      <c r="L54" s="455">
        <v>0.66</v>
      </c>
      <c r="M54" s="455">
        <v>0.95</v>
      </c>
      <c r="N54" s="455">
        <v>0</v>
      </c>
      <c r="O54" s="455">
        <v>0</v>
      </c>
      <c r="P54" s="455">
        <v>0</v>
      </c>
    </row>
    <row r="55" spans="2:16">
      <c r="B55" s="417">
        <f t="shared" si="0"/>
        <v>2049</v>
      </c>
      <c r="C55" s="455">
        <v>0.59</v>
      </c>
      <c r="D55" s="455">
        <v>0.44</v>
      </c>
      <c r="E55" s="455">
        <v>0.44</v>
      </c>
      <c r="F55" s="455">
        <v>0.56999999999999995</v>
      </c>
      <c r="G55" s="455">
        <v>0.56999999999999995</v>
      </c>
      <c r="H55" s="455">
        <v>0.73</v>
      </c>
      <c r="I55" s="455">
        <v>0.89</v>
      </c>
      <c r="J55" s="455">
        <v>0.56999999999999995</v>
      </c>
      <c r="K55" s="455">
        <v>0.97</v>
      </c>
      <c r="L55" s="455">
        <v>0.66</v>
      </c>
      <c r="M55" s="455">
        <v>0.95</v>
      </c>
      <c r="N55" s="455">
        <v>0</v>
      </c>
      <c r="O55" s="455">
        <v>0</v>
      </c>
      <c r="P55" s="455">
        <v>0</v>
      </c>
    </row>
    <row r="56" spans="2:16">
      <c r="B56" s="417">
        <f t="shared" si="0"/>
        <v>2050</v>
      </c>
      <c r="C56" s="455">
        <v>0.59</v>
      </c>
      <c r="D56" s="455">
        <v>0.44</v>
      </c>
      <c r="E56" s="455">
        <v>0.44</v>
      </c>
      <c r="F56" s="455">
        <v>0.56999999999999995</v>
      </c>
      <c r="G56" s="455">
        <v>0.56999999999999995</v>
      </c>
      <c r="H56" s="455">
        <v>0.73</v>
      </c>
      <c r="I56" s="455">
        <v>0.89</v>
      </c>
      <c r="J56" s="455">
        <v>0.56999999999999995</v>
      </c>
      <c r="K56" s="455">
        <v>0.97</v>
      </c>
      <c r="L56" s="455">
        <v>0.66</v>
      </c>
      <c r="M56" s="455">
        <v>0.95</v>
      </c>
      <c r="N56" s="455">
        <v>0</v>
      </c>
      <c r="O56" s="455">
        <v>0</v>
      </c>
      <c r="P56" s="455">
        <v>0</v>
      </c>
    </row>
    <row r="57" spans="2:16">
      <c r="B57" s="417">
        <f t="shared" si="0"/>
        <v>2051</v>
      </c>
      <c r="C57" s="455">
        <v>0.59</v>
      </c>
      <c r="D57" s="455">
        <v>0.44</v>
      </c>
      <c r="E57" s="455">
        <v>0.44</v>
      </c>
      <c r="F57" s="455">
        <v>0.56999999999999995</v>
      </c>
      <c r="G57" s="455">
        <v>0.56999999999999995</v>
      </c>
      <c r="H57" s="455">
        <v>0.73</v>
      </c>
      <c r="I57" s="455">
        <v>0.89</v>
      </c>
      <c r="J57" s="455">
        <v>0.56999999999999995</v>
      </c>
      <c r="K57" s="455">
        <v>0.97</v>
      </c>
      <c r="L57" s="455">
        <v>0.66</v>
      </c>
      <c r="M57" s="455">
        <v>0.95</v>
      </c>
      <c r="N57" s="455">
        <v>0</v>
      </c>
      <c r="O57" s="455">
        <v>0</v>
      </c>
      <c r="P57" s="455">
        <v>0</v>
      </c>
    </row>
    <row r="58" spans="2:16">
      <c r="B58" s="417">
        <f t="shared" si="0"/>
        <v>2052</v>
      </c>
      <c r="C58" s="455">
        <v>0.59</v>
      </c>
      <c r="D58" s="455">
        <v>0.44</v>
      </c>
      <c r="E58" s="455">
        <v>0.44</v>
      </c>
      <c r="F58" s="455">
        <v>0.56999999999999995</v>
      </c>
      <c r="G58" s="455">
        <v>0.56999999999999995</v>
      </c>
      <c r="H58" s="455">
        <v>0.73</v>
      </c>
      <c r="I58" s="455">
        <v>0.89</v>
      </c>
      <c r="J58" s="455">
        <v>0.56999999999999995</v>
      </c>
      <c r="K58" s="455">
        <v>0.97</v>
      </c>
      <c r="L58" s="455">
        <v>0.66</v>
      </c>
      <c r="M58" s="455">
        <v>0.95</v>
      </c>
      <c r="N58" s="455">
        <v>0</v>
      </c>
      <c r="O58" s="455">
        <v>0</v>
      </c>
      <c r="P58" s="455">
        <v>0</v>
      </c>
    </row>
    <row r="59" spans="2:16">
      <c r="B59" s="417">
        <f t="shared" si="0"/>
        <v>2053</v>
      </c>
      <c r="C59" s="455">
        <v>0.59</v>
      </c>
      <c r="D59" s="455">
        <v>0.44</v>
      </c>
      <c r="E59" s="455">
        <v>0.44</v>
      </c>
      <c r="F59" s="455">
        <v>0.56999999999999995</v>
      </c>
      <c r="G59" s="455">
        <v>0.56999999999999995</v>
      </c>
      <c r="H59" s="455">
        <v>0.73</v>
      </c>
      <c r="I59" s="455">
        <v>0.89</v>
      </c>
      <c r="J59" s="455">
        <v>0.56999999999999995</v>
      </c>
      <c r="K59" s="455">
        <v>0.97</v>
      </c>
      <c r="L59" s="455">
        <v>0.66</v>
      </c>
      <c r="M59" s="455">
        <v>0.95</v>
      </c>
      <c r="N59" s="455">
        <v>0</v>
      </c>
      <c r="O59" s="455">
        <v>0</v>
      </c>
      <c r="P59" s="455">
        <v>0</v>
      </c>
    </row>
    <row r="60" spans="2:16">
      <c r="B60" s="417">
        <f t="shared" si="0"/>
        <v>2054</v>
      </c>
      <c r="C60" s="455">
        <v>0.59</v>
      </c>
      <c r="D60" s="455">
        <v>0.44</v>
      </c>
      <c r="E60" s="455">
        <v>0.44</v>
      </c>
      <c r="F60" s="455">
        <v>0.56999999999999995</v>
      </c>
      <c r="G60" s="455">
        <v>0.56999999999999995</v>
      </c>
      <c r="H60" s="455">
        <v>0.73</v>
      </c>
      <c r="I60" s="455">
        <v>0.89</v>
      </c>
      <c r="J60" s="455">
        <v>0.56999999999999995</v>
      </c>
      <c r="K60" s="455">
        <v>0.97</v>
      </c>
      <c r="L60" s="455">
        <v>0.66</v>
      </c>
      <c r="M60" s="455">
        <v>0.95</v>
      </c>
      <c r="N60" s="455">
        <v>0</v>
      </c>
      <c r="O60" s="455">
        <v>0</v>
      </c>
      <c r="P60" s="455">
        <v>0</v>
      </c>
    </row>
    <row r="61" spans="2:16">
      <c r="B61" s="417">
        <f t="shared" si="0"/>
        <v>2055</v>
      </c>
      <c r="C61" s="455">
        <v>0.59</v>
      </c>
      <c r="D61" s="455">
        <v>0.44</v>
      </c>
      <c r="E61" s="455">
        <v>0.44</v>
      </c>
      <c r="F61" s="455">
        <v>0.56999999999999995</v>
      </c>
      <c r="G61" s="455">
        <v>0.56999999999999995</v>
      </c>
      <c r="H61" s="455">
        <v>0.73</v>
      </c>
      <c r="I61" s="455">
        <v>0.89</v>
      </c>
      <c r="J61" s="455">
        <v>0.56999999999999995</v>
      </c>
      <c r="K61" s="455">
        <v>0.97</v>
      </c>
      <c r="L61" s="455">
        <v>0.66</v>
      </c>
      <c r="M61" s="455">
        <v>0.95</v>
      </c>
      <c r="N61" s="455">
        <v>0</v>
      </c>
      <c r="O61" s="455">
        <v>0</v>
      </c>
      <c r="P61" s="455">
        <v>0</v>
      </c>
    </row>
    <row r="62" spans="2:16">
      <c r="B62" s="417">
        <f t="shared" si="0"/>
        <v>2056</v>
      </c>
      <c r="C62" s="455">
        <v>0.59</v>
      </c>
      <c r="D62" s="455">
        <v>0.44</v>
      </c>
      <c r="E62" s="455">
        <v>0.44</v>
      </c>
      <c r="F62" s="455">
        <v>0.56999999999999995</v>
      </c>
      <c r="G62" s="455">
        <v>0.56999999999999995</v>
      </c>
      <c r="H62" s="455">
        <v>0.73</v>
      </c>
      <c r="I62" s="455">
        <v>0.89</v>
      </c>
      <c r="J62" s="455">
        <v>0.56999999999999995</v>
      </c>
      <c r="K62" s="455">
        <v>0.97</v>
      </c>
      <c r="L62" s="455">
        <v>0.66</v>
      </c>
      <c r="M62" s="455">
        <v>0.95</v>
      </c>
      <c r="N62" s="455">
        <v>0</v>
      </c>
      <c r="O62" s="455">
        <v>0</v>
      </c>
      <c r="P62" s="455">
        <v>0</v>
      </c>
    </row>
    <row r="63" spans="2:16">
      <c r="B63" s="417">
        <f t="shared" si="0"/>
        <v>2057</v>
      </c>
      <c r="C63" s="455">
        <v>0.59</v>
      </c>
      <c r="D63" s="455">
        <v>0.44</v>
      </c>
      <c r="E63" s="455">
        <v>0.44</v>
      </c>
      <c r="F63" s="455">
        <v>0.56999999999999995</v>
      </c>
      <c r="G63" s="455">
        <v>0.56999999999999995</v>
      </c>
      <c r="H63" s="455">
        <v>0.73</v>
      </c>
      <c r="I63" s="455">
        <v>0.89</v>
      </c>
      <c r="J63" s="455">
        <v>0.56999999999999995</v>
      </c>
      <c r="K63" s="455">
        <v>0.97</v>
      </c>
      <c r="L63" s="455">
        <v>0.66</v>
      </c>
      <c r="M63" s="455">
        <v>0.95</v>
      </c>
      <c r="N63" s="455">
        <v>0</v>
      </c>
      <c r="O63" s="455">
        <v>0</v>
      </c>
      <c r="P63" s="455">
        <v>0</v>
      </c>
    </row>
    <row r="64" spans="2:16">
      <c r="B64" s="417">
        <f t="shared" si="0"/>
        <v>2058</v>
      </c>
      <c r="C64" s="455">
        <v>0.59</v>
      </c>
      <c r="D64" s="455">
        <v>0.44</v>
      </c>
      <c r="E64" s="455">
        <v>0.44</v>
      </c>
      <c r="F64" s="455">
        <v>0.56999999999999995</v>
      </c>
      <c r="G64" s="455">
        <v>0.56999999999999995</v>
      </c>
      <c r="H64" s="455">
        <v>0.73</v>
      </c>
      <c r="I64" s="455">
        <v>0.89</v>
      </c>
      <c r="J64" s="455">
        <v>0.56999999999999995</v>
      </c>
      <c r="K64" s="455">
        <v>0.97</v>
      </c>
      <c r="L64" s="455">
        <v>0.66</v>
      </c>
      <c r="M64" s="455">
        <v>0.95</v>
      </c>
      <c r="N64" s="455">
        <v>0</v>
      </c>
      <c r="O64" s="455">
        <v>0</v>
      </c>
      <c r="P64" s="455">
        <v>0</v>
      </c>
    </row>
    <row r="65" spans="2:16">
      <c r="B65" s="417">
        <f t="shared" si="0"/>
        <v>2059</v>
      </c>
      <c r="C65" s="455">
        <v>0.59</v>
      </c>
      <c r="D65" s="455">
        <v>0.44</v>
      </c>
      <c r="E65" s="455">
        <v>0.44</v>
      </c>
      <c r="F65" s="455">
        <v>0.56999999999999995</v>
      </c>
      <c r="G65" s="455">
        <v>0.56999999999999995</v>
      </c>
      <c r="H65" s="455">
        <v>0.73</v>
      </c>
      <c r="I65" s="455">
        <v>0.89</v>
      </c>
      <c r="J65" s="455">
        <v>0.56999999999999995</v>
      </c>
      <c r="K65" s="455">
        <v>0.97</v>
      </c>
      <c r="L65" s="455">
        <v>0.66</v>
      </c>
      <c r="M65" s="455">
        <v>0.95</v>
      </c>
      <c r="N65" s="455">
        <v>0</v>
      </c>
      <c r="O65" s="455">
        <v>0</v>
      </c>
      <c r="P65" s="455">
        <v>0</v>
      </c>
    </row>
    <row r="66" spans="2:16">
      <c r="B66" s="417">
        <f t="shared" si="0"/>
        <v>2060</v>
      </c>
      <c r="C66" s="455">
        <v>0.59</v>
      </c>
      <c r="D66" s="455">
        <v>0.44</v>
      </c>
      <c r="E66" s="455">
        <v>0.44</v>
      </c>
      <c r="F66" s="455">
        <v>0.56999999999999995</v>
      </c>
      <c r="G66" s="455">
        <v>0.56999999999999995</v>
      </c>
      <c r="H66" s="455">
        <v>0.73</v>
      </c>
      <c r="I66" s="455">
        <v>0.89</v>
      </c>
      <c r="J66" s="455">
        <v>0.56999999999999995</v>
      </c>
      <c r="K66" s="455">
        <v>0.97</v>
      </c>
      <c r="L66" s="455">
        <v>0.66</v>
      </c>
      <c r="M66" s="455">
        <v>0.95</v>
      </c>
      <c r="N66" s="455">
        <v>0</v>
      </c>
      <c r="O66" s="455">
        <v>0</v>
      </c>
      <c r="P66" s="455">
        <v>0</v>
      </c>
    </row>
    <row r="67" spans="2:16">
      <c r="B67" s="417">
        <f t="shared" si="0"/>
        <v>2061</v>
      </c>
      <c r="C67" s="455">
        <v>0.59</v>
      </c>
      <c r="D67" s="455">
        <v>0.44</v>
      </c>
      <c r="E67" s="455">
        <v>0.44</v>
      </c>
      <c r="F67" s="455">
        <v>0.56999999999999995</v>
      </c>
      <c r="G67" s="455">
        <v>0.56999999999999995</v>
      </c>
      <c r="H67" s="455">
        <v>0.73</v>
      </c>
      <c r="I67" s="455">
        <v>0.89</v>
      </c>
      <c r="J67" s="455">
        <v>0.56999999999999995</v>
      </c>
      <c r="K67" s="455">
        <v>0.97</v>
      </c>
      <c r="L67" s="455">
        <v>0.66</v>
      </c>
      <c r="M67" s="455">
        <v>0.95</v>
      </c>
      <c r="N67" s="455">
        <v>0</v>
      </c>
      <c r="O67" s="455">
        <v>0</v>
      </c>
      <c r="P67" s="455">
        <v>0</v>
      </c>
    </row>
    <row r="68" spans="2:16">
      <c r="B68" s="417">
        <f t="shared" si="0"/>
        <v>2062</v>
      </c>
      <c r="C68" s="455">
        <v>0.59</v>
      </c>
      <c r="D68" s="455">
        <v>0.44</v>
      </c>
      <c r="E68" s="455">
        <v>0.44</v>
      </c>
      <c r="F68" s="455">
        <v>0.56999999999999995</v>
      </c>
      <c r="G68" s="455">
        <v>0.56999999999999995</v>
      </c>
      <c r="H68" s="455">
        <v>0.73</v>
      </c>
      <c r="I68" s="455">
        <v>0.89</v>
      </c>
      <c r="J68" s="455">
        <v>0.56999999999999995</v>
      </c>
      <c r="K68" s="455">
        <v>0.97</v>
      </c>
      <c r="L68" s="455">
        <v>0.66</v>
      </c>
      <c r="M68" s="455">
        <v>0.95</v>
      </c>
      <c r="N68" s="455">
        <v>0</v>
      </c>
      <c r="O68" s="455">
        <v>0</v>
      </c>
      <c r="P68" s="455">
        <v>0</v>
      </c>
    </row>
    <row r="69" spans="2:16">
      <c r="B69" s="417">
        <f t="shared" si="0"/>
        <v>2063</v>
      </c>
      <c r="C69" s="455">
        <v>0.59</v>
      </c>
      <c r="D69" s="455">
        <v>0.44</v>
      </c>
      <c r="E69" s="455">
        <v>0.44</v>
      </c>
      <c r="F69" s="455">
        <v>0.56999999999999995</v>
      </c>
      <c r="G69" s="455">
        <v>0.56999999999999995</v>
      </c>
      <c r="H69" s="455">
        <v>0.73</v>
      </c>
      <c r="I69" s="455">
        <v>0.89</v>
      </c>
      <c r="J69" s="455">
        <v>0.56999999999999995</v>
      </c>
      <c r="K69" s="455">
        <v>0.97</v>
      </c>
      <c r="L69" s="455">
        <v>0.66</v>
      </c>
      <c r="M69" s="455">
        <v>0.95</v>
      </c>
      <c r="N69" s="455">
        <v>0</v>
      </c>
      <c r="O69" s="455">
        <v>0</v>
      </c>
      <c r="P69" s="455">
        <v>0</v>
      </c>
    </row>
    <row r="70" spans="2:16">
      <c r="B70" s="417">
        <f t="shared" si="0"/>
        <v>2064</v>
      </c>
      <c r="C70" s="455">
        <v>0.59</v>
      </c>
      <c r="D70" s="455">
        <v>0.44</v>
      </c>
      <c r="E70" s="455">
        <v>0.44</v>
      </c>
      <c r="F70" s="455">
        <v>0.56999999999999995</v>
      </c>
      <c r="G70" s="455">
        <v>0.56999999999999995</v>
      </c>
      <c r="H70" s="455">
        <v>0.73</v>
      </c>
      <c r="I70" s="455">
        <v>0.89</v>
      </c>
      <c r="J70" s="455">
        <v>0.56999999999999995</v>
      </c>
      <c r="K70" s="455">
        <v>0.97</v>
      </c>
      <c r="L70" s="455">
        <v>0.66</v>
      </c>
      <c r="M70" s="455">
        <v>0.95</v>
      </c>
      <c r="N70" s="455">
        <v>0</v>
      </c>
      <c r="O70" s="455">
        <v>0</v>
      </c>
      <c r="P70" s="455">
        <v>0</v>
      </c>
    </row>
    <row r="71" spans="2:16">
      <c r="B71" s="417">
        <f t="shared" si="0"/>
        <v>2065</v>
      </c>
      <c r="C71" s="455">
        <v>0.59</v>
      </c>
      <c r="D71" s="455">
        <v>0.44</v>
      </c>
      <c r="E71" s="455">
        <v>0.44</v>
      </c>
      <c r="F71" s="455">
        <v>0.56999999999999995</v>
      </c>
      <c r="G71" s="455">
        <v>0.56999999999999995</v>
      </c>
      <c r="H71" s="455">
        <v>0.73</v>
      </c>
      <c r="I71" s="455">
        <v>0.89</v>
      </c>
      <c r="J71" s="455">
        <v>0.56999999999999995</v>
      </c>
      <c r="K71" s="455">
        <v>0.97</v>
      </c>
      <c r="L71" s="455">
        <v>0.66</v>
      </c>
      <c r="M71" s="455">
        <v>0.95</v>
      </c>
      <c r="N71" s="455">
        <v>0</v>
      </c>
      <c r="O71" s="455">
        <v>0</v>
      </c>
      <c r="P71" s="455">
        <v>0</v>
      </c>
    </row>
    <row r="72" spans="2:16">
      <c r="B72" s="417">
        <f t="shared" ref="B72:B86" si="1">B71+1</f>
        <v>2066</v>
      </c>
      <c r="C72" s="455">
        <v>0.59</v>
      </c>
      <c r="D72" s="455">
        <v>0.44</v>
      </c>
      <c r="E72" s="455">
        <v>0.44</v>
      </c>
      <c r="F72" s="455">
        <v>0.56999999999999995</v>
      </c>
      <c r="G72" s="455">
        <v>0.56999999999999995</v>
      </c>
      <c r="H72" s="455">
        <v>0.73</v>
      </c>
      <c r="I72" s="455">
        <v>0.89</v>
      </c>
      <c r="J72" s="455">
        <v>0.56999999999999995</v>
      </c>
      <c r="K72" s="455">
        <v>0.97</v>
      </c>
      <c r="L72" s="455">
        <v>0.66</v>
      </c>
      <c r="M72" s="455">
        <v>0.95</v>
      </c>
      <c r="N72" s="455">
        <v>0</v>
      </c>
      <c r="O72" s="455">
        <v>0</v>
      </c>
      <c r="P72" s="455">
        <v>0</v>
      </c>
    </row>
    <row r="73" spans="2:16">
      <c r="B73" s="417">
        <f t="shared" si="1"/>
        <v>2067</v>
      </c>
      <c r="C73" s="455">
        <v>0.59</v>
      </c>
      <c r="D73" s="455">
        <v>0.44</v>
      </c>
      <c r="E73" s="455">
        <v>0.44</v>
      </c>
      <c r="F73" s="455">
        <v>0.56999999999999995</v>
      </c>
      <c r="G73" s="455">
        <v>0.56999999999999995</v>
      </c>
      <c r="H73" s="455">
        <v>0.73</v>
      </c>
      <c r="I73" s="455">
        <v>0.89</v>
      </c>
      <c r="J73" s="455">
        <v>0.56999999999999995</v>
      </c>
      <c r="K73" s="455">
        <v>0.97</v>
      </c>
      <c r="L73" s="455">
        <v>0.66</v>
      </c>
      <c r="M73" s="455">
        <v>0.95</v>
      </c>
      <c r="N73" s="455">
        <v>0</v>
      </c>
      <c r="O73" s="455">
        <v>0</v>
      </c>
      <c r="P73" s="455">
        <v>0</v>
      </c>
    </row>
    <row r="74" spans="2:16">
      <c r="B74" s="417">
        <f t="shared" si="1"/>
        <v>2068</v>
      </c>
      <c r="C74" s="455">
        <v>0.59</v>
      </c>
      <c r="D74" s="455">
        <v>0.44</v>
      </c>
      <c r="E74" s="455">
        <v>0.44</v>
      </c>
      <c r="F74" s="455">
        <v>0.56999999999999995</v>
      </c>
      <c r="G74" s="455">
        <v>0.56999999999999995</v>
      </c>
      <c r="H74" s="455">
        <v>0.73</v>
      </c>
      <c r="I74" s="455">
        <v>0.89</v>
      </c>
      <c r="J74" s="455">
        <v>0.56999999999999995</v>
      </c>
      <c r="K74" s="455">
        <v>0.97</v>
      </c>
      <c r="L74" s="455">
        <v>0.66</v>
      </c>
      <c r="M74" s="455">
        <v>0.95</v>
      </c>
      <c r="N74" s="455">
        <v>0</v>
      </c>
      <c r="O74" s="455">
        <v>0</v>
      </c>
      <c r="P74" s="455">
        <v>0</v>
      </c>
    </row>
    <row r="75" spans="2:16">
      <c r="B75" s="417">
        <f t="shared" si="1"/>
        <v>2069</v>
      </c>
      <c r="C75" s="455">
        <v>0.59</v>
      </c>
      <c r="D75" s="455">
        <v>0.44</v>
      </c>
      <c r="E75" s="455">
        <v>0.44</v>
      </c>
      <c r="F75" s="455">
        <v>0.56999999999999995</v>
      </c>
      <c r="G75" s="455">
        <v>0.56999999999999995</v>
      </c>
      <c r="H75" s="455">
        <v>0.73</v>
      </c>
      <c r="I75" s="455">
        <v>0.89</v>
      </c>
      <c r="J75" s="455">
        <v>0.56999999999999995</v>
      </c>
      <c r="K75" s="455">
        <v>0.97</v>
      </c>
      <c r="L75" s="455">
        <v>0.66</v>
      </c>
      <c r="M75" s="455">
        <v>0.95</v>
      </c>
      <c r="N75" s="455">
        <v>0</v>
      </c>
      <c r="O75" s="455">
        <v>0</v>
      </c>
      <c r="P75" s="455">
        <v>0</v>
      </c>
    </row>
    <row r="76" spans="2:16">
      <c r="B76" s="417">
        <f t="shared" si="1"/>
        <v>2070</v>
      </c>
      <c r="C76" s="455">
        <v>0.59</v>
      </c>
      <c r="D76" s="455">
        <v>0.44</v>
      </c>
      <c r="E76" s="455">
        <v>0.44</v>
      </c>
      <c r="F76" s="455">
        <v>0.56999999999999995</v>
      </c>
      <c r="G76" s="455">
        <v>0.56999999999999995</v>
      </c>
      <c r="H76" s="455">
        <v>0.73</v>
      </c>
      <c r="I76" s="455">
        <v>0.89</v>
      </c>
      <c r="J76" s="455">
        <v>0.56999999999999995</v>
      </c>
      <c r="K76" s="455">
        <v>0.97</v>
      </c>
      <c r="L76" s="455">
        <v>0.66</v>
      </c>
      <c r="M76" s="455">
        <v>0.95</v>
      </c>
      <c r="N76" s="455">
        <v>0</v>
      </c>
      <c r="O76" s="455">
        <v>0</v>
      </c>
      <c r="P76" s="455">
        <v>0</v>
      </c>
    </row>
    <row r="77" spans="2:16">
      <c r="B77" s="417">
        <f t="shared" si="1"/>
        <v>2071</v>
      </c>
      <c r="C77" s="455">
        <v>0.59</v>
      </c>
      <c r="D77" s="455">
        <v>0.44</v>
      </c>
      <c r="E77" s="455">
        <v>0.44</v>
      </c>
      <c r="F77" s="455">
        <v>0.56999999999999995</v>
      </c>
      <c r="G77" s="455">
        <v>0.56999999999999995</v>
      </c>
      <c r="H77" s="455">
        <v>0.73</v>
      </c>
      <c r="I77" s="455">
        <v>0.89</v>
      </c>
      <c r="J77" s="455">
        <v>0.56999999999999995</v>
      </c>
      <c r="K77" s="455">
        <v>0.97</v>
      </c>
      <c r="L77" s="455">
        <v>0.66</v>
      </c>
      <c r="M77" s="455">
        <v>0.95</v>
      </c>
      <c r="N77" s="455">
        <v>0</v>
      </c>
      <c r="O77" s="455">
        <v>0</v>
      </c>
      <c r="P77" s="455">
        <v>0</v>
      </c>
    </row>
    <row r="78" spans="2:16">
      <c r="B78" s="417">
        <f t="shared" si="1"/>
        <v>2072</v>
      </c>
      <c r="C78" s="455">
        <v>0.59</v>
      </c>
      <c r="D78" s="455">
        <v>0.44</v>
      </c>
      <c r="E78" s="455">
        <v>0.44</v>
      </c>
      <c r="F78" s="455">
        <v>0.56999999999999995</v>
      </c>
      <c r="G78" s="455">
        <v>0.56999999999999995</v>
      </c>
      <c r="H78" s="455">
        <v>0.73</v>
      </c>
      <c r="I78" s="455">
        <v>0.89</v>
      </c>
      <c r="J78" s="455">
        <v>0.56999999999999995</v>
      </c>
      <c r="K78" s="455">
        <v>0.97</v>
      </c>
      <c r="L78" s="455">
        <v>0.66</v>
      </c>
      <c r="M78" s="455">
        <v>0.95</v>
      </c>
      <c r="N78" s="455">
        <v>0</v>
      </c>
      <c r="O78" s="455">
        <v>0</v>
      </c>
      <c r="P78" s="455">
        <v>0</v>
      </c>
    </row>
    <row r="79" spans="2:16">
      <c r="B79" s="417">
        <f t="shared" si="1"/>
        <v>2073</v>
      </c>
      <c r="C79" s="455">
        <v>0.59</v>
      </c>
      <c r="D79" s="455">
        <v>0.44</v>
      </c>
      <c r="E79" s="455">
        <v>0.44</v>
      </c>
      <c r="F79" s="455">
        <v>0.56999999999999995</v>
      </c>
      <c r="G79" s="455">
        <v>0.56999999999999995</v>
      </c>
      <c r="H79" s="455">
        <v>0.73</v>
      </c>
      <c r="I79" s="455">
        <v>0.89</v>
      </c>
      <c r="J79" s="455">
        <v>0.56999999999999995</v>
      </c>
      <c r="K79" s="455">
        <v>0.97</v>
      </c>
      <c r="L79" s="455">
        <v>0.66</v>
      </c>
      <c r="M79" s="455">
        <v>0.95</v>
      </c>
      <c r="N79" s="455">
        <v>0</v>
      </c>
      <c r="O79" s="455">
        <v>0</v>
      </c>
      <c r="P79" s="455">
        <v>0</v>
      </c>
    </row>
    <row r="80" spans="2:16">
      <c r="B80" s="417">
        <f t="shared" si="1"/>
        <v>2074</v>
      </c>
      <c r="C80" s="455">
        <v>0.59</v>
      </c>
      <c r="D80" s="455">
        <v>0.44</v>
      </c>
      <c r="E80" s="455">
        <v>0.44</v>
      </c>
      <c r="F80" s="455">
        <v>0.56999999999999995</v>
      </c>
      <c r="G80" s="455">
        <v>0.56999999999999995</v>
      </c>
      <c r="H80" s="455">
        <v>0.73</v>
      </c>
      <c r="I80" s="455">
        <v>0.89</v>
      </c>
      <c r="J80" s="455">
        <v>0.56999999999999995</v>
      </c>
      <c r="K80" s="455">
        <v>0.97</v>
      </c>
      <c r="L80" s="455">
        <v>0.66</v>
      </c>
      <c r="M80" s="455">
        <v>0.95</v>
      </c>
      <c r="N80" s="455">
        <v>0</v>
      </c>
      <c r="O80" s="455">
        <v>0</v>
      </c>
      <c r="P80" s="455">
        <v>0</v>
      </c>
    </row>
    <row r="81" spans="2:16">
      <c r="B81" s="417">
        <f t="shared" si="1"/>
        <v>2075</v>
      </c>
      <c r="C81" s="455">
        <v>0.59</v>
      </c>
      <c r="D81" s="455">
        <v>0.44</v>
      </c>
      <c r="E81" s="455">
        <v>0.44</v>
      </c>
      <c r="F81" s="455">
        <v>0.56999999999999995</v>
      </c>
      <c r="G81" s="455">
        <v>0.56999999999999995</v>
      </c>
      <c r="H81" s="455">
        <v>0.73</v>
      </c>
      <c r="I81" s="455">
        <v>0.89</v>
      </c>
      <c r="J81" s="455">
        <v>0.56999999999999995</v>
      </c>
      <c r="K81" s="455">
        <v>0.97</v>
      </c>
      <c r="L81" s="455">
        <v>0.66</v>
      </c>
      <c r="M81" s="455">
        <v>0.95</v>
      </c>
      <c r="N81" s="455">
        <v>0</v>
      </c>
      <c r="O81" s="455">
        <v>0</v>
      </c>
      <c r="P81" s="455">
        <v>0</v>
      </c>
    </row>
    <row r="82" spans="2:16">
      <c r="B82" s="417">
        <f t="shared" si="1"/>
        <v>2076</v>
      </c>
      <c r="C82" s="455">
        <v>0.59</v>
      </c>
      <c r="D82" s="455">
        <v>0.44</v>
      </c>
      <c r="E82" s="455">
        <v>0.44</v>
      </c>
      <c r="F82" s="455">
        <v>0.56999999999999995</v>
      </c>
      <c r="G82" s="455">
        <v>0.56999999999999995</v>
      </c>
      <c r="H82" s="455">
        <v>0.73</v>
      </c>
      <c r="I82" s="455">
        <v>0.89</v>
      </c>
      <c r="J82" s="455">
        <v>0.56999999999999995</v>
      </c>
      <c r="K82" s="455">
        <v>0.97</v>
      </c>
      <c r="L82" s="455">
        <v>0.66</v>
      </c>
      <c r="M82" s="455">
        <v>0.95</v>
      </c>
      <c r="N82" s="455">
        <v>0</v>
      </c>
      <c r="O82" s="455">
        <v>0</v>
      </c>
      <c r="P82" s="455">
        <v>0</v>
      </c>
    </row>
    <row r="83" spans="2:16">
      <c r="B83" s="417">
        <f t="shared" si="1"/>
        <v>2077</v>
      </c>
      <c r="C83" s="455">
        <v>0.59</v>
      </c>
      <c r="D83" s="455">
        <v>0.44</v>
      </c>
      <c r="E83" s="455">
        <v>0.44</v>
      </c>
      <c r="F83" s="455">
        <v>0.56999999999999995</v>
      </c>
      <c r="G83" s="455">
        <v>0.56999999999999995</v>
      </c>
      <c r="H83" s="455">
        <v>0.73</v>
      </c>
      <c r="I83" s="455">
        <v>0.89</v>
      </c>
      <c r="J83" s="455">
        <v>0.56999999999999995</v>
      </c>
      <c r="K83" s="455">
        <v>0.97</v>
      </c>
      <c r="L83" s="455">
        <v>0.66</v>
      </c>
      <c r="M83" s="455">
        <v>0.95</v>
      </c>
      <c r="N83" s="455">
        <v>0</v>
      </c>
      <c r="O83" s="455">
        <v>0</v>
      </c>
      <c r="P83" s="455">
        <v>0</v>
      </c>
    </row>
    <row r="84" spans="2:16">
      <c r="B84" s="417">
        <f t="shared" si="1"/>
        <v>2078</v>
      </c>
      <c r="C84" s="455">
        <v>0.59</v>
      </c>
      <c r="D84" s="455">
        <v>0.44</v>
      </c>
      <c r="E84" s="455">
        <v>0.44</v>
      </c>
      <c r="F84" s="455">
        <v>0.56999999999999995</v>
      </c>
      <c r="G84" s="455">
        <v>0.56999999999999995</v>
      </c>
      <c r="H84" s="455">
        <v>0.73</v>
      </c>
      <c r="I84" s="455">
        <v>0.89</v>
      </c>
      <c r="J84" s="455">
        <v>0.56999999999999995</v>
      </c>
      <c r="K84" s="455">
        <v>0.97</v>
      </c>
      <c r="L84" s="455">
        <v>0.66</v>
      </c>
      <c r="M84" s="455">
        <v>0.95</v>
      </c>
      <c r="N84" s="455">
        <v>0</v>
      </c>
      <c r="O84" s="455">
        <v>0</v>
      </c>
      <c r="P84" s="455">
        <v>0</v>
      </c>
    </row>
    <row r="85" spans="2:16">
      <c r="B85" s="417">
        <f t="shared" si="1"/>
        <v>2079</v>
      </c>
      <c r="C85" s="455">
        <v>0.59</v>
      </c>
      <c r="D85" s="455">
        <v>0.44</v>
      </c>
      <c r="E85" s="455">
        <v>0.44</v>
      </c>
      <c r="F85" s="455">
        <v>0.56999999999999995</v>
      </c>
      <c r="G85" s="455">
        <v>0.56999999999999995</v>
      </c>
      <c r="H85" s="455">
        <v>0.73</v>
      </c>
      <c r="I85" s="455">
        <v>0.89</v>
      </c>
      <c r="J85" s="455">
        <v>0.56999999999999995</v>
      </c>
      <c r="K85" s="455">
        <v>0.97</v>
      </c>
      <c r="L85" s="455">
        <v>0.66</v>
      </c>
      <c r="M85" s="455">
        <v>0.95</v>
      </c>
      <c r="N85" s="455">
        <v>0</v>
      </c>
      <c r="O85" s="455">
        <v>0</v>
      </c>
      <c r="P85" s="455">
        <v>0</v>
      </c>
    </row>
    <row r="86" spans="2:16">
      <c r="B86" s="417">
        <f t="shared" si="1"/>
        <v>2080</v>
      </c>
      <c r="C86" s="455">
        <v>0.59</v>
      </c>
      <c r="D86" s="455">
        <v>0.44</v>
      </c>
      <c r="E86" s="455">
        <v>0.44</v>
      </c>
      <c r="F86" s="455">
        <v>0.56999999999999995</v>
      </c>
      <c r="G86" s="455">
        <v>0.56999999999999995</v>
      </c>
      <c r="H86" s="455">
        <v>0.73</v>
      </c>
      <c r="I86" s="455">
        <v>0.89</v>
      </c>
      <c r="J86" s="455">
        <v>0.56999999999999995</v>
      </c>
      <c r="K86" s="455">
        <v>0.97</v>
      </c>
      <c r="L86" s="455">
        <v>0.66</v>
      </c>
      <c r="M86" s="455">
        <v>0.95</v>
      </c>
      <c r="N86" s="455">
        <v>0</v>
      </c>
      <c r="O86" s="455">
        <v>0</v>
      </c>
      <c r="P86" s="455">
        <v>0</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1:P94"/>
  <sheetViews>
    <sheetView showGridLines="0" workbookViewId="0">
      <pane xSplit="2" ySplit="13" topLeftCell="C14" activePane="bottomRight" state="frozen"/>
      <selection activeCell="E19" sqref="E19"/>
      <selection pane="topRight" activeCell="E19" sqref="E19"/>
      <selection pane="bottomLeft" activeCell="E19" sqref="E19"/>
      <selection pane="bottomRight" activeCell="N14" sqref="N14"/>
    </sheetView>
  </sheetViews>
  <sheetFormatPr defaultColWidth="11.42578125" defaultRowHeight="12.75"/>
  <cols>
    <col min="1" max="1" width="3.42578125" customWidth="1"/>
    <col min="2" max="2" width="5.42578125" customWidth="1"/>
    <col min="3" max="8" width="10.140625" customWidth="1"/>
    <col min="9" max="9" width="11.85546875" customWidth="1"/>
    <col min="10" max="14" width="10.140625" customWidth="1"/>
    <col min="15" max="15" width="11.42578125" customWidth="1"/>
    <col min="16" max="16" width="10.140625" customWidth="1"/>
  </cols>
  <sheetData>
    <row r="1" spans="2:16" ht="13.5" thickBot="1"/>
    <row r="2" spans="2:16" ht="16.5" thickBot="1">
      <c r="C2" s="4" t="s">
        <v>164</v>
      </c>
      <c r="H2" s="5" t="s">
        <v>265</v>
      </c>
      <c r="I2" s="807" t="str">
        <f>city</f>
        <v>Kutai Timur</v>
      </c>
      <c r="J2" s="808"/>
      <c r="K2" s="808"/>
      <c r="L2" s="808"/>
      <c r="M2" s="808"/>
      <c r="N2" s="808"/>
      <c r="O2" s="808"/>
    </row>
    <row r="3" spans="2:16" ht="16.5" thickBot="1">
      <c r="C3" s="4"/>
      <c r="H3" s="5" t="s">
        <v>276</v>
      </c>
      <c r="I3" s="807" t="str">
        <f>province</f>
        <v>Kalimantan Timur</v>
      </c>
      <c r="J3" s="808"/>
      <c r="K3" s="808"/>
      <c r="L3" s="808"/>
      <c r="M3" s="808"/>
      <c r="N3" s="808"/>
      <c r="O3" s="808"/>
    </row>
    <row r="4" spans="2:16" ht="16.5" thickBot="1">
      <c r="D4" s="4"/>
      <c r="E4" s="4"/>
      <c r="H4" s="5" t="s">
        <v>30</v>
      </c>
      <c r="I4" s="807" t="str">
        <f>country</f>
        <v>Indonesia</v>
      </c>
      <c r="J4" s="808"/>
      <c r="K4" s="808"/>
      <c r="L4" s="808"/>
      <c r="M4" s="808"/>
      <c r="N4" s="808"/>
      <c r="O4" s="808"/>
      <c r="P4" s="576"/>
    </row>
    <row r="5" spans="2:16">
      <c r="C5" s="5"/>
      <c r="D5" s="5"/>
      <c r="E5" s="5"/>
      <c r="F5" s="89"/>
      <c r="G5" s="89"/>
      <c r="P5" s="576"/>
    </row>
    <row r="6" spans="2:16" s="153" customFormat="1">
      <c r="C6" s="89" t="s">
        <v>101</v>
      </c>
      <c r="D6" s="89"/>
      <c r="E6" s="89"/>
      <c r="F6" s="89"/>
      <c r="G6" s="89"/>
      <c r="P6"/>
    </row>
    <row r="7" spans="2:16" s="153" customFormat="1">
      <c r="C7" s="89" t="s">
        <v>96</v>
      </c>
      <c r="D7" s="89"/>
      <c r="E7" s="89"/>
      <c r="F7" s="89"/>
      <c r="G7" s="89"/>
      <c r="P7"/>
    </row>
    <row r="9" spans="2:16" ht="13.5" thickBot="1"/>
    <row r="10" spans="2:16" ht="13.5" thickBot="1">
      <c r="C10" s="789" t="s">
        <v>32</v>
      </c>
      <c r="D10" s="790"/>
      <c r="E10" s="790"/>
      <c r="F10" s="790"/>
      <c r="G10" s="790"/>
      <c r="H10" s="790"/>
      <c r="I10" s="790"/>
      <c r="J10" s="790"/>
      <c r="K10" s="790"/>
      <c r="L10" s="790"/>
      <c r="M10" s="790"/>
      <c r="N10" s="790"/>
      <c r="O10" s="790"/>
      <c r="P10" s="791"/>
    </row>
    <row r="11" spans="2:16" ht="13.5" customHeight="1" thickBot="1">
      <c r="C11" s="793" t="s">
        <v>228</v>
      </c>
      <c r="D11" s="793" t="s">
        <v>262</v>
      </c>
      <c r="E11" s="793" t="s">
        <v>267</v>
      </c>
      <c r="F11" s="793" t="s">
        <v>261</v>
      </c>
      <c r="G11" s="793" t="s">
        <v>2</v>
      </c>
      <c r="H11" s="793" t="s">
        <v>16</v>
      </c>
      <c r="I11" s="793" t="s">
        <v>229</v>
      </c>
      <c r="J11" s="809" t="s">
        <v>273</v>
      </c>
      <c r="K11" s="810"/>
      <c r="L11" s="810"/>
      <c r="M11" s="811"/>
      <c r="N11" s="793" t="s">
        <v>146</v>
      </c>
      <c r="O11" s="793" t="s">
        <v>210</v>
      </c>
      <c r="P11" s="792" t="s">
        <v>308</v>
      </c>
    </row>
    <row r="12" spans="2:16" s="1" customFormat="1">
      <c r="B12" s="400" t="s">
        <v>1</v>
      </c>
      <c r="C12" s="812"/>
      <c r="D12" s="812"/>
      <c r="E12" s="812"/>
      <c r="F12" s="812"/>
      <c r="G12" s="812"/>
      <c r="H12" s="812"/>
      <c r="I12" s="812"/>
      <c r="J12" s="404" t="s">
        <v>230</v>
      </c>
      <c r="K12" s="404" t="s">
        <v>231</v>
      </c>
      <c r="L12" s="404" t="s">
        <v>232</v>
      </c>
      <c r="M12" s="400" t="s">
        <v>233</v>
      </c>
      <c r="N12" s="812"/>
      <c r="O12" s="812"/>
      <c r="P12" s="812"/>
    </row>
    <row r="13" spans="2:16" s="3" customFormat="1" ht="13.5" thickBot="1">
      <c r="B13" s="48"/>
      <c r="C13" s="401" t="s">
        <v>15</v>
      </c>
      <c r="D13" s="402" t="s">
        <v>15</v>
      </c>
      <c r="E13" s="402" t="s">
        <v>15</v>
      </c>
      <c r="F13" s="403" t="s">
        <v>15</v>
      </c>
      <c r="G13" s="402" t="s">
        <v>15</v>
      </c>
      <c r="H13" s="403" t="s">
        <v>15</v>
      </c>
      <c r="I13" s="403" t="s">
        <v>15</v>
      </c>
      <c r="J13" s="403" t="s">
        <v>15</v>
      </c>
      <c r="K13" s="403" t="s">
        <v>15</v>
      </c>
      <c r="L13" s="403" t="s">
        <v>15</v>
      </c>
      <c r="M13" s="403" t="s">
        <v>15</v>
      </c>
      <c r="N13" s="403" t="s">
        <v>15</v>
      </c>
      <c r="O13" s="463" t="s">
        <v>15</v>
      </c>
      <c r="P13" s="463" t="s">
        <v>15</v>
      </c>
    </row>
    <row r="14" spans="2:16">
      <c r="B14" s="149">
        <f>year</f>
        <v>2000</v>
      </c>
      <c r="C14" s="598">
        <f>Activity!$C13*Activity!$D13*Activity!E13</f>
        <v>3.9557694527999998</v>
      </c>
      <c r="D14" s="599">
        <f>Activity!$C13*Activity!$D13*Activity!F13</f>
        <v>1.1730902515199999</v>
      </c>
      <c r="E14" s="599">
        <f>Activity!$C13*Activity!$D13*Activity!G13</f>
        <v>0</v>
      </c>
      <c r="F14" s="599">
        <f>Activity!$C13*Activity!$D13*Activity!H13</f>
        <v>0</v>
      </c>
      <c r="G14" s="599">
        <f>Activity!$C13*Activity!$D13*Activity!I13</f>
        <v>0.90027856512000004</v>
      </c>
      <c r="H14" s="599">
        <f>Activity!$C13*Activity!$D13*Activity!J13</f>
        <v>0.24553051775999998</v>
      </c>
      <c r="I14" s="599">
        <f>Activity!$C13*Activity!$D13*Activity!K13</f>
        <v>8.184350591999999E-2</v>
      </c>
      <c r="J14" s="599">
        <f>Activity!$C13*Activity!$D13*Activity!L13</f>
        <v>0.65474804735999992</v>
      </c>
      <c r="K14" s="600">
        <f>Activity!$C13*Activity!$D13*Activity!M13</f>
        <v>0.30009285504</v>
      </c>
      <c r="L14" s="600">
        <f>Activity!$C13*Activity!$D13*Activity!N13</f>
        <v>0.36374891519999997</v>
      </c>
      <c r="M14" s="599">
        <f>Activity!$C13*Activity!$D13*Activity!O13</f>
        <v>1.4186207692799999</v>
      </c>
      <c r="N14" s="447">
        <v>0</v>
      </c>
      <c r="O14" s="607">
        <f>Activity!C13*Activity!D13</f>
        <v>9.0937228799999996</v>
      </c>
      <c r="P14" s="608">
        <f>Activity!X13</f>
        <v>0</v>
      </c>
    </row>
    <row r="15" spans="2:16">
      <c r="B15" s="49">
        <f>B14+1</f>
        <v>2001</v>
      </c>
      <c r="C15" s="601">
        <f>Activity!$C14*Activity!$D14*Activity!E14</f>
        <v>4.0711550002200001</v>
      </c>
      <c r="D15" s="602">
        <f>Activity!$C14*Activity!$D14*Activity!F14</f>
        <v>1.2073080345480001</v>
      </c>
      <c r="E15" s="600">
        <f>Activity!$C14*Activity!$D14*Activity!G14</f>
        <v>0</v>
      </c>
      <c r="F15" s="602">
        <f>Activity!$C14*Activity!$D14*Activity!H14</f>
        <v>0</v>
      </c>
      <c r="G15" s="602">
        <f>Activity!$C14*Activity!$D14*Activity!I14</f>
        <v>0.9265387241880001</v>
      </c>
      <c r="H15" s="602">
        <f>Activity!$C14*Activity!$D14*Activity!J14</f>
        <v>0.25269237932400002</v>
      </c>
      <c r="I15" s="602">
        <f>Activity!$C14*Activity!$D14*Activity!K14</f>
        <v>8.4230793107999996E-2</v>
      </c>
      <c r="J15" s="603">
        <f>Activity!$C14*Activity!$D14*Activity!L14</f>
        <v>0.67384634486399997</v>
      </c>
      <c r="K15" s="602">
        <f>Activity!$C14*Activity!$D14*Activity!M14</f>
        <v>0.30884624139600003</v>
      </c>
      <c r="L15" s="602">
        <f>Activity!$C14*Activity!$D14*Activity!N14</f>
        <v>0.37435908048000005</v>
      </c>
      <c r="M15" s="600">
        <f>Activity!$C14*Activity!$D14*Activity!O14</f>
        <v>1.460000413872</v>
      </c>
      <c r="N15" s="448">
        <v>0</v>
      </c>
      <c r="O15" s="602">
        <f>Activity!C14*Activity!D14</f>
        <v>9.3589770120000004</v>
      </c>
      <c r="P15" s="609">
        <f>Activity!X14</f>
        <v>0</v>
      </c>
    </row>
    <row r="16" spans="2:16">
      <c r="B16" s="7">
        <f t="shared" ref="B16:B21" si="0">B15+1</f>
        <v>2002</v>
      </c>
      <c r="C16" s="601">
        <f>Activity!$C15*Activity!$D15*Activity!E15</f>
        <v>4.2523449011999999</v>
      </c>
      <c r="D16" s="602">
        <f>Activity!$C15*Activity!$D15*Activity!F15</f>
        <v>1.2610402120799999</v>
      </c>
      <c r="E16" s="600">
        <f>Activity!$C15*Activity!$D15*Activity!G15</f>
        <v>0</v>
      </c>
      <c r="F16" s="602">
        <f>Activity!$C15*Activity!$D15*Activity!H15</f>
        <v>0</v>
      </c>
      <c r="G16" s="602">
        <f>Activity!$C15*Activity!$D15*Activity!I15</f>
        <v>0.96777504648000001</v>
      </c>
      <c r="H16" s="602">
        <f>Activity!$C15*Activity!$D15*Activity!J15</f>
        <v>0.26393864903999997</v>
      </c>
      <c r="I16" s="602">
        <f>Activity!$C15*Activity!$D15*Activity!K15</f>
        <v>8.7979549679999991E-2</v>
      </c>
      <c r="J16" s="603">
        <f>Activity!$C15*Activity!$D15*Activity!L15</f>
        <v>0.70383639743999993</v>
      </c>
      <c r="K16" s="602">
        <f>Activity!$C15*Activity!$D15*Activity!M15</f>
        <v>0.32259168216</v>
      </c>
      <c r="L16" s="602">
        <f>Activity!$C15*Activity!$D15*Activity!N15</f>
        <v>0.39102022079999998</v>
      </c>
      <c r="M16" s="600">
        <f>Activity!$C15*Activity!$D15*Activity!O15</f>
        <v>1.5249788611199999</v>
      </c>
      <c r="N16" s="448">
        <v>0</v>
      </c>
      <c r="O16" s="602">
        <f>Activity!C15*Activity!D15</f>
        <v>9.7755055199999994</v>
      </c>
      <c r="P16" s="609">
        <f>Activity!X15</f>
        <v>0</v>
      </c>
    </row>
    <row r="17" spans="2:16">
      <c r="B17" s="7">
        <f t="shared" si="0"/>
        <v>2003</v>
      </c>
      <c r="C17" s="601">
        <f>Activity!$C16*Activity!$D16*Activity!E16</f>
        <v>4.3855893318599994</v>
      </c>
      <c r="D17" s="602">
        <f>Activity!$C16*Activity!$D16*Activity!F16</f>
        <v>1.3005540777239999</v>
      </c>
      <c r="E17" s="600">
        <f>Activity!$C16*Activity!$D16*Activity!G16</f>
        <v>0</v>
      </c>
      <c r="F17" s="602">
        <f>Activity!$C16*Activity!$D16*Activity!H16</f>
        <v>0</v>
      </c>
      <c r="G17" s="602">
        <f>Activity!$C16*Activity!$D16*Activity!I16</f>
        <v>0.99809964104399995</v>
      </c>
      <c r="H17" s="602">
        <f>Activity!$C16*Activity!$D16*Activity!J16</f>
        <v>0.27220899301199997</v>
      </c>
      <c r="I17" s="602">
        <f>Activity!$C16*Activity!$D16*Activity!K16</f>
        <v>9.0736331003999984E-2</v>
      </c>
      <c r="J17" s="603">
        <f>Activity!$C16*Activity!$D16*Activity!L16</f>
        <v>0.72589064803199987</v>
      </c>
      <c r="K17" s="602">
        <f>Activity!$C16*Activity!$D16*Activity!M16</f>
        <v>0.33269988034800002</v>
      </c>
      <c r="L17" s="602">
        <f>Activity!$C16*Activity!$D16*Activity!N16</f>
        <v>0.40327258224000001</v>
      </c>
      <c r="M17" s="600">
        <f>Activity!$C16*Activity!$D16*Activity!O16</f>
        <v>1.5727630707359999</v>
      </c>
      <c r="N17" s="448">
        <v>0</v>
      </c>
      <c r="O17" s="602">
        <f>Activity!C16*Activity!D16</f>
        <v>10.081814555999999</v>
      </c>
      <c r="P17" s="609">
        <f>Activity!X16</f>
        <v>0</v>
      </c>
    </row>
    <row r="18" spans="2:16">
      <c r="B18" s="7">
        <f t="shared" si="0"/>
        <v>2004</v>
      </c>
      <c r="C18" s="601">
        <f>Activity!$C17*Activity!$D17*Activity!E17</f>
        <v>4.5135511799400012</v>
      </c>
      <c r="D18" s="602">
        <f>Activity!$C17*Activity!$D17*Activity!F17</f>
        <v>1.3385013843960003</v>
      </c>
      <c r="E18" s="600">
        <f>Activity!$C17*Activity!$D17*Activity!G17</f>
        <v>0</v>
      </c>
      <c r="F18" s="602">
        <f>Activity!$C17*Activity!$D17*Activity!H17</f>
        <v>0</v>
      </c>
      <c r="G18" s="602">
        <f>Activity!$C17*Activity!$D17*Activity!I17</f>
        <v>1.0272219926760002</v>
      </c>
      <c r="H18" s="602">
        <f>Activity!$C17*Activity!$D17*Activity!J17</f>
        <v>0.28015145254800006</v>
      </c>
      <c r="I18" s="602">
        <f>Activity!$C17*Activity!$D17*Activity!K17</f>
        <v>9.3383817516000014E-2</v>
      </c>
      <c r="J18" s="603">
        <f>Activity!$C17*Activity!$D17*Activity!L17</f>
        <v>0.74707054012800012</v>
      </c>
      <c r="K18" s="602">
        <f>Activity!$C17*Activity!$D17*Activity!M17</f>
        <v>0.34240733089200009</v>
      </c>
      <c r="L18" s="602">
        <f>Activity!$C17*Activity!$D17*Activity!N17</f>
        <v>0.41503918896000008</v>
      </c>
      <c r="M18" s="600">
        <f>Activity!$C17*Activity!$D17*Activity!O17</f>
        <v>1.6186528369440003</v>
      </c>
      <c r="N18" s="448">
        <v>0</v>
      </c>
      <c r="O18" s="602">
        <f>Activity!C17*Activity!D17</f>
        <v>10.375979724000002</v>
      </c>
      <c r="P18" s="609">
        <f>Activity!X17</f>
        <v>0</v>
      </c>
    </row>
    <row r="19" spans="2:16">
      <c r="B19" s="7">
        <f t="shared" si="0"/>
        <v>2005</v>
      </c>
      <c r="C19" s="601">
        <f>Activity!$C18*Activity!$D18*Activity!E18</f>
        <v>4.7422575089999999</v>
      </c>
      <c r="D19" s="602">
        <f>Activity!$C18*Activity!$D18*Activity!F18</f>
        <v>1.4063246405999998</v>
      </c>
      <c r="E19" s="600">
        <f>Activity!$C18*Activity!$D18*Activity!G18</f>
        <v>0</v>
      </c>
      <c r="F19" s="602">
        <f>Activity!$C18*Activity!$D18*Activity!H18</f>
        <v>0</v>
      </c>
      <c r="G19" s="602">
        <f>Activity!$C18*Activity!$D18*Activity!I18</f>
        <v>1.0792723985999999</v>
      </c>
      <c r="H19" s="602">
        <f>Activity!$C18*Activity!$D18*Activity!J18</f>
        <v>0.29434701779999994</v>
      </c>
      <c r="I19" s="602">
        <f>Activity!$C18*Activity!$D18*Activity!K18</f>
        <v>9.8115672599999981E-2</v>
      </c>
      <c r="J19" s="603">
        <f>Activity!$C18*Activity!$D18*Activity!L18</f>
        <v>0.78492538079999985</v>
      </c>
      <c r="K19" s="602">
        <f>Activity!$C18*Activity!$D18*Activity!M18</f>
        <v>0.35975746619999999</v>
      </c>
      <c r="L19" s="602">
        <f>Activity!$C18*Activity!$D18*Activity!N18</f>
        <v>0.43606965599999997</v>
      </c>
      <c r="M19" s="600">
        <f>Activity!$C18*Activity!$D18*Activity!O18</f>
        <v>1.7006716583999999</v>
      </c>
      <c r="N19" s="448">
        <v>0</v>
      </c>
      <c r="O19" s="602">
        <f>Activity!C18*Activity!D18</f>
        <v>10.901741399999999</v>
      </c>
      <c r="P19" s="609">
        <f>Activity!X18</f>
        <v>0</v>
      </c>
    </row>
    <row r="20" spans="2:16">
      <c r="B20" s="7">
        <f t="shared" si="0"/>
        <v>2006</v>
      </c>
      <c r="C20" s="601">
        <f>Activity!$C19*Activity!$D19*Activity!E19</f>
        <v>4.8738930312600006</v>
      </c>
      <c r="D20" s="602">
        <f>Activity!$C19*Activity!$D19*Activity!F19</f>
        <v>1.4453613816840001</v>
      </c>
      <c r="E20" s="600">
        <f>Activity!$C19*Activity!$D19*Activity!G19</f>
        <v>0</v>
      </c>
      <c r="F20" s="602">
        <f>Activity!$C19*Activity!$D19*Activity!H19</f>
        <v>0</v>
      </c>
      <c r="G20" s="602">
        <f>Activity!$C19*Activity!$D19*Activity!I19</f>
        <v>1.1092308278040002</v>
      </c>
      <c r="H20" s="602">
        <f>Activity!$C19*Activity!$D19*Activity!J19</f>
        <v>0.30251749849200005</v>
      </c>
      <c r="I20" s="602">
        <f>Activity!$C19*Activity!$D19*Activity!K19</f>
        <v>0.100839166164</v>
      </c>
      <c r="J20" s="603">
        <f>Activity!$C19*Activity!$D19*Activity!L19</f>
        <v>0.80671332931200002</v>
      </c>
      <c r="K20" s="602">
        <f>Activity!$C19*Activity!$D19*Activity!M19</f>
        <v>0.36974360926800004</v>
      </c>
      <c r="L20" s="602">
        <f>Activity!$C19*Activity!$D19*Activity!N19</f>
        <v>0.44817407184000002</v>
      </c>
      <c r="M20" s="600">
        <f>Activity!$C19*Activity!$D19*Activity!O19</f>
        <v>1.7478788801760001</v>
      </c>
      <c r="N20" s="448">
        <v>0</v>
      </c>
      <c r="O20" s="602">
        <f>Activity!C19*Activity!D19</f>
        <v>11.204351796000001</v>
      </c>
      <c r="P20" s="609">
        <f>Activity!X19</f>
        <v>0</v>
      </c>
    </row>
    <row r="21" spans="2:16">
      <c r="B21" s="7">
        <f t="shared" si="0"/>
        <v>2007</v>
      </c>
      <c r="C21" s="601">
        <f>Activity!$C20*Activity!$D20*Activity!E20</f>
        <v>5.0070838316400001</v>
      </c>
      <c r="D21" s="602">
        <f>Activity!$C20*Activity!$D20*Activity!F20</f>
        <v>1.484859343176</v>
      </c>
      <c r="E21" s="600">
        <f>Activity!$C20*Activity!$D20*Activity!G20</f>
        <v>0</v>
      </c>
      <c r="F21" s="602">
        <f>Activity!$C20*Activity!$D20*Activity!H20</f>
        <v>0</v>
      </c>
      <c r="G21" s="602">
        <f>Activity!$C20*Activity!$D20*Activity!I20</f>
        <v>1.139543216856</v>
      </c>
      <c r="H21" s="602">
        <f>Activity!$C20*Activity!$D20*Activity!J20</f>
        <v>0.31078451368799997</v>
      </c>
      <c r="I21" s="602">
        <f>Activity!$C20*Activity!$D20*Activity!K20</f>
        <v>0.10359483789599999</v>
      </c>
      <c r="J21" s="603">
        <f>Activity!$C20*Activity!$D20*Activity!L20</f>
        <v>0.82875870316799993</v>
      </c>
      <c r="K21" s="602">
        <f>Activity!$C20*Activity!$D20*Activity!M20</f>
        <v>0.37984773895200002</v>
      </c>
      <c r="L21" s="602">
        <f>Activity!$C20*Activity!$D20*Activity!N20</f>
        <v>0.46042150176000002</v>
      </c>
      <c r="M21" s="600">
        <f>Activity!$C20*Activity!$D20*Activity!O20</f>
        <v>1.7956438568640001</v>
      </c>
      <c r="N21" s="448">
        <v>0</v>
      </c>
      <c r="O21" s="602">
        <f>Activity!C20*Activity!D20</f>
        <v>11.510537544</v>
      </c>
      <c r="P21" s="609">
        <f>Activity!X20</f>
        <v>0</v>
      </c>
    </row>
    <row r="22" spans="2:16">
      <c r="B22" s="7">
        <f t="shared" ref="B22:B85" si="1">B21+1</f>
        <v>2008</v>
      </c>
      <c r="C22" s="601">
        <f>Activity!$C21*Activity!$D21*Activity!E21</f>
        <v>5.1412131619199997</v>
      </c>
      <c r="D22" s="602">
        <f>Activity!$C21*Activity!$D21*Activity!F21</f>
        <v>1.524635627328</v>
      </c>
      <c r="E22" s="600">
        <f>Activity!$C21*Activity!$D21*Activity!G21</f>
        <v>0</v>
      </c>
      <c r="F22" s="602">
        <f>Activity!$C21*Activity!$D21*Activity!H21</f>
        <v>0</v>
      </c>
      <c r="G22" s="602">
        <f>Activity!$C21*Activity!$D21*Activity!I21</f>
        <v>1.1700692023679999</v>
      </c>
      <c r="H22" s="602">
        <f>Activity!$C21*Activity!$D21*Activity!J21</f>
        <v>0.31910978246400001</v>
      </c>
      <c r="I22" s="602">
        <f>Activity!$C21*Activity!$D21*Activity!K21</f>
        <v>0.10636992748799999</v>
      </c>
      <c r="J22" s="603">
        <f>Activity!$C21*Activity!$D21*Activity!L21</f>
        <v>0.85095941990399993</v>
      </c>
      <c r="K22" s="602">
        <f>Activity!$C21*Activity!$D21*Activity!M21</f>
        <v>0.39002306745600002</v>
      </c>
      <c r="L22" s="602">
        <f>Activity!$C21*Activity!$D21*Activity!N21</f>
        <v>0.47275523328000002</v>
      </c>
      <c r="M22" s="600">
        <f>Activity!$C21*Activity!$D21*Activity!O21</f>
        <v>1.8437454097919999</v>
      </c>
      <c r="N22" s="448">
        <v>0</v>
      </c>
      <c r="O22" s="602">
        <f>Activity!C21*Activity!D21</f>
        <v>11.818880832</v>
      </c>
      <c r="P22" s="609">
        <f>Activity!X21</f>
        <v>0</v>
      </c>
    </row>
    <row r="23" spans="2:16">
      <c r="B23" s="7">
        <f t="shared" si="1"/>
        <v>2009</v>
      </c>
      <c r="C23" s="601">
        <f>Activity!$C22*Activity!$D22*Activity!E22</f>
        <v>5.2755570133200003</v>
      </c>
      <c r="D23" s="602">
        <f>Activity!$C22*Activity!$D22*Activity!F22</f>
        <v>1.5644755280880001</v>
      </c>
      <c r="E23" s="600">
        <f>Activity!$C22*Activity!$D22*Activity!G22</f>
        <v>0</v>
      </c>
      <c r="F23" s="602">
        <f>Activity!$C22*Activity!$D22*Activity!H22</f>
        <v>0</v>
      </c>
      <c r="G23" s="602">
        <f>Activity!$C22*Activity!$D22*Activity!I22</f>
        <v>1.200644009928</v>
      </c>
      <c r="H23" s="602">
        <f>Activity!$C22*Activity!$D22*Activity!J22</f>
        <v>0.32744836634399999</v>
      </c>
      <c r="I23" s="602">
        <f>Activity!$C22*Activity!$D22*Activity!K22</f>
        <v>0.10914945544799999</v>
      </c>
      <c r="J23" s="603">
        <f>Activity!$C22*Activity!$D22*Activity!L22</f>
        <v>0.87319564358399993</v>
      </c>
      <c r="K23" s="602">
        <f>Activity!$C22*Activity!$D22*Activity!M22</f>
        <v>0.40021466997600003</v>
      </c>
      <c r="L23" s="602">
        <f>Activity!$C22*Activity!$D22*Activity!N22</f>
        <v>0.48510869088000003</v>
      </c>
      <c r="M23" s="600">
        <f>Activity!$C22*Activity!$D22*Activity!O22</f>
        <v>1.891923894432</v>
      </c>
      <c r="N23" s="448">
        <v>0</v>
      </c>
      <c r="O23" s="602">
        <f>Activity!C22*Activity!D22</f>
        <v>12.127717272</v>
      </c>
      <c r="P23" s="609">
        <f>Activity!X22</f>
        <v>0</v>
      </c>
    </row>
    <row r="24" spans="2:16">
      <c r="B24" s="7">
        <f t="shared" si="1"/>
        <v>2010</v>
      </c>
      <c r="C24" s="601">
        <f>Activity!$C23*Activity!$D23*Activity!E23</f>
        <v>6.8549419441800001</v>
      </c>
      <c r="D24" s="602">
        <f>Activity!$C23*Activity!$D23*Activity!F23</f>
        <v>2.032844852412</v>
      </c>
      <c r="E24" s="600">
        <f>Activity!$C23*Activity!$D23*Activity!G23</f>
        <v>0</v>
      </c>
      <c r="F24" s="602">
        <f>Activity!$C23*Activity!$D23*Activity!H23</f>
        <v>0</v>
      </c>
      <c r="G24" s="602">
        <f>Activity!$C23*Activity!$D23*Activity!I23</f>
        <v>1.5600902355720001</v>
      </c>
      <c r="H24" s="602">
        <f>Activity!$C23*Activity!$D23*Activity!J23</f>
        <v>0.42547915515599999</v>
      </c>
      <c r="I24" s="602">
        <f>Activity!$C23*Activity!$D23*Activity!K23</f>
        <v>0.14182638505199999</v>
      </c>
      <c r="J24" s="603">
        <f>Activity!$C23*Activity!$D23*Activity!L23</f>
        <v>1.1346110804159999</v>
      </c>
      <c r="K24" s="602">
        <f>Activity!$C23*Activity!$D23*Activity!M23</f>
        <v>0.52003007852400007</v>
      </c>
      <c r="L24" s="602">
        <f>Activity!$C23*Activity!$D23*Activity!N23</f>
        <v>0.63033948912000004</v>
      </c>
      <c r="M24" s="600">
        <f>Activity!$C23*Activity!$D23*Activity!O23</f>
        <v>2.4583240075680002</v>
      </c>
      <c r="N24" s="448">
        <v>0</v>
      </c>
      <c r="O24" s="602">
        <f>Activity!C23*Activity!D23</f>
        <v>15.758487228</v>
      </c>
      <c r="P24" s="609">
        <f>Activity!X23</f>
        <v>0</v>
      </c>
    </row>
    <row r="25" spans="2:16">
      <c r="B25" s="7">
        <f t="shared" si="1"/>
        <v>2011</v>
      </c>
      <c r="C25" s="601">
        <f>Activity!$C24*Activity!$D24*Activity!E24</f>
        <v>6.5666621249999997</v>
      </c>
      <c r="D25" s="602">
        <f>Activity!$C24*Activity!$D24*Activity!F24</f>
        <v>1.9473549750000001</v>
      </c>
      <c r="E25" s="600">
        <f>Activity!$C24*Activity!$D24*Activity!G24</f>
        <v>0</v>
      </c>
      <c r="F25" s="602">
        <f>Activity!$C24*Activity!$D24*Activity!H24</f>
        <v>0</v>
      </c>
      <c r="G25" s="602">
        <f>Activity!$C24*Activity!$D24*Activity!I24</f>
        <v>1.494481725</v>
      </c>
      <c r="H25" s="602">
        <f>Activity!$C24*Activity!$D24*Activity!J24</f>
        <v>0.40758592500000002</v>
      </c>
      <c r="I25" s="602">
        <f>Activity!$C24*Activity!$D24*Activity!K24</f>
        <v>0.135861975</v>
      </c>
      <c r="J25" s="603">
        <f>Activity!$C24*Activity!$D24*Activity!L24</f>
        <v>1.0868958</v>
      </c>
      <c r="K25" s="602">
        <f>Activity!$C24*Activity!$D24*Activity!M24</f>
        <v>0.49816057499999999</v>
      </c>
      <c r="L25" s="602">
        <f>Activity!$C24*Activity!$D24*Activity!N24</f>
        <v>0.60383100000000001</v>
      </c>
      <c r="M25" s="600">
        <f>Activity!$C24*Activity!$D24*Activity!O24</f>
        <v>2.3549408999999999</v>
      </c>
      <c r="N25" s="448">
        <v>0</v>
      </c>
      <c r="O25" s="602">
        <f>Activity!C24*Activity!D24</f>
        <v>15.095775</v>
      </c>
      <c r="P25" s="609">
        <f>Activity!X24</f>
        <v>0</v>
      </c>
    </row>
    <row r="26" spans="2:16">
      <c r="B26" s="7">
        <f t="shared" si="1"/>
        <v>2012</v>
      </c>
      <c r="C26" s="601">
        <f>Activity!$C25*Activity!$D25*Activity!E25</f>
        <v>6.8645295756000007</v>
      </c>
      <c r="D26" s="602">
        <f>Activity!$C25*Activity!$D25*Activity!F25</f>
        <v>2.0356880810400004</v>
      </c>
      <c r="E26" s="600">
        <f>Activity!$C25*Activity!$D25*Activity!G25</f>
        <v>0</v>
      </c>
      <c r="F26" s="602">
        <f>Activity!$C25*Activity!$D25*Activity!H25</f>
        <v>0</v>
      </c>
      <c r="G26" s="602">
        <f>Activity!$C25*Activity!$D25*Activity!I25</f>
        <v>1.5622722482400002</v>
      </c>
      <c r="H26" s="602">
        <f>Activity!$C25*Activity!$D25*Activity!J25</f>
        <v>0.42607424952000006</v>
      </c>
      <c r="I26" s="602">
        <f>Activity!$C25*Activity!$D25*Activity!K25</f>
        <v>0.14202474983999999</v>
      </c>
      <c r="J26" s="603">
        <f>Activity!$C25*Activity!$D25*Activity!L25</f>
        <v>1.1361979987199999</v>
      </c>
      <c r="K26" s="602">
        <f>Activity!$C25*Activity!$D25*Activity!M25</f>
        <v>0.52075741608000004</v>
      </c>
      <c r="L26" s="602">
        <f>Activity!$C25*Activity!$D25*Activity!N25</f>
        <v>0.63122111040000006</v>
      </c>
      <c r="M26" s="600">
        <f>Activity!$C25*Activity!$D25*Activity!O25</f>
        <v>2.4617623305600005</v>
      </c>
      <c r="N26" s="448">
        <v>0</v>
      </c>
      <c r="O26" s="602">
        <f>Activity!C25*Activity!D25</f>
        <v>15.780527760000002</v>
      </c>
      <c r="P26" s="609">
        <f>Activity!X25</f>
        <v>0</v>
      </c>
    </row>
    <row r="27" spans="2:16">
      <c r="B27" s="7">
        <f t="shared" si="1"/>
        <v>2013</v>
      </c>
      <c r="C27" s="601">
        <f>Activity!$C26*Activity!$D26*Activity!E26</f>
        <v>7.1722211184000004</v>
      </c>
      <c r="D27" s="602">
        <f>Activity!$C26*Activity!$D26*Activity!F26</f>
        <v>2.1269345385600005</v>
      </c>
      <c r="E27" s="600">
        <f>Activity!$C26*Activity!$D26*Activity!G26</f>
        <v>0</v>
      </c>
      <c r="F27" s="602">
        <f>Activity!$C26*Activity!$D26*Activity!H26</f>
        <v>0</v>
      </c>
      <c r="G27" s="602">
        <f>Activity!$C26*Activity!$D26*Activity!I26</f>
        <v>1.6322985993600003</v>
      </c>
      <c r="H27" s="602">
        <f>Activity!$C26*Activity!$D26*Activity!J26</f>
        <v>0.44517234528000005</v>
      </c>
      <c r="I27" s="602">
        <f>Activity!$C26*Activity!$D26*Activity!K26</f>
        <v>0.14839078176000001</v>
      </c>
      <c r="J27" s="603">
        <f>Activity!$C26*Activity!$D26*Activity!L26</f>
        <v>1.1871262540800001</v>
      </c>
      <c r="K27" s="602">
        <f>Activity!$C26*Activity!$D26*Activity!M26</f>
        <v>0.54409953312000003</v>
      </c>
      <c r="L27" s="602">
        <f>Activity!$C26*Activity!$D26*Activity!N26</f>
        <v>0.65951458560000009</v>
      </c>
      <c r="M27" s="600">
        <f>Activity!$C26*Activity!$D26*Activity!O26</f>
        <v>2.5721068838400001</v>
      </c>
      <c r="N27" s="448">
        <v>0</v>
      </c>
      <c r="O27" s="602">
        <f>Activity!C26*Activity!D26</f>
        <v>16.487864640000002</v>
      </c>
      <c r="P27" s="609">
        <f>Activity!X26</f>
        <v>0</v>
      </c>
    </row>
    <row r="28" spans="2:16">
      <c r="B28" s="7">
        <f t="shared" si="1"/>
        <v>2014</v>
      </c>
      <c r="C28" s="601">
        <f>Activity!$C27*Activity!$D27*Activity!E27</f>
        <v>7.4832279876000012</v>
      </c>
      <c r="D28" s="602">
        <f>Activity!$C27*Activity!$D27*Activity!F27</f>
        <v>2.2191641618400002</v>
      </c>
      <c r="E28" s="600">
        <f>Activity!$C27*Activity!$D27*Activity!G27</f>
        <v>0</v>
      </c>
      <c r="F28" s="602">
        <f>Activity!$C27*Activity!$D27*Activity!H27</f>
        <v>0</v>
      </c>
      <c r="G28" s="602">
        <f>Activity!$C27*Activity!$D27*Activity!I27</f>
        <v>1.7030794730400003</v>
      </c>
      <c r="H28" s="602">
        <f>Activity!$C27*Activity!$D27*Activity!J27</f>
        <v>0.46447621992000004</v>
      </c>
      <c r="I28" s="602">
        <f>Activity!$C27*Activity!$D27*Activity!K27</f>
        <v>0.15482540664000002</v>
      </c>
      <c r="J28" s="603">
        <f>Activity!$C27*Activity!$D27*Activity!L27</f>
        <v>1.2386032531200002</v>
      </c>
      <c r="K28" s="602">
        <f>Activity!$C27*Activity!$D27*Activity!M27</f>
        <v>0.56769315768000006</v>
      </c>
      <c r="L28" s="602">
        <f>Activity!$C27*Activity!$D27*Activity!N27</f>
        <v>0.68811291840000011</v>
      </c>
      <c r="M28" s="600">
        <f>Activity!$C27*Activity!$D27*Activity!O27</f>
        <v>2.6836403817600005</v>
      </c>
      <c r="N28" s="448">
        <v>0</v>
      </c>
      <c r="O28" s="602">
        <f>Activity!C27*Activity!D27</f>
        <v>17.202822960000002</v>
      </c>
      <c r="P28" s="609">
        <f>Activity!X27</f>
        <v>0</v>
      </c>
    </row>
    <row r="29" spans="2:16">
      <c r="B29" s="7">
        <f t="shared" si="1"/>
        <v>2015</v>
      </c>
      <c r="C29" s="601">
        <f>Activity!$C28*Activity!$D28*Activity!E28</f>
        <v>7.8035714009999992</v>
      </c>
      <c r="D29" s="602">
        <f>Activity!$C28*Activity!$D28*Activity!F28</f>
        <v>2.3141625533999997</v>
      </c>
      <c r="E29" s="600">
        <f>Activity!$C28*Activity!$D28*Activity!G28</f>
        <v>0</v>
      </c>
      <c r="F29" s="602">
        <f>Activity!$C28*Activity!$D28*Activity!H28</f>
        <v>0</v>
      </c>
      <c r="G29" s="602">
        <f>Activity!$C28*Activity!$D28*Activity!I28</f>
        <v>1.7759852154</v>
      </c>
      <c r="H29" s="602">
        <f>Activity!$C28*Activity!$D28*Activity!J28</f>
        <v>0.48435960419999996</v>
      </c>
      <c r="I29" s="602">
        <f>Activity!$C28*Activity!$D28*Activity!K28</f>
        <v>0.16145320139999997</v>
      </c>
      <c r="J29" s="603">
        <f>Activity!$C28*Activity!$D28*Activity!L28</f>
        <v>1.2916256111999997</v>
      </c>
      <c r="K29" s="602">
        <f>Activity!$C28*Activity!$D28*Activity!M28</f>
        <v>0.59199507179999999</v>
      </c>
      <c r="L29" s="602">
        <f>Activity!$C28*Activity!$D28*Activity!N28</f>
        <v>0.71756978399999993</v>
      </c>
      <c r="M29" s="600">
        <f>Activity!$C28*Activity!$D28*Activity!O28</f>
        <v>2.7985221575999999</v>
      </c>
      <c r="N29" s="448">
        <v>0</v>
      </c>
      <c r="O29" s="602">
        <f>Activity!C28*Activity!D28</f>
        <v>17.939244599999999</v>
      </c>
      <c r="P29" s="609">
        <f>Activity!X28</f>
        <v>0</v>
      </c>
    </row>
    <row r="30" spans="2:16">
      <c r="B30" s="7">
        <f t="shared" si="1"/>
        <v>2016</v>
      </c>
      <c r="C30" s="601">
        <f>Activity!$C29*Activity!$D29*Activity!E29</f>
        <v>8.1320812434</v>
      </c>
      <c r="D30" s="602">
        <f>Activity!$C29*Activity!$D29*Activity!F29</f>
        <v>2.4115827135600001</v>
      </c>
      <c r="E30" s="600">
        <f>Activity!$C29*Activity!$D29*Activity!G29</f>
        <v>0</v>
      </c>
      <c r="F30" s="602">
        <f>Activity!$C29*Activity!$D29*Activity!H29</f>
        <v>0</v>
      </c>
      <c r="G30" s="602">
        <f>Activity!$C29*Activity!$D29*Activity!I29</f>
        <v>1.8507495243600001</v>
      </c>
      <c r="H30" s="602">
        <f>Activity!$C29*Activity!$D29*Activity!J29</f>
        <v>0.50474987027999996</v>
      </c>
      <c r="I30" s="602">
        <f>Activity!$C29*Activity!$D29*Activity!K29</f>
        <v>0.16824995675999999</v>
      </c>
      <c r="J30" s="603">
        <f>Activity!$C29*Activity!$D29*Activity!L29</f>
        <v>1.3459996540799999</v>
      </c>
      <c r="K30" s="602">
        <f>Activity!$C29*Activity!$D29*Activity!M29</f>
        <v>0.61691650811999998</v>
      </c>
      <c r="L30" s="602">
        <f>Activity!$C29*Activity!$D29*Activity!N29</f>
        <v>0.74777758559999996</v>
      </c>
      <c r="M30" s="600">
        <f>Activity!$C29*Activity!$D29*Activity!O29</f>
        <v>2.9163325838399996</v>
      </c>
      <c r="N30" s="448">
        <v>0</v>
      </c>
      <c r="O30" s="602">
        <f>Activity!C29*Activity!D29</f>
        <v>18.694439639999999</v>
      </c>
      <c r="P30" s="609">
        <f>Activity!X29</f>
        <v>0</v>
      </c>
    </row>
    <row r="31" spans="2:16">
      <c r="B31" s="7">
        <f t="shared" si="1"/>
        <v>2017</v>
      </c>
      <c r="C31" s="601">
        <f>Activity!$C30*Activity!$D30*Activity!E30</f>
        <v>8.1695005523999988</v>
      </c>
      <c r="D31" s="602">
        <f>Activity!$C30*Activity!$D30*Activity!F30</f>
        <v>2.4226794741599997</v>
      </c>
      <c r="E31" s="600">
        <f>Activity!$C30*Activity!$D30*Activity!G30</f>
        <v>0</v>
      </c>
      <c r="F31" s="602">
        <f>Activity!$C30*Activity!$D30*Activity!H30</f>
        <v>0</v>
      </c>
      <c r="G31" s="602">
        <f>Activity!$C30*Activity!$D30*Activity!I30</f>
        <v>1.8592656429599999</v>
      </c>
      <c r="H31" s="602">
        <f>Activity!$C30*Activity!$D30*Activity!J30</f>
        <v>0.50707244807999996</v>
      </c>
      <c r="I31" s="602">
        <f>Activity!$C30*Activity!$D30*Activity!K30</f>
        <v>0.16902414935999999</v>
      </c>
      <c r="J31" s="603">
        <f>Activity!$C30*Activity!$D30*Activity!L30</f>
        <v>1.3521931948799999</v>
      </c>
      <c r="K31" s="602">
        <f>Activity!$C30*Activity!$D30*Activity!M30</f>
        <v>0.61975521432000003</v>
      </c>
      <c r="L31" s="602">
        <f>Activity!$C30*Activity!$D30*Activity!N30</f>
        <v>0.75121844159999995</v>
      </c>
      <c r="M31" s="600">
        <f>Activity!$C30*Activity!$D30*Activity!O30</f>
        <v>2.9297519222399999</v>
      </c>
      <c r="N31" s="448">
        <v>0</v>
      </c>
      <c r="O31" s="602">
        <f>Activity!C30*Activity!D30</f>
        <v>18.780461039999999</v>
      </c>
      <c r="P31" s="609">
        <f>Activity!X30</f>
        <v>0</v>
      </c>
    </row>
    <row r="32" spans="2:16">
      <c r="B32" s="7">
        <f t="shared" si="1"/>
        <v>2018</v>
      </c>
      <c r="C32" s="601">
        <f>Activity!$C31*Activity!$D31*Activity!E31</f>
        <v>8.4741449202000005</v>
      </c>
      <c r="D32" s="602">
        <f>Activity!$C31*Activity!$D31*Activity!F31</f>
        <v>2.5130222866800005</v>
      </c>
      <c r="E32" s="600">
        <f>Activity!$C31*Activity!$D31*Activity!G31</f>
        <v>0</v>
      </c>
      <c r="F32" s="602">
        <f>Activity!$C31*Activity!$D31*Activity!H31</f>
        <v>0</v>
      </c>
      <c r="G32" s="602">
        <f>Activity!$C31*Activity!$D31*Activity!I31</f>
        <v>1.9285984990800003</v>
      </c>
      <c r="H32" s="602">
        <f>Activity!$C31*Activity!$D31*Activity!J31</f>
        <v>0.52598140884000011</v>
      </c>
      <c r="I32" s="602">
        <f>Activity!$C31*Activity!$D31*Activity!K31</f>
        <v>0.17532713628000002</v>
      </c>
      <c r="J32" s="603">
        <f>Activity!$C31*Activity!$D31*Activity!L31</f>
        <v>1.4026170902400001</v>
      </c>
      <c r="K32" s="602">
        <f>Activity!$C31*Activity!$D31*Activity!M31</f>
        <v>0.64286616636000016</v>
      </c>
      <c r="L32" s="602">
        <f>Activity!$C31*Activity!$D31*Activity!N31</f>
        <v>0.77923171680000014</v>
      </c>
      <c r="M32" s="600">
        <f>Activity!$C31*Activity!$D31*Activity!O31</f>
        <v>3.0390036955200004</v>
      </c>
      <c r="N32" s="448">
        <v>0</v>
      </c>
      <c r="O32" s="602">
        <f>Activity!C31*Activity!D31</f>
        <v>19.480792920000003</v>
      </c>
      <c r="P32" s="609">
        <f>Activity!X31</f>
        <v>0</v>
      </c>
    </row>
    <row r="33" spans="2:16">
      <c r="B33" s="7">
        <f t="shared" si="1"/>
        <v>2019</v>
      </c>
      <c r="C33" s="601">
        <f>Activity!$C32*Activity!$D32*Activity!E32</f>
        <v>8.7787892880000005</v>
      </c>
      <c r="D33" s="602">
        <f>Activity!$C32*Activity!$D32*Activity!F32</f>
        <v>2.6033650991999999</v>
      </c>
      <c r="E33" s="600">
        <f>Activity!$C32*Activity!$D32*Activity!G32</f>
        <v>0</v>
      </c>
      <c r="F33" s="602">
        <f>Activity!$C32*Activity!$D32*Activity!H32</f>
        <v>0</v>
      </c>
      <c r="G33" s="602">
        <f>Activity!$C32*Activity!$D32*Activity!I32</f>
        <v>1.9979313552</v>
      </c>
      <c r="H33" s="602">
        <f>Activity!$C32*Activity!$D32*Activity!J32</f>
        <v>0.54489036959999992</v>
      </c>
      <c r="I33" s="602">
        <f>Activity!$C32*Activity!$D32*Activity!K32</f>
        <v>0.18163012319999997</v>
      </c>
      <c r="J33" s="603">
        <f>Activity!$C32*Activity!$D32*Activity!L32</f>
        <v>1.4530409855999997</v>
      </c>
      <c r="K33" s="602">
        <f>Activity!$C32*Activity!$D32*Activity!M32</f>
        <v>0.66597711839999996</v>
      </c>
      <c r="L33" s="602">
        <f>Activity!$C32*Activity!$D32*Activity!N32</f>
        <v>0.80724499199999999</v>
      </c>
      <c r="M33" s="600">
        <f>Activity!$C32*Activity!$D32*Activity!O32</f>
        <v>3.1482554688</v>
      </c>
      <c r="N33" s="448">
        <v>0</v>
      </c>
      <c r="O33" s="602">
        <f>Activity!C32*Activity!D32</f>
        <v>20.181124799999999</v>
      </c>
      <c r="P33" s="609">
        <f>Activity!X32</f>
        <v>0</v>
      </c>
    </row>
    <row r="34" spans="2:16">
      <c r="B34" s="7">
        <f t="shared" si="1"/>
        <v>2020</v>
      </c>
      <c r="C34" s="601">
        <f>Activity!$C33*Activity!$D33*Activity!E33</f>
        <v>9.0834336558000004</v>
      </c>
      <c r="D34" s="602">
        <f>Activity!$C33*Activity!$D33*Activity!F33</f>
        <v>2.6937079117200007</v>
      </c>
      <c r="E34" s="600">
        <f>Activity!$C33*Activity!$D33*Activity!G33</f>
        <v>0</v>
      </c>
      <c r="F34" s="602">
        <f>Activity!$C33*Activity!$D33*Activity!H33</f>
        <v>0</v>
      </c>
      <c r="G34" s="602">
        <f>Activity!$C33*Activity!$D33*Activity!I33</f>
        <v>2.0672642113200004</v>
      </c>
      <c r="H34" s="602">
        <f>Activity!$C33*Activity!$D33*Activity!J33</f>
        <v>0.56379933036000007</v>
      </c>
      <c r="I34" s="602">
        <f>Activity!$C33*Activity!$D33*Activity!K33</f>
        <v>0.18793311012000002</v>
      </c>
      <c r="J34" s="603">
        <f>Activity!$C33*Activity!$D33*Activity!L33</f>
        <v>1.5034648809600002</v>
      </c>
      <c r="K34" s="602">
        <f>Activity!$C33*Activity!$D33*Activity!M33</f>
        <v>0.68908807044000009</v>
      </c>
      <c r="L34" s="602">
        <f>Activity!$C33*Activity!$D33*Activity!N33</f>
        <v>0.83525826720000018</v>
      </c>
      <c r="M34" s="600">
        <f>Activity!$C33*Activity!$D33*Activity!O33</f>
        <v>3.2575072420800004</v>
      </c>
      <c r="N34" s="448">
        <v>0</v>
      </c>
      <c r="O34" s="602">
        <f>Activity!C33*Activity!D33</f>
        <v>20.881456680000003</v>
      </c>
      <c r="P34" s="609">
        <f>Activity!X33</f>
        <v>0</v>
      </c>
    </row>
    <row r="35" spans="2:16">
      <c r="B35" s="7">
        <f t="shared" si="1"/>
        <v>2021</v>
      </c>
      <c r="C35" s="601">
        <f>Activity!$C34*Activity!$D34*Activity!E34</f>
        <v>9.3880780236000003</v>
      </c>
      <c r="D35" s="602">
        <f>Activity!$C34*Activity!$D34*Activity!F34</f>
        <v>2.7840507242400001</v>
      </c>
      <c r="E35" s="600">
        <f>Activity!$C34*Activity!$D34*Activity!G34</f>
        <v>0</v>
      </c>
      <c r="F35" s="602">
        <f>Activity!$C34*Activity!$D34*Activity!H34</f>
        <v>0</v>
      </c>
      <c r="G35" s="602">
        <f>Activity!$C34*Activity!$D34*Activity!I34</f>
        <v>2.1365970674399999</v>
      </c>
      <c r="H35" s="602">
        <f>Activity!$C34*Activity!$D34*Activity!J34</f>
        <v>0.58270829112</v>
      </c>
      <c r="I35" s="602">
        <f>Activity!$C34*Activity!$D34*Activity!K34</f>
        <v>0.19423609703999997</v>
      </c>
      <c r="J35" s="603">
        <f>Activity!$C34*Activity!$D34*Activity!L34</f>
        <v>1.5538887763199998</v>
      </c>
      <c r="K35" s="602">
        <f>Activity!$C34*Activity!$D34*Activity!M34</f>
        <v>0.71219902248</v>
      </c>
      <c r="L35" s="602">
        <f>Activity!$C34*Activity!$D34*Activity!N34</f>
        <v>0.86327154240000004</v>
      </c>
      <c r="M35" s="600">
        <f>Activity!$C34*Activity!$D34*Activity!O34</f>
        <v>3.36675901536</v>
      </c>
      <c r="N35" s="448">
        <v>0</v>
      </c>
      <c r="O35" s="602">
        <f>Activity!C34*Activity!D34</f>
        <v>21.58178856</v>
      </c>
      <c r="P35" s="609">
        <f>Activity!X34</f>
        <v>0</v>
      </c>
    </row>
    <row r="36" spans="2:16">
      <c r="B36" s="7">
        <f t="shared" si="1"/>
        <v>2022</v>
      </c>
      <c r="C36" s="601">
        <f>Activity!$C35*Activity!$D35*Activity!E35</f>
        <v>9.692722391400002</v>
      </c>
      <c r="D36" s="602">
        <f>Activity!$C35*Activity!$D35*Activity!F35</f>
        <v>2.8743935367600004</v>
      </c>
      <c r="E36" s="600">
        <f>Activity!$C35*Activity!$D35*Activity!G35</f>
        <v>0</v>
      </c>
      <c r="F36" s="602">
        <f>Activity!$C35*Activity!$D35*Activity!H35</f>
        <v>0</v>
      </c>
      <c r="G36" s="602">
        <f>Activity!$C35*Activity!$D35*Activity!I35</f>
        <v>2.2059299235600003</v>
      </c>
      <c r="H36" s="602">
        <f>Activity!$C35*Activity!$D35*Activity!J35</f>
        <v>0.60161725188000004</v>
      </c>
      <c r="I36" s="602">
        <f>Activity!$C35*Activity!$D35*Activity!K35</f>
        <v>0.20053908396</v>
      </c>
      <c r="J36" s="603">
        <f>Activity!$C35*Activity!$D35*Activity!L35</f>
        <v>1.60431267168</v>
      </c>
      <c r="K36" s="602">
        <f>Activity!$C35*Activity!$D35*Activity!M35</f>
        <v>0.73530997452000013</v>
      </c>
      <c r="L36" s="602">
        <f>Activity!$C35*Activity!$D35*Activity!N35</f>
        <v>0.89128481760000011</v>
      </c>
      <c r="M36" s="600">
        <f>Activity!$C35*Activity!$D35*Activity!O35</f>
        <v>3.4760107886400005</v>
      </c>
      <c r="N36" s="448">
        <v>0</v>
      </c>
      <c r="O36" s="602">
        <f>Activity!C35*Activity!D35</f>
        <v>22.282120440000003</v>
      </c>
      <c r="P36" s="609">
        <f>Activity!X35</f>
        <v>0</v>
      </c>
    </row>
    <row r="37" spans="2:16">
      <c r="B37" s="7">
        <f t="shared" si="1"/>
        <v>2023</v>
      </c>
      <c r="C37" s="601">
        <f>Activity!$C36*Activity!$D36*Activity!E36</f>
        <v>9.997366759200002</v>
      </c>
      <c r="D37" s="602">
        <f>Activity!$C36*Activity!$D36*Activity!F36</f>
        <v>2.9647363492800007</v>
      </c>
      <c r="E37" s="600">
        <f>Activity!$C36*Activity!$D36*Activity!G36</f>
        <v>0</v>
      </c>
      <c r="F37" s="602">
        <f>Activity!$C36*Activity!$D36*Activity!H36</f>
        <v>0</v>
      </c>
      <c r="G37" s="602">
        <f>Activity!$C36*Activity!$D36*Activity!I36</f>
        <v>2.2752627796800007</v>
      </c>
      <c r="H37" s="602">
        <f>Activity!$C36*Activity!$D36*Activity!J36</f>
        <v>0.62052621264000007</v>
      </c>
      <c r="I37" s="602">
        <f>Activity!$C36*Activity!$D36*Activity!K36</f>
        <v>0.20684207088000001</v>
      </c>
      <c r="J37" s="603">
        <f>Activity!$C36*Activity!$D36*Activity!L36</f>
        <v>1.6547365670400001</v>
      </c>
      <c r="K37" s="602">
        <f>Activity!$C36*Activity!$D36*Activity!M36</f>
        <v>0.75842092656000015</v>
      </c>
      <c r="L37" s="602">
        <f>Activity!$C36*Activity!$D36*Activity!N36</f>
        <v>0.91929809280000019</v>
      </c>
      <c r="M37" s="600">
        <f>Activity!$C36*Activity!$D36*Activity!O36</f>
        <v>3.5852625619200005</v>
      </c>
      <c r="N37" s="448">
        <v>0</v>
      </c>
      <c r="O37" s="602">
        <f>Activity!C36*Activity!D36</f>
        <v>22.982452320000004</v>
      </c>
      <c r="P37" s="609">
        <f>Activity!X36</f>
        <v>0</v>
      </c>
    </row>
    <row r="38" spans="2:16">
      <c r="B38" s="7">
        <f t="shared" si="1"/>
        <v>2024</v>
      </c>
      <c r="C38" s="601">
        <f>Activity!$C37*Activity!$D37*Activity!E37</f>
        <v>10.302011127</v>
      </c>
      <c r="D38" s="602">
        <f>Activity!$C37*Activity!$D37*Activity!F37</f>
        <v>3.0550791618000002</v>
      </c>
      <c r="E38" s="600">
        <f>Activity!$C37*Activity!$D37*Activity!G37</f>
        <v>0</v>
      </c>
      <c r="F38" s="602">
        <f>Activity!$C37*Activity!$D37*Activity!H37</f>
        <v>0</v>
      </c>
      <c r="G38" s="602">
        <f>Activity!$C37*Activity!$D37*Activity!I37</f>
        <v>2.3445956358000002</v>
      </c>
      <c r="H38" s="602">
        <f>Activity!$C37*Activity!$D37*Activity!J37</f>
        <v>0.6394351734</v>
      </c>
      <c r="I38" s="602">
        <f>Activity!$C37*Activity!$D37*Activity!K37</f>
        <v>0.21314505779999998</v>
      </c>
      <c r="J38" s="603">
        <f>Activity!$C37*Activity!$D37*Activity!L37</f>
        <v>1.7051604623999999</v>
      </c>
      <c r="K38" s="602">
        <f>Activity!$C37*Activity!$D37*Activity!M37</f>
        <v>0.78153187860000006</v>
      </c>
      <c r="L38" s="602">
        <f>Activity!$C37*Activity!$D37*Activity!N37</f>
        <v>0.94731136800000004</v>
      </c>
      <c r="M38" s="600">
        <f>Activity!$C37*Activity!$D37*Activity!O37</f>
        <v>3.6945143352000001</v>
      </c>
      <c r="N38" s="448">
        <v>0</v>
      </c>
      <c r="O38" s="602">
        <f>Activity!C37*Activity!D37</f>
        <v>23.6827842</v>
      </c>
      <c r="P38" s="609">
        <f>Activity!X37</f>
        <v>0</v>
      </c>
    </row>
    <row r="39" spans="2:16">
      <c r="B39" s="7">
        <f t="shared" si="1"/>
        <v>2025</v>
      </c>
      <c r="C39" s="601">
        <f>Activity!$C38*Activity!$D38*Activity!E38</f>
        <v>10.606655494800002</v>
      </c>
      <c r="D39" s="602">
        <f>Activity!$C38*Activity!$D38*Activity!F38</f>
        <v>3.1454219743200005</v>
      </c>
      <c r="E39" s="600">
        <f>Activity!$C38*Activity!$D38*Activity!G38</f>
        <v>0</v>
      </c>
      <c r="F39" s="602">
        <f>Activity!$C38*Activity!$D38*Activity!H38</f>
        <v>0</v>
      </c>
      <c r="G39" s="602">
        <f>Activity!$C38*Activity!$D38*Activity!I38</f>
        <v>2.4139284919200006</v>
      </c>
      <c r="H39" s="602">
        <f>Activity!$C38*Activity!$D38*Activity!J38</f>
        <v>0.65834413416000015</v>
      </c>
      <c r="I39" s="602">
        <f>Activity!$C38*Activity!$D38*Activity!K38</f>
        <v>0.21944804472000001</v>
      </c>
      <c r="J39" s="603">
        <f>Activity!$C38*Activity!$D38*Activity!L38</f>
        <v>1.7555843577600001</v>
      </c>
      <c r="K39" s="602">
        <f>Activity!$C38*Activity!$D38*Activity!M38</f>
        <v>0.8046428306400002</v>
      </c>
      <c r="L39" s="602">
        <f>Activity!$C38*Activity!$D38*Activity!N38</f>
        <v>0.97532464320000023</v>
      </c>
      <c r="M39" s="600">
        <f>Activity!$C38*Activity!$D38*Activity!O38</f>
        <v>3.8037661084800005</v>
      </c>
      <c r="N39" s="448">
        <v>0</v>
      </c>
      <c r="O39" s="602">
        <f>Activity!C38*Activity!D38</f>
        <v>24.383116080000004</v>
      </c>
      <c r="P39" s="609">
        <f>Activity!X38</f>
        <v>0</v>
      </c>
    </row>
    <row r="40" spans="2:16">
      <c r="B40" s="7">
        <f t="shared" si="1"/>
        <v>2026</v>
      </c>
      <c r="C40" s="601">
        <f>Activity!$C39*Activity!$D39*Activity!E39</f>
        <v>10.9112998626</v>
      </c>
      <c r="D40" s="602">
        <f>Activity!$C39*Activity!$D39*Activity!F39</f>
        <v>3.2357647868400004</v>
      </c>
      <c r="E40" s="600">
        <f>Activity!$C39*Activity!$D39*Activity!G39</f>
        <v>0</v>
      </c>
      <c r="F40" s="602">
        <f>Activity!$C39*Activity!$D39*Activity!H39</f>
        <v>0</v>
      </c>
      <c r="G40" s="602">
        <f>Activity!$C39*Activity!$D39*Activity!I39</f>
        <v>2.4832613480400001</v>
      </c>
      <c r="H40" s="602">
        <f>Activity!$C39*Activity!$D39*Activity!J39</f>
        <v>0.67725309491999997</v>
      </c>
      <c r="I40" s="602">
        <f>Activity!$C39*Activity!$D39*Activity!K39</f>
        <v>0.22575103163999999</v>
      </c>
      <c r="J40" s="603">
        <f>Activity!$C39*Activity!$D39*Activity!L39</f>
        <v>1.8060082531199999</v>
      </c>
      <c r="K40" s="602">
        <f>Activity!$C39*Activity!$D39*Activity!M39</f>
        <v>0.82775378268000011</v>
      </c>
      <c r="L40" s="602">
        <f>Activity!$C39*Activity!$D39*Activity!N39</f>
        <v>1.0033379184</v>
      </c>
      <c r="M40" s="600">
        <f>Activity!$C39*Activity!$D39*Activity!O39</f>
        <v>3.9130178817600001</v>
      </c>
      <c r="N40" s="448">
        <v>0</v>
      </c>
      <c r="O40" s="602">
        <f>Activity!C39*Activity!D39</f>
        <v>25.083447960000001</v>
      </c>
      <c r="P40" s="609">
        <f>Activity!X39</f>
        <v>0</v>
      </c>
    </row>
    <row r="41" spans="2:16">
      <c r="B41" s="7">
        <f t="shared" si="1"/>
        <v>2027</v>
      </c>
      <c r="C41" s="601">
        <f>Activity!$C40*Activity!$D40*Activity!E40</f>
        <v>11.215944230400002</v>
      </c>
      <c r="D41" s="602">
        <f>Activity!$C40*Activity!$D40*Activity!F40</f>
        <v>3.3261075993600007</v>
      </c>
      <c r="E41" s="600">
        <f>Activity!$C40*Activity!$D40*Activity!G40</f>
        <v>0</v>
      </c>
      <c r="F41" s="602">
        <f>Activity!$C40*Activity!$D40*Activity!H40</f>
        <v>0</v>
      </c>
      <c r="G41" s="602">
        <f>Activity!$C40*Activity!$D40*Activity!I40</f>
        <v>2.5525942041600005</v>
      </c>
      <c r="H41" s="602">
        <f>Activity!$C40*Activity!$D40*Activity!J40</f>
        <v>0.69616205568000011</v>
      </c>
      <c r="I41" s="602">
        <f>Activity!$C40*Activity!$D40*Activity!K40</f>
        <v>0.23205401856000002</v>
      </c>
      <c r="J41" s="603">
        <f>Activity!$C40*Activity!$D40*Activity!L40</f>
        <v>1.8564321484800002</v>
      </c>
      <c r="K41" s="602">
        <f>Activity!$C40*Activity!$D40*Activity!M40</f>
        <v>0.85086473472000024</v>
      </c>
      <c r="L41" s="602">
        <f>Activity!$C40*Activity!$D40*Activity!N40</f>
        <v>1.0313511936000002</v>
      </c>
      <c r="M41" s="600">
        <f>Activity!$C40*Activity!$D40*Activity!O40</f>
        <v>4.0222696550400006</v>
      </c>
      <c r="N41" s="448">
        <v>0</v>
      </c>
      <c r="O41" s="602">
        <f>Activity!C40*Activity!D40</f>
        <v>25.783779840000005</v>
      </c>
      <c r="P41" s="609">
        <f>Activity!X40</f>
        <v>0</v>
      </c>
    </row>
    <row r="42" spans="2:16">
      <c r="B42" s="7">
        <f t="shared" si="1"/>
        <v>2028</v>
      </c>
      <c r="C42" s="601">
        <f>Activity!$C41*Activity!$D41*Activity!E41</f>
        <v>11.5205885982</v>
      </c>
      <c r="D42" s="602">
        <f>Activity!$C41*Activity!$D41*Activity!F41</f>
        <v>3.4164504118800001</v>
      </c>
      <c r="E42" s="600">
        <f>Activity!$C41*Activity!$D41*Activity!G41</f>
        <v>0</v>
      </c>
      <c r="F42" s="602">
        <f>Activity!$C41*Activity!$D41*Activity!H41</f>
        <v>0</v>
      </c>
      <c r="G42" s="602">
        <f>Activity!$C41*Activity!$D41*Activity!I41</f>
        <v>2.6219270602800004</v>
      </c>
      <c r="H42" s="602">
        <f>Activity!$C41*Activity!$D41*Activity!J41</f>
        <v>0.71507101644000004</v>
      </c>
      <c r="I42" s="602">
        <f>Activity!$C41*Activity!$D41*Activity!K41</f>
        <v>0.23835700547999999</v>
      </c>
      <c r="J42" s="603">
        <f>Activity!$C41*Activity!$D41*Activity!L41</f>
        <v>1.90685604384</v>
      </c>
      <c r="K42" s="602">
        <f>Activity!$C41*Activity!$D41*Activity!M41</f>
        <v>0.87397568676000004</v>
      </c>
      <c r="L42" s="602">
        <f>Activity!$C41*Activity!$D41*Activity!N41</f>
        <v>1.0593644688000001</v>
      </c>
      <c r="M42" s="600">
        <f>Activity!$C41*Activity!$D41*Activity!O41</f>
        <v>4.1315214283200001</v>
      </c>
      <c r="N42" s="448">
        <v>0</v>
      </c>
      <c r="O42" s="602">
        <f>Activity!C41*Activity!D41</f>
        <v>26.484111720000001</v>
      </c>
      <c r="P42" s="609">
        <f>Activity!X41</f>
        <v>0</v>
      </c>
    </row>
    <row r="43" spans="2:16">
      <c r="B43" s="7">
        <f t="shared" si="1"/>
        <v>2029</v>
      </c>
      <c r="C43" s="601">
        <f>Activity!$C42*Activity!$D42*Activity!E42</f>
        <v>11.825232966000002</v>
      </c>
      <c r="D43" s="602">
        <f>Activity!$C42*Activity!$D42*Activity!F42</f>
        <v>3.5067932244000004</v>
      </c>
      <c r="E43" s="600">
        <f>Activity!$C42*Activity!$D42*Activity!G42</f>
        <v>0</v>
      </c>
      <c r="F43" s="602">
        <f>Activity!$C42*Activity!$D42*Activity!H42</f>
        <v>0</v>
      </c>
      <c r="G43" s="602">
        <f>Activity!$C42*Activity!$D42*Activity!I42</f>
        <v>2.6912599164000004</v>
      </c>
      <c r="H43" s="602">
        <f>Activity!$C42*Activity!$D42*Activity!J42</f>
        <v>0.73397997720000008</v>
      </c>
      <c r="I43" s="602">
        <f>Activity!$C42*Activity!$D42*Activity!K42</f>
        <v>0.2446599924</v>
      </c>
      <c r="J43" s="603">
        <f>Activity!$C42*Activity!$D42*Activity!L42</f>
        <v>1.9572799392</v>
      </c>
      <c r="K43" s="602">
        <f>Activity!$C42*Activity!$D42*Activity!M42</f>
        <v>0.89708663880000006</v>
      </c>
      <c r="L43" s="602">
        <f>Activity!$C42*Activity!$D42*Activity!N42</f>
        <v>1.0873777440000001</v>
      </c>
      <c r="M43" s="600">
        <f>Activity!$C42*Activity!$D42*Activity!O42</f>
        <v>4.2407732016000006</v>
      </c>
      <c r="N43" s="448">
        <v>0</v>
      </c>
      <c r="O43" s="602">
        <f>Activity!C42*Activity!D42</f>
        <v>27.184443600000002</v>
      </c>
      <c r="P43" s="609">
        <f>Activity!X42</f>
        <v>0</v>
      </c>
    </row>
    <row r="44" spans="2:16">
      <c r="B44" s="7">
        <f t="shared" si="1"/>
        <v>2030</v>
      </c>
      <c r="C44" s="601">
        <f>Activity!$C43*Activity!$D43*Activity!E43</f>
        <v>12.129877333800001</v>
      </c>
      <c r="D44" s="602">
        <f>Activity!$C43*Activity!$D43*Activity!F43</f>
        <v>3.5971360369200003</v>
      </c>
      <c r="E44" s="600">
        <f>Activity!$C43*Activity!$D43*Activity!G43</f>
        <v>0</v>
      </c>
      <c r="F44" s="602">
        <f>Activity!$C43*Activity!$D43*Activity!H43</f>
        <v>0</v>
      </c>
      <c r="G44" s="602">
        <f>Activity!$C43*Activity!$D43*Activity!I43</f>
        <v>2.7605927725200003</v>
      </c>
      <c r="H44" s="602">
        <f>Activity!$C43*Activity!$D43*Activity!J43</f>
        <v>0.75288893796</v>
      </c>
      <c r="I44" s="602">
        <f>Activity!$C43*Activity!$D43*Activity!K43</f>
        <v>0.25096297932</v>
      </c>
      <c r="J44" s="603">
        <f>Activity!$C43*Activity!$D43*Activity!L43</f>
        <v>2.00770383456</v>
      </c>
      <c r="K44" s="602">
        <f>Activity!$C43*Activity!$D43*Activity!M43</f>
        <v>0.92019759084000008</v>
      </c>
      <c r="L44" s="602">
        <f>Activity!$C43*Activity!$D43*Activity!N43</f>
        <v>1.1153910192000001</v>
      </c>
      <c r="M44" s="600">
        <f>Activity!$C43*Activity!$D43*Activity!O43</f>
        <v>4.3500249748800002</v>
      </c>
      <c r="N44" s="448">
        <v>0</v>
      </c>
      <c r="O44" s="602">
        <f>Activity!C43*Activity!D43</f>
        <v>27.884775480000002</v>
      </c>
      <c r="P44" s="609">
        <f>Activity!X43</f>
        <v>0</v>
      </c>
    </row>
    <row r="45" spans="2:16">
      <c r="B45" s="7">
        <f t="shared" si="1"/>
        <v>2031</v>
      </c>
      <c r="C45" s="601">
        <f>Activity!$C44*Activity!$D44*Activity!E44</f>
        <v>0</v>
      </c>
      <c r="D45" s="602">
        <f>Activity!$C44*Activity!$D44*Activity!F44</f>
        <v>0</v>
      </c>
      <c r="E45" s="600">
        <f>Activity!$C44*Activity!$D44*Activity!G44</f>
        <v>0</v>
      </c>
      <c r="F45" s="602">
        <f>Activity!$C44*Activity!$D44*Activity!H44</f>
        <v>0</v>
      </c>
      <c r="G45" s="602">
        <f>Activity!$C44*Activity!$D44*Activity!I44</f>
        <v>0</v>
      </c>
      <c r="H45" s="602">
        <f>Activity!$C44*Activity!$D44*Activity!J44</f>
        <v>0</v>
      </c>
      <c r="I45" s="602">
        <f>Activity!$C44*Activity!$D44*Activity!K44</f>
        <v>0</v>
      </c>
      <c r="J45" s="603">
        <f>Activity!$C44*Activity!$D44*Activity!L44</f>
        <v>0</v>
      </c>
      <c r="K45" s="602">
        <f>Activity!$C44*Activity!$D44*Activity!M44</f>
        <v>0</v>
      </c>
      <c r="L45" s="602">
        <f>Activity!$C44*Activity!$D44*Activity!N44</f>
        <v>0</v>
      </c>
      <c r="M45" s="600">
        <f>Activity!$C44*Activity!$D44*Activity!O44</f>
        <v>0</v>
      </c>
      <c r="N45" s="448">
        <v>0</v>
      </c>
      <c r="O45" s="602">
        <f>Activity!C44*Activity!D44</f>
        <v>0</v>
      </c>
      <c r="P45" s="609">
        <f>Activity!X44</f>
        <v>0</v>
      </c>
    </row>
    <row r="46" spans="2:16">
      <c r="B46" s="7">
        <f t="shared" si="1"/>
        <v>2032</v>
      </c>
      <c r="C46" s="601">
        <f>Activity!$C45*Activity!$D45*Activity!E45</f>
        <v>0</v>
      </c>
      <c r="D46" s="602">
        <f>Activity!$C45*Activity!$D45*Activity!F45</f>
        <v>0</v>
      </c>
      <c r="E46" s="600">
        <f>Activity!$C45*Activity!$D45*Activity!G45</f>
        <v>0</v>
      </c>
      <c r="F46" s="602">
        <f>Activity!$C45*Activity!$D45*Activity!H45</f>
        <v>0</v>
      </c>
      <c r="G46" s="602">
        <f>Activity!$C45*Activity!$D45*Activity!I45</f>
        <v>0</v>
      </c>
      <c r="H46" s="602">
        <f>Activity!$C45*Activity!$D45*Activity!J45</f>
        <v>0</v>
      </c>
      <c r="I46" s="602">
        <f>Activity!$C45*Activity!$D45*Activity!K45</f>
        <v>0</v>
      </c>
      <c r="J46" s="603">
        <f>Activity!$C45*Activity!$D45*Activity!L45</f>
        <v>0</v>
      </c>
      <c r="K46" s="602">
        <f>Activity!$C45*Activity!$D45*Activity!M45</f>
        <v>0</v>
      </c>
      <c r="L46" s="602">
        <f>Activity!$C45*Activity!$D45*Activity!N45</f>
        <v>0</v>
      </c>
      <c r="M46" s="600">
        <f>Activity!$C45*Activity!$D45*Activity!O45</f>
        <v>0</v>
      </c>
      <c r="N46" s="448">
        <v>0</v>
      </c>
      <c r="O46" s="602">
        <f>Activity!C45*Activity!D45</f>
        <v>0</v>
      </c>
      <c r="P46" s="609">
        <f>Activity!X45</f>
        <v>0</v>
      </c>
    </row>
    <row r="47" spans="2:16">
      <c r="B47" s="7">
        <f t="shared" si="1"/>
        <v>2033</v>
      </c>
      <c r="C47" s="601">
        <f>Activity!$C46*Activity!$D46*Activity!E46</f>
        <v>0</v>
      </c>
      <c r="D47" s="602">
        <f>Activity!$C46*Activity!$D46*Activity!F46</f>
        <v>0</v>
      </c>
      <c r="E47" s="600">
        <f>Activity!$C46*Activity!$D46*Activity!G46</f>
        <v>0</v>
      </c>
      <c r="F47" s="602">
        <f>Activity!$C46*Activity!$D46*Activity!H46</f>
        <v>0</v>
      </c>
      <c r="G47" s="602">
        <f>Activity!$C46*Activity!$D46*Activity!I46</f>
        <v>0</v>
      </c>
      <c r="H47" s="602">
        <f>Activity!$C46*Activity!$D46*Activity!J46</f>
        <v>0</v>
      </c>
      <c r="I47" s="602">
        <f>Activity!$C46*Activity!$D46*Activity!K46</f>
        <v>0</v>
      </c>
      <c r="J47" s="603">
        <f>Activity!$C46*Activity!$D46*Activity!L46</f>
        <v>0</v>
      </c>
      <c r="K47" s="602">
        <f>Activity!$C46*Activity!$D46*Activity!M46</f>
        <v>0</v>
      </c>
      <c r="L47" s="602">
        <f>Activity!$C46*Activity!$D46*Activity!N46</f>
        <v>0</v>
      </c>
      <c r="M47" s="600">
        <f>Activity!$C46*Activity!$D46*Activity!O46</f>
        <v>0</v>
      </c>
      <c r="N47" s="448">
        <v>0</v>
      </c>
      <c r="O47" s="602">
        <f>Activity!C46*Activity!D46</f>
        <v>0</v>
      </c>
      <c r="P47" s="609">
        <f>Activity!X46</f>
        <v>0</v>
      </c>
    </row>
    <row r="48" spans="2:16">
      <c r="B48" s="7">
        <f t="shared" si="1"/>
        <v>2034</v>
      </c>
      <c r="C48" s="601">
        <f>Activity!$C47*Activity!$D47*Activity!E47</f>
        <v>0</v>
      </c>
      <c r="D48" s="602">
        <f>Activity!$C47*Activity!$D47*Activity!F47</f>
        <v>0</v>
      </c>
      <c r="E48" s="600">
        <f>Activity!$C47*Activity!$D47*Activity!G47</f>
        <v>0</v>
      </c>
      <c r="F48" s="602">
        <f>Activity!$C47*Activity!$D47*Activity!H47</f>
        <v>0</v>
      </c>
      <c r="G48" s="602">
        <f>Activity!$C47*Activity!$D47*Activity!I47</f>
        <v>0</v>
      </c>
      <c r="H48" s="602">
        <f>Activity!$C47*Activity!$D47*Activity!J47</f>
        <v>0</v>
      </c>
      <c r="I48" s="602">
        <f>Activity!$C47*Activity!$D47*Activity!K47</f>
        <v>0</v>
      </c>
      <c r="J48" s="603">
        <f>Activity!$C47*Activity!$D47*Activity!L47</f>
        <v>0</v>
      </c>
      <c r="K48" s="602">
        <f>Activity!$C47*Activity!$D47*Activity!M47</f>
        <v>0</v>
      </c>
      <c r="L48" s="602">
        <f>Activity!$C47*Activity!$D47*Activity!N47</f>
        <v>0</v>
      </c>
      <c r="M48" s="600">
        <f>Activity!$C47*Activity!$D47*Activity!O47</f>
        <v>0</v>
      </c>
      <c r="N48" s="448">
        <v>0</v>
      </c>
      <c r="O48" s="602">
        <f>Activity!C47*Activity!D47</f>
        <v>0</v>
      </c>
      <c r="P48" s="609">
        <f>Activity!X47</f>
        <v>0</v>
      </c>
    </row>
    <row r="49" spans="2:16">
      <c r="B49" s="7">
        <f t="shared" si="1"/>
        <v>2035</v>
      </c>
      <c r="C49" s="601">
        <f>Activity!$C48*Activity!$D48*Activity!E48</f>
        <v>0</v>
      </c>
      <c r="D49" s="602">
        <f>Activity!$C48*Activity!$D48*Activity!F48</f>
        <v>0</v>
      </c>
      <c r="E49" s="600">
        <f>Activity!$C48*Activity!$D48*Activity!G48</f>
        <v>0</v>
      </c>
      <c r="F49" s="602">
        <f>Activity!$C48*Activity!$D48*Activity!H48</f>
        <v>0</v>
      </c>
      <c r="G49" s="602">
        <f>Activity!$C48*Activity!$D48*Activity!I48</f>
        <v>0</v>
      </c>
      <c r="H49" s="602">
        <f>Activity!$C48*Activity!$D48*Activity!J48</f>
        <v>0</v>
      </c>
      <c r="I49" s="602">
        <f>Activity!$C48*Activity!$D48*Activity!K48</f>
        <v>0</v>
      </c>
      <c r="J49" s="603">
        <f>Activity!$C48*Activity!$D48*Activity!L48</f>
        <v>0</v>
      </c>
      <c r="K49" s="602">
        <f>Activity!$C48*Activity!$D48*Activity!M48</f>
        <v>0</v>
      </c>
      <c r="L49" s="602">
        <f>Activity!$C48*Activity!$D48*Activity!N48</f>
        <v>0</v>
      </c>
      <c r="M49" s="600">
        <f>Activity!$C48*Activity!$D48*Activity!O48</f>
        <v>0</v>
      </c>
      <c r="N49" s="448">
        <v>0</v>
      </c>
      <c r="O49" s="602">
        <f>Activity!C48*Activity!D48</f>
        <v>0</v>
      </c>
      <c r="P49" s="609">
        <f>Activity!X48</f>
        <v>0</v>
      </c>
    </row>
    <row r="50" spans="2:16">
      <c r="B50" s="7">
        <f t="shared" si="1"/>
        <v>2036</v>
      </c>
      <c r="C50" s="601">
        <f>Activity!$C49*Activity!$D49*Activity!E49</f>
        <v>0</v>
      </c>
      <c r="D50" s="602">
        <f>Activity!$C49*Activity!$D49*Activity!F49</f>
        <v>0</v>
      </c>
      <c r="E50" s="600">
        <f>Activity!$C49*Activity!$D49*Activity!G49</f>
        <v>0</v>
      </c>
      <c r="F50" s="602">
        <f>Activity!$C49*Activity!$D49*Activity!H49</f>
        <v>0</v>
      </c>
      <c r="G50" s="602">
        <f>Activity!$C49*Activity!$D49*Activity!I49</f>
        <v>0</v>
      </c>
      <c r="H50" s="602">
        <f>Activity!$C49*Activity!$D49*Activity!J49</f>
        <v>0</v>
      </c>
      <c r="I50" s="602">
        <f>Activity!$C49*Activity!$D49*Activity!K49</f>
        <v>0</v>
      </c>
      <c r="J50" s="603">
        <f>Activity!$C49*Activity!$D49*Activity!L49</f>
        <v>0</v>
      </c>
      <c r="K50" s="602">
        <f>Activity!$C49*Activity!$D49*Activity!M49</f>
        <v>0</v>
      </c>
      <c r="L50" s="602">
        <f>Activity!$C49*Activity!$D49*Activity!N49</f>
        <v>0</v>
      </c>
      <c r="M50" s="600">
        <f>Activity!$C49*Activity!$D49*Activity!O49</f>
        <v>0</v>
      </c>
      <c r="N50" s="448">
        <v>0</v>
      </c>
      <c r="O50" s="602">
        <f>Activity!C49*Activity!D49</f>
        <v>0</v>
      </c>
      <c r="P50" s="609">
        <f>Activity!X49</f>
        <v>0</v>
      </c>
    </row>
    <row r="51" spans="2:16">
      <c r="B51" s="7">
        <f t="shared" si="1"/>
        <v>2037</v>
      </c>
      <c r="C51" s="601">
        <f>Activity!$C50*Activity!$D50*Activity!E50</f>
        <v>0</v>
      </c>
      <c r="D51" s="602">
        <f>Activity!$C50*Activity!$D50*Activity!F50</f>
        <v>0</v>
      </c>
      <c r="E51" s="600">
        <f>Activity!$C50*Activity!$D50*Activity!G50</f>
        <v>0</v>
      </c>
      <c r="F51" s="602">
        <f>Activity!$C50*Activity!$D50*Activity!H50</f>
        <v>0</v>
      </c>
      <c r="G51" s="602">
        <f>Activity!$C50*Activity!$D50*Activity!I50</f>
        <v>0</v>
      </c>
      <c r="H51" s="602">
        <f>Activity!$C50*Activity!$D50*Activity!J50</f>
        <v>0</v>
      </c>
      <c r="I51" s="602">
        <f>Activity!$C50*Activity!$D50*Activity!K50</f>
        <v>0</v>
      </c>
      <c r="J51" s="603">
        <f>Activity!$C50*Activity!$D50*Activity!L50</f>
        <v>0</v>
      </c>
      <c r="K51" s="602">
        <f>Activity!$C50*Activity!$D50*Activity!M50</f>
        <v>0</v>
      </c>
      <c r="L51" s="602">
        <f>Activity!$C50*Activity!$D50*Activity!N50</f>
        <v>0</v>
      </c>
      <c r="M51" s="600">
        <f>Activity!$C50*Activity!$D50*Activity!O50</f>
        <v>0</v>
      </c>
      <c r="N51" s="448">
        <v>0</v>
      </c>
      <c r="O51" s="602">
        <f>Activity!C50*Activity!D50</f>
        <v>0</v>
      </c>
      <c r="P51" s="609">
        <f>Activity!X50</f>
        <v>0</v>
      </c>
    </row>
    <row r="52" spans="2:16">
      <c r="B52" s="7">
        <f t="shared" si="1"/>
        <v>2038</v>
      </c>
      <c r="C52" s="601">
        <f>Activity!$C51*Activity!$D51*Activity!E51</f>
        <v>0</v>
      </c>
      <c r="D52" s="602">
        <f>Activity!$C51*Activity!$D51*Activity!F51</f>
        <v>0</v>
      </c>
      <c r="E52" s="600">
        <f>Activity!$C51*Activity!$D51*Activity!G51</f>
        <v>0</v>
      </c>
      <c r="F52" s="602">
        <f>Activity!$C51*Activity!$D51*Activity!H51</f>
        <v>0</v>
      </c>
      <c r="G52" s="602">
        <f>Activity!$C51*Activity!$D51*Activity!I51</f>
        <v>0</v>
      </c>
      <c r="H52" s="602">
        <f>Activity!$C51*Activity!$D51*Activity!J51</f>
        <v>0</v>
      </c>
      <c r="I52" s="602">
        <f>Activity!$C51*Activity!$D51*Activity!K51</f>
        <v>0</v>
      </c>
      <c r="J52" s="603">
        <f>Activity!$C51*Activity!$D51*Activity!L51</f>
        <v>0</v>
      </c>
      <c r="K52" s="602">
        <f>Activity!$C51*Activity!$D51*Activity!M51</f>
        <v>0</v>
      </c>
      <c r="L52" s="602">
        <f>Activity!$C51*Activity!$D51*Activity!N51</f>
        <v>0</v>
      </c>
      <c r="M52" s="600">
        <f>Activity!$C51*Activity!$D51*Activity!O51</f>
        <v>0</v>
      </c>
      <c r="N52" s="448">
        <v>0</v>
      </c>
      <c r="O52" s="602">
        <f>Activity!C51*Activity!D51</f>
        <v>0</v>
      </c>
      <c r="P52" s="609">
        <f>Activity!X51</f>
        <v>0</v>
      </c>
    </row>
    <row r="53" spans="2:16">
      <c r="B53" s="7">
        <f t="shared" si="1"/>
        <v>2039</v>
      </c>
      <c r="C53" s="601">
        <f>Activity!$C52*Activity!$D52*Activity!E52</f>
        <v>0</v>
      </c>
      <c r="D53" s="602">
        <f>Activity!$C52*Activity!$D52*Activity!F52</f>
        <v>0</v>
      </c>
      <c r="E53" s="600">
        <f>Activity!$C52*Activity!$D52*Activity!G52</f>
        <v>0</v>
      </c>
      <c r="F53" s="602">
        <f>Activity!$C52*Activity!$D52*Activity!H52</f>
        <v>0</v>
      </c>
      <c r="G53" s="602">
        <f>Activity!$C52*Activity!$D52*Activity!I52</f>
        <v>0</v>
      </c>
      <c r="H53" s="602">
        <f>Activity!$C52*Activity!$D52*Activity!J52</f>
        <v>0</v>
      </c>
      <c r="I53" s="602">
        <f>Activity!$C52*Activity!$D52*Activity!K52</f>
        <v>0</v>
      </c>
      <c r="J53" s="603">
        <f>Activity!$C52*Activity!$D52*Activity!L52</f>
        <v>0</v>
      </c>
      <c r="K53" s="602">
        <f>Activity!$C52*Activity!$D52*Activity!M52</f>
        <v>0</v>
      </c>
      <c r="L53" s="602">
        <f>Activity!$C52*Activity!$D52*Activity!N52</f>
        <v>0</v>
      </c>
      <c r="M53" s="600">
        <f>Activity!$C52*Activity!$D52*Activity!O52</f>
        <v>0</v>
      </c>
      <c r="N53" s="448">
        <v>0</v>
      </c>
      <c r="O53" s="602">
        <f>Activity!C52*Activity!D52</f>
        <v>0</v>
      </c>
      <c r="P53" s="609">
        <f>Activity!X52</f>
        <v>0</v>
      </c>
    </row>
    <row r="54" spans="2:16">
      <c r="B54" s="7">
        <f t="shared" si="1"/>
        <v>2040</v>
      </c>
      <c r="C54" s="601">
        <f>Activity!$C53*Activity!$D53*Activity!E53</f>
        <v>0</v>
      </c>
      <c r="D54" s="602">
        <f>Activity!$C53*Activity!$D53*Activity!F53</f>
        <v>0</v>
      </c>
      <c r="E54" s="600">
        <f>Activity!$C53*Activity!$D53*Activity!G53</f>
        <v>0</v>
      </c>
      <c r="F54" s="602">
        <f>Activity!$C53*Activity!$D53*Activity!H53</f>
        <v>0</v>
      </c>
      <c r="G54" s="602">
        <f>Activity!$C53*Activity!$D53*Activity!I53</f>
        <v>0</v>
      </c>
      <c r="H54" s="602">
        <f>Activity!$C53*Activity!$D53*Activity!J53</f>
        <v>0</v>
      </c>
      <c r="I54" s="602">
        <f>Activity!$C53*Activity!$D53*Activity!K53</f>
        <v>0</v>
      </c>
      <c r="J54" s="603">
        <f>Activity!$C53*Activity!$D53*Activity!L53</f>
        <v>0</v>
      </c>
      <c r="K54" s="602">
        <f>Activity!$C53*Activity!$D53*Activity!M53</f>
        <v>0</v>
      </c>
      <c r="L54" s="602">
        <f>Activity!$C53*Activity!$D53*Activity!N53</f>
        <v>0</v>
      </c>
      <c r="M54" s="600">
        <f>Activity!$C53*Activity!$D53*Activity!O53</f>
        <v>0</v>
      </c>
      <c r="N54" s="448">
        <v>0</v>
      </c>
      <c r="O54" s="602">
        <f>Activity!C53*Activity!D53</f>
        <v>0</v>
      </c>
      <c r="P54" s="609">
        <f>Activity!X53</f>
        <v>0</v>
      </c>
    </row>
    <row r="55" spans="2:16">
      <c r="B55" s="7">
        <f t="shared" si="1"/>
        <v>2041</v>
      </c>
      <c r="C55" s="601">
        <f>Activity!$C54*Activity!$D54*Activity!E54</f>
        <v>0</v>
      </c>
      <c r="D55" s="602">
        <f>Activity!$C54*Activity!$D54*Activity!F54</f>
        <v>0</v>
      </c>
      <c r="E55" s="600">
        <f>Activity!$C54*Activity!$D54*Activity!G54</f>
        <v>0</v>
      </c>
      <c r="F55" s="602">
        <f>Activity!$C54*Activity!$D54*Activity!H54</f>
        <v>0</v>
      </c>
      <c r="G55" s="602">
        <f>Activity!$C54*Activity!$D54*Activity!I54</f>
        <v>0</v>
      </c>
      <c r="H55" s="602">
        <f>Activity!$C54*Activity!$D54*Activity!J54</f>
        <v>0</v>
      </c>
      <c r="I55" s="602">
        <f>Activity!$C54*Activity!$D54*Activity!K54</f>
        <v>0</v>
      </c>
      <c r="J55" s="603">
        <f>Activity!$C54*Activity!$D54*Activity!L54</f>
        <v>0</v>
      </c>
      <c r="K55" s="602">
        <f>Activity!$C54*Activity!$D54*Activity!M54</f>
        <v>0</v>
      </c>
      <c r="L55" s="602">
        <f>Activity!$C54*Activity!$D54*Activity!N54</f>
        <v>0</v>
      </c>
      <c r="M55" s="600">
        <f>Activity!$C54*Activity!$D54*Activity!O54</f>
        <v>0</v>
      </c>
      <c r="N55" s="448">
        <v>0</v>
      </c>
      <c r="O55" s="602">
        <f>Activity!C54*Activity!D54</f>
        <v>0</v>
      </c>
      <c r="P55" s="609">
        <f>Activity!X54</f>
        <v>0</v>
      </c>
    </row>
    <row r="56" spans="2:16">
      <c r="B56" s="7">
        <f t="shared" si="1"/>
        <v>2042</v>
      </c>
      <c r="C56" s="601">
        <f>Activity!$C55*Activity!$D55*Activity!E55</f>
        <v>0</v>
      </c>
      <c r="D56" s="602">
        <f>Activity!$C55*Activity!$D55*Activity!F55</f>
        <v>0</v>
      </c>
      <c r="E56" s="600">
        <f>Activity!$C55*Activity!$D55*Activity!G55</f>
        <v>0</v>
      </c>
      <c r="F56" s="602">
        <f>Activity!$C55*Activity!$D55*Activity!H55</f>
        <v>0</v>
      </c>
      <c r="G56" s="602">
        <f>Activity!$C55*Activity!$D55*Activity!I55</f>
        <v>0</v>
      </c>
      <c r="H56" s="602">
        <f>Activity!$C55*Activity!$D55*Activity!J55</f>
        <v>0</v>
      </c>
      <c r="I56" s="602">
        <f>Activity!$C55*Activity!$D55*Activity!K55</f>
        <v>0</v>
      </c>
      <c r="J56" s="603">
        <f>Activity!$C55*Activity!$D55*Activity!L55</f>
        <v>0</v>
      </c>
      <c r="K56" s="602">
        <f>Activity!$C55*Activity!$D55*Activity!M55</f>
        <v>0</v>
      </c>
      <c r="L56" s="602">
        <f>Activity!$C55*Activity!$D55*Activity!N55</f>
        <v>0</v>
      </c>
      <c r="M56" s="600">
        <f>Activity!$C55*Activity!$D55*Activity!O55</f>
        <v>0</v>
      </c>
      <c r="N56" s="448">
        <v>0</v>
      </c>
      <c r="O56" s="602">
        <f>Activity!C55*Activity!D55</f>
        <v>0</v>
      </c>
      <c r="P56" s="609">
        <f>Activity!X55</f>
        <v>0</v>
      </c>
    </row>
    <row r="57" spans="2:16">
      <c r="B57" s="7">
        <f t="shared" si="1"/>
        <v>2043</v>
      </c>
      <c r="C57" s="601">
        <f>Activity!$C56*Activity!$D56*Activity!E56</f>
        <v>0</v>
      </c>
      <c r="D57" s="602">
        <f>Activity!$C56*Activity!$D56*Activity!F56</f>
        <v>0</v>
      </c>
      <c r="E57" s="600">
        <f>Activity!$C56*Activity!$D56*Activity!G56</f>
        <v>0</v>
      </c>
      <c r="F57" s="602">
        <f>Activity!$C56*Activity!$D56*Activity!H56</f>
        <v>0</v>
      </c>
      <c r="G57" s="602">
        <f>Activity!$C56*Activity!$D56*Activity!I56</f>
        <v>0</v>
      </c>
      <c r="H57" s="602">
        <f>Activity!$C56*Activity!$D56*Activity!J56</f>
        <v>0</v>
      </c>
      <c r="I57" s="602">
        <f>Activity!$C56*Activity!$D56*Activity!K56</f>
        <v>0</v>
      </c>
      <c r="J57" s="603">
        <f>Activity!$C56*Activity!$D56*Activity!L56</f>
        <v>0</v>
      </c>
      <c r="K57" s="602">
        <f>Activity!$C56*Activity!$D56*Activity!M56</f>
        <v>0</v>
      </c>
      <c r="L57" s="602">
        <f>Activity!$C56*Activity!$D56*Activity!N56</f>
        <v>0</v>
      </c>
      <c r="M57" s="600">
        <f>Activity!$C56*Activity!$D56*Activity!O56</f>
        <v>0</v>
      </c>
      <c r="N57" s="448">
        <v>0</v>
      </c>
      <c r="O57" s="602">
        <f>Activity!C56*Activity!D56</f>
        <v>0</v>
      </c>
      <c r="P57" s="609">
        <f>Activity!X56</f>
        <v>0</v>
      </c>
    </row>
    <row r="58" spans="2:16">
      <c r="B58" s="7">
        <f t="shared" si="1"/>
        <v>2044</v>
      </c>
      <c r="C58" s="601">
        <f>Activity!$C57*Activity!$D57*Activity!E57</f>
        <v>0</v>
      </c>
      <c r="D58" s="602">
        <f>Activity!$C57*Activity!$D57*Activity!F57</f>
        <v>0</v>
      </c>
      <c r="E58" s="600">
        <f>Activity!$C57*Activity!$D57*Activity!G57</f>
        <v>0</v>
      </c>
      <c r="F58" s="602">
        <f>Activity!$C57*Activity!$D57*Activity!H57</f>
        <v>0</v>
      </c>
      <c r="G58" s="602">
        <f>Activity!$C57*Activity!$D57*Activity!I57</f>
        <v>0</v>
      </c>
      <c r="H58" s="602">
        <f>Activity!$C57*Activity!$D57*Activity!J57</f>
        <v>0</v>
      </c>
      <c r="I58" s="602">
        <f>Activity!$C57*Activity!$D57*Activity!K57</f>
        <v>0</v>
      </c>
      <c r="J58" s="603">
        <f>Activity!$C57*Activity!$D57*Activity!L57</f>
        <v>0</v>
      </c>
      <c r="K58" s="602">
        <f>Activity!$C57*Activity!$D57*Activity!M57</f>
        <v>0</v>
      </c>
      <c r="L58" s="602">
        <f>Activity!$C57*Activity!$D57*Activity!N57</f>
        <v>0</v>
      </c>
      <c r="M58" s="600">
        <f>Activity!$C57*Activity!$D57*Activity!O57</f>
        <v>0</v>
      </c>
      <c r="N58" s="448">
        <v>0</v>
      </c>
      <c r="O58" s="602">
        <f>Activity!C57*Activity!D57</f>
        <v>0</v>
      </c>
      <c r="P58" s="609">
        <f>Activity!X57</f>
        <v>0</v>
      </c>
    </row>
    <row r="59" spans="2:16">
      <c r="B59" s="7">
        <f t="shared" si="1"/>
        <v>2045</v>
      </c>
      <c r="C59" s="601">
        <f>Activity!$C58*Activity!$D58*Activity!E58</f>
        <v>0</v>
      </c>
      <c r="D59" s="602">
        <f>Activity!$C58*Activity!$D58*Activity!F58</f>
        <v>0</v>
      </c>
      <c r="E59" s="600">
        <f>Activity!$C58*Activity!$D58*Activity!G58</f>
        <v>0</v>
      </c>
      <c r="F59" s="602">
        <f>Activity!$C58*Activity!$D58*Activity!H58</f>
        <v>0</v>
      </c>
      <c r="G59" s="602">
        <f>Activity!$C58*Activity!$D58*Activity!I58</f>
        <v>0</v>
      </c>
      <c r="H59" s="602">
        <f>Activity!$C58*Activity!$D58*Activity!J58</f>
        <v>0</v>
      </c>
      <c r="I59" s="602">
        <f>Activity!$C58*Activity!$D58*Activity!K58</f>
        <v>0</v>
      </c>
      <c r="J59" s="603">
        <f>Activity!$C58*Activity!$D58*Activity!L58</f>
        <v>0</v>
      </c>
      <c r="K59" s="602">
        <f>Activity!$C58*Activity!$D58*Activity!M58</f>
        <v>0</v>
      </c>
      <c r="L59" s="602">
        <f>Activity!$C58*Activity!$D58*Activity!N58</f>
        <v>0</v>
      </c>
      <c r="M59" s="600">
        <f>Activity!$C58*Activity!$D58*Activity!O58</f>
        <v>0</v>
      </c>
      <c r="N59" s="448">
        <v>0</v>
      </c>
      <c r="O59" s="602">
        <f>Activity!C58*Activity!D58</f>
        <v>0</v>
      </c>
      <c r="P59" s="609">
        <f>Activity!X58</f>
        <v>0</v>
      </c>
    </row>
    <row r="60" spans="2:16">
      <c r="B60" s="7">
        <f t="shared" si="1"/>
        <v>2046</v>
      </c>
      <c r="C60" s="601">
        <f>Activity!$C59*Activity!$D59*Activity!E59</f>
        <v>0</v>
      </c>
      <c r="D60" s="602">
        <f>Activity!$C59*Activity!$D59*Activity!F59</f>
        <v>0</v>
      </c>
      <c r="E60" s="600">
        <f>Activity!$C59*Activity!$D59*Activity!G59</f>
        <v>0</v>
      </c>
      <c r="F60" s="602">
        <f>Activity!$C59*Activity!$D59*Activity!H59</f>
        <v>0</v>
      </c>
      <c r="G60" s="602">
        <f>Activity!$C59*Activity!$D59*Activity!I59</f>
        <v>0</v>
      </c>
      <c r="H60" s="602">
        <f>Activity!$C59*Activity!$D59*Activity!J59</f>
        <v>0</v>
      </c>
      <c r="I60" s="602">
        <f>Activity!$C59*Activity!$D59*Activity!K59</f>
        <v>0</v>
      </c>
      <c r="J60" s="603">
        <f>Activity!$C59*Activity!$D59*Activity!L59</f>
        <v>0</v>
      </c>
      <c r="K60" s="602">
        <f>Activity!$C59*Activity!$D59*Activity!M59</f>
        <v>0</v>
      </c>
      <c r="L60" s="602">
        <f>Activity!$C59*Activity!$D59*Activity!N59</f>
        <v>0</v>
      </c>
      <c r="M60" s="600">
        <f>Activity!$C59*Activity!$D59*Activity!O59</f>
        <v>0</v>
      </c>
      <c r="N60" s="448">
        <v>0</v>
      </c>
      <c r="O60" s="602">
        <f>Activity!C59*Activity!D59</f>
        <v>0</v>
      </c>
      <c r="P60" s="609">
        <f>Activity!X59</f>
        <v>0</v>
      </c>
    </row>
    <row r="61" spans="2:16">
      <c r="B61" s="7">
        <f t="shared" si="1"/>
        <v>2047</v>
      </c>
      <c r="C61" s="601">
        <f>Activity!$C60*Activity!$D60*Activity!E60</f>
        <v>0</v>
      </c>
      <c r="D61" s="602">
        <f>Activity!$C60*Activity!$D60*Activity!F60</f>
        <v>0</v>
      </c>
      <c r="E61" s="600">
        <f>Activity!$C60*Activity!$D60*Activity!G60</f>
        <v>0</v>
      </c>
      <c r="F61" s="602">
        <f>Activity!$C60*Activity!$D60*Activity!H60</f>
        <v>0</v>
      </c>
      <c r="G61" s="602">
        <f>Activity!$C60*Activity!$D60*Activity!I60</f>
        <v>0</v>
      </c>
      <c r="H61" s="602">
        <f>Activity!$C60*Activity!$D60*Activity!J60</f>
        <v>0</v>
      </c>
      <c r="I61" s="602">
        <f>Activity!$C60*Activity!$D60*Activity!K60</f>
        <v>0</v>
      </c>
      <c r="J61" s="603">
        <f>Activity!$C60*Activity!$D60*Activity!L60</f>
        <v>0</v>
      </c>
      <c r="K61" s="602">
        <f>Activity!$C60*Activity!$D60*Activity!M60</f>
        <v>0</v>
      </c>
      <c r="L61" s="602">
        <f>Activity!$C60*Activity!$D60*Activity!N60</f>
        <v>0</v>
      </c>
      <c r="M61" s="600">
        <f>Activity!$C60*Activity!$D60*Activity!O60</f>
        <v>0</v>
      </c>
      <c r="N61" s="448">
        <v>0</v>
      </c>
      <c r="O61" s="602">
        <f>Activity!C60*Activity!D60</f>
        <v>0</v>
      </c>
      <c r="P61" s="609">
        <f>Activity!X60</f>
        <v>0</v>
      </c>
    </row>
    <row r="62" spans="2:16">
      <c r="B62" s="7">
        <f t="shared" si="1"/>
        <v>2048</v>
      </c>
      <c r="C62" s="601">
        <f>Activity!$C61*Activity!$D61*Activity!E61</f>
        <v>0</v>
      </c>
      <c r="D62" s="602">
        <f>Activity!$C61*Activity!$D61*Activity!F61</f>
        <v>0</v>
      </c>
      <c r="E62" s="600">
        <f>Activity!$C61*Activity!$D61*Activity!G61</f>
        <v>0</v>
      </c>
      <c r="F62" s="602">
        <f>Activity!$C61*Activity!$D61*Activity!H61</f>
        <v>0</v>
      </c>
      <c r="G62" s="602">
        <f>Activity!$C61*Activity!$D61*Activity!I61</f>
        <v>0</v>
      </c>
      <c r="H62" s="602">
        <f>Activity!$C61*Activity!$D61*Activity!J61</f>
        <v>0</v>
      </c>
      <c r="I62" s="602">
        <f>Activity!$C61*Activity!$D61*Activity!K61</f>
        <v>0</v>
      </c>
      <c r="J62" s="603">
        <f>Activity!$C61*Activity!$D61*Activity!L61</f>
        <v>0</v>
      </c>
      <c r="K62" s="602">
        <f>Activity!$C61*Activity!$D61*Activity!M61</f>
        <v>0</v>
      </c>
      <c r="L62" s="602">
        <f>Activity!$C61*Activity!$D61*Activity!N61</f>
        <v>0</v>
      </c>
      <c r="M62" s="600">
        <f>Activity!$C61*Activity!$D61*Activity!O61</f>
        <v>0</v>
      </c>
      <c r="N62" s="448">
        <v>0</v>
      </c>
      <c r="O62" s="602">
        <f>Activity!C61*Activity!D61</f>
        <v>0</v>
      </c>
      <c r="P62" s="609">
        <f>Activity!X61</f>
        <v>0</v>
      </c>
    </row>
    <row r="63" spans="2:16">
      <c r="B63" s="7">
        <f t="shared" si="1"/>
        <v>2049</v>
      </c>
      <c r="C63" s="601">
        <f>Activity!$C62*Activity!$D62*Activity!E62</f>
        <v>0</v>
      </c>
      <c r="D63" s="602">
        <f>Activity!$C62*Activity!$D62*Activity!F62</f>
        <v>0</v>
      </c>
      <c r="E63" s="600">
        <f>Activity!$C62*Activity!$D62*Activity!G62</f>
        <v>0</v>
      </c>
      <c r="F63" s="602">
        <f>Activity!$C62*Activity!$D62*Activity!H62</f>
        <v>0</v>
      </c>
      <c r="G63" s="602">
        <f>Activity!$C62*Activity!$D62*Activity!I62</f>
        <v>0</v>
      </c>
      <c r="H63" s="602">
        <f>Activity!$C62*Activity!$D62*Activity!J62</f>
        <v>0</v>
      </c>
      <c r="I63" s="602">
        <f>Activity!$C62*Activity!$D62*Activity!K62</f>
        <v>0</v>
      </c>
      <c r="J63" s="603">
        <f>Activity!$C62*Activity!$D62*Activity!L62</f>
        <v>0</v>
      </c>
      <c r="K63" s="602">
        <f>Activity!$C62*Activity!$D62*Activity!M62</f>
        <v>0</v>
      </c>
      <c r="L63" s="602">
        <f>Activity!$C62*Activity!$D62*Activity!N62</f>
        <v>0</v>
      </c>
      <c r="M63" s="600">
        <f>Activity!$C62*Activity!$D62*Activity!O62</f>
        <v>0</v>
      </c>
      <c r="N63" s="448">
        <v>0</v>
      </c>
      <c r="O63" s="602">
        <f>Activity!C62*Activity!D62</f>
        <v>0</v>
      </c>
      <c r="P63" s="609">
        <f>Activity!X62</f>
        <v>0</v>
      </c>
    </row>
    <row r="64" spans="2:16">
      <c r="B64" s="7">
        <f t="shared" si="1"/>
        <v>2050</v>
      </c>
      <c r="C64" s="601">
        <f>Activity!$C63*Activity!$D63*Activity!E63</f>
        <v>0</v>
      </c>
      <c r="D64" s="602">
        <f>Activity!$C63*Activity!$D63*Activity!F63</f>
        <v>0</v>
      </c>
      <c r="E64" s="600">
        <f>Activity!$C63*Activity!$D63*Activity!G63</f>
        <v>0</v>
      </c>
      <c r="F64" s="602">
        <f>Activity!$C63*Activity!$D63*Activity!H63</f>
        <v>0</v>
      </c>
      <c r="G64" s="602">
        <f>Activity!$C63*Activity!$D63*Activity!I63</f>
        <v>0</v>
      </c>
      <c r="H64" s="602">
        <f>Activity!$C63*Activity!$D63*Activity!J63</f>
        <v>0</v>
      </c>
      <c r="I64" s="602">
        <f>Activity!$C63*Activity!$D63*Activity!K63</f>
        <v>0</v>
      </c>
      <c r="J64" s="603">
        <f>Activity!$C63*Activity!$D63*Activity!L63</f>
        <v>0</v>
      </c>
      <c r="K64" s="602">
        <f>Activity!$C63*Activity!$D63*Activity!M63</f>
        <v>0</v>
      </c>
      <c r="L64" s="602">
        <f>Activity!$C63*Activity!$D63*Activity!N63</f>
        <v>0</v>
      </c>
      <c r="M64" s="600">
        <f>Activity!$C63*Activity!$D63*Activity!O63</f>
        <v>0</v>
      </c>
      <c r="N64" s="448">
        <v>0</v>
      </c>
      <c r="O64" s="602">
        <f>Activity!C63*Activity!D63</f>
        <v>0</v>
      </c>
      <c r="P64" s="609">
        <f>Activity!X63</f>
        <v>0</v>
      </c>
    </row>
    <row r="65" spans="2:16">
      <c r="B65" s="7">
        <f t="shared" si="1"/>
        <v>2051</v>
      </c>
      <c r="C65" s="601">
        <f>Activity!$C64*Activity!$D64*Activity!E64</f>
        <v>0</v>
      </c>
      <c r="D65" s="602">
        <f>Activity!$C64*Activity!$D64*Activity!F64</f>
        <v>0</v>
      </c>
      <c r="E65" s="600">
        <f>Activity!$C64*Activity!$D64*Activity!G64</f>
        <v>0</v>
      </c>
      <c r="F65" s="602">
        <f>Activity!$C64*Activity!$D64*Activity!H64</f>
        <v>0</v>
      </c>
      <c r="G65" s="602">
        <f>Activity!$C64*Activity!$D64*Activity!I64</f>
        <v>0</v>
      </c>
      <c r="H65" s="602">
        <f>Activity!$C64*Activity!$D64*Activity!J64</f>
        <v>0</v>
      </c>
      <c r="I65" s="602">
        <f>Activity!$C64*Activity!$D64*Activity!K64</f>
        <v>0</v>
      </c>
      <c r="J65" s="603">
        <f>Activity!$C64*Activity!$D64*Activity!L64</f>
        <v>0</v>
      </c>
      <c r="K65" s="602">
        <f>Activity!$C64*Activity!$D64*Activity!M64</f>
        <v>0</v>
      </c>
      <c r="L65" s="602">
        <f>Activity!$C64*Activity!$D64*Activity!N64</f>
        <v>0</v>
      </c>
      <c r="M65" s="600">
        <f>Activity!$C64*Activity!$D64*Activity!O64</f>
        <v>0</v>
      </c>
      <c r="N65" s="448">
        <v>0</v>
      </c>
      <c r="O65" s="602">
        <f>Activity!C64*Activity!D64</f>
        <v>0</v>
      </c>
      <c r="P65" s="609">
        <f>Activity!X64</f>
        <v>0</v>
      </c>
    </row>
    <row r="66" spans="2:16">
      <c r="B66" s="7">
        <f t="shared" si="1"/>
        <v>2052</v>
      </c>
      <c r="C66" s="601">
        <f>Activity!$C65*Activity!$D65*Activity!E65</f>
        <v>0</v>
      </c>
      <c r="D66" s="602">
        <f>Activity!$C65*Activity!$D65*Activity!F65</f>
        <v>0</v>
      </c>
      <c r="E66" s="600">
        <f>Activity!$C65*Activity!$D65*Activity!G65</f>
        <v>0</v>
      </c>
      <c r="F66" s="602">
        <f>Activity!$C65*Activity!$D65*Activity!H65</f>
        <v>0</v>
      </c>
      <c r="G66" s="602">
        <f>Activity!$C65*Activity!$D65*Activity!I65</f>
        <v>0</v>
      </c>
      <c r="H66" s="602">
        <f>Activity!$C65*Activity!$D65*Activity!J65</f>
        <v>0</v>
      </c>
      <c r="I66" s="602">
        <f>Activity!$C65*Activity!$D65*Activity!K65</f>
        <v>0</v>
      </c>
      <c r="J66" s="603">
        <f>Activity!$C65*Activity!$D65*Activity!L65</f>
        <v>0</v>
      </c>
      <c r="K66" s="602">
        <f>Activity!$C65*Activity!$D65*Activity!M65</f>
        <v>0</v>
      </c>
      <c r="L66" s="602">
        <f>Activity!$C65*Activity!$D65*Activity!N65</f>
        <v>0</v>
      </c>
      <c r="M66" s="600">
        <f>Activity!$C65*Activity!$D65*Activity!O65</f>
        <v>0</v>
      </c>
      <c r="N66" s="448">
        <v>0</v>
      </c>
      <c r="O66" s="602">
        <f>Activity!C65*Activity!D65</f>
        <v>0</v>
      </c>
      <c r="P66" s="609">
        <f>Activity!X65</f>
        <v>0</v>
      </c>
    </row>
    <row r="67" spans="2:16">
      <c r="B67" s="7">
        <f t="shared" si="1"/>
        <v>2053</v>
      </c>
      <c r="C67" s="601">
        <f>Activity!$C66*Activity!$D66*Activity!E66</f>
        <v>0</v>
      </c>
      <c r="D67" s="602">
        <f>Activity!$C66*Activity!$D66*Activity!F66</f>
        <v>0</v>
      </c>
      <c r="E67" s="600">
        <f>Activity!$C66*Activity!$D66*Activity!G66</f>
        <v>0</v>
      </c>
      <c r="F67" s="602">
        <f>Activity!$C66*Activity!$D66*Activity!H66</f>
        <v>0</v>
      </c>
      <c r="G67" s="602">
        <f>Activity!$C66*Activity!$D66*Activity!I66</f>
        <v>0</v>
      </c>
      <c r="H67" s="602">
        <f>Activity!$C66*Activity!$D66*Activity!J66</f>
        <v>0</v>
      </c>
      <c r="I67" s="602">
        <f>Activity!$C66*Activity!$D66*Activity!K66</f>
        <v>0</v>
      </c>
      <c r="J67" s="603">
        <f>Activity!$C66*Activity!$D66*Activity!L66</f>
        <v>0</v>
      </c>
      <c r="K67" s="602">
        <f>Activity!$C66*Activity!$D66*Activity!M66</f>
        <v>0</v>
      </c>
      <c r="L67" s="602">
        <f>Activity!$C66*Activity!$D66*Activity!N66</f>
        <v>0</v>
      </c>
      <c r="M67" s="600">
        <f>Activity!$C66*Activity!$D66*Activity!O66</f>
        <v>0</v>
      </c>
      <c r="N67" s="448">
        <v>0</v>
      </c>
      <c r="O67" s="602">
        <f>Activity!C66*Activity!D66</f>
        <v>0</v>
      </c>
      <c r="P67" s="609">
        <f>Activity!X66</f>
        <v>0</v>
      </c>
    </row>
    <row r="68" spans="2:16">
      <c r="B68" s="7">
        <f t="shared" si="1"/>
        <v>2054</v>
      </c>
      <c r="C68" s="601">
        <f>Activity!$C67*Activity!$D67*Activity!E67</f>
        <v>0</v>
      </c>
      <c r="D68" s="602">
        <f>Activity!$C67*Activity!$D67*Activity!F67</f>
        <v>0</v>
      </c>
      <c r="E68" s="600">
        <f>Activity!$C67*Activity!$D67*Activity!G67</f>
        <v>0</v>
      </c>
      <c r="F68" s="602">
        <f>Activity!$C67*Activity!$D67*Activity!H67</f>
        <v>0</v>
      </c>
      <c r="G68" s="602">
        <f>Activity!$C67*Activity!$D67*Activity!I67</f>
        <v>0</v>
      </c>
      <c r="H68" s="602">
        <f>Activity!$C67*Activity!$D67*Activity!J67</f>
        <v>0</v>
      </c>
      <c r="I68" s="602">
        <f>Activity!$C67*Activity!$D67*Activity!K67</f>
        <v>0</v>
      </c>
      <c r="J68" s="603">
        <f>Activity!$C67*Activity!$D67*Activity!L67</f>
        <v>0</v>
      </c>
      <c r="K68" s="602">
        <f>Activity!$C67*Activity!$D67*Activity!M67</f>
        <v>0</v>
      </c>
      <c r="L68" s="602">
        <f>Activity!$C67*Activity!$D67*Activity!N67</f>
        <v>0</v>
      </c>
      <c r="M68" s="600">
        <f>Activity!$C67*Activity!$D67*Activity!O67</f>
        <v>0</v>
      </c>
      <c r="N68" s="448">
        <v>0</v>
      </c>
      <c r="O68" s="602">
        <f>Activity!C67*Activity!D67</f>
        <v>0</v>
      </c>
      <c r="P68" s="609">
        <f>Activity!X67</f>
        <v>0</v>
      </c>
    </row>
    <row r="69" spans="2:16">
      <c r="B69" s="7">
        <f t="shared" si="1"/>
        <v>2055</v>
      </c>
      <c r="C69" s="601">
        <f>Activity!$C68*Activity!$D68*Activity!E68</f>
        <v>0</v>
      </c>
      <c r="D69" s="602">
        <f>Activity!$C68*Activity!$D68*Activity!F68</f>
        <v>0</v>
      </c>
      <c r="E69" s="600">
        <f>Activity!$C68*Activity!$D68*Activity!G68</f>
        <v>0</v>
      </c>
      <c r="F69" s="602">
        <f>Activity!$C68*Activity!$D68*Activity!H68</f>
        <v>0</v>
      </c>
      <c r="G69" s="602">
        <f>Activity!$C68*Activity!$D68*Activity!I68</f>
        <v>0</v>
      </c>
      <c r="H69" s="602">
        <f>Activity!$C68*Activity!$D68*Activity!J68</f>
        <v>0</v>
      </c>
      <c r="I69" s="602">
        <f>Activity!$C68*Activity!$D68*Activity!K68</f>
        <v>0</v>
      </c>
      <c r="J69" s="603">
        <f>Activity!$C68*Activity!$D68*Activity!L68</f>
        <v>0</v>
      </c>
      <c r="K69" s="602">
        <f>Activity!$C68*Activity!$D68*Activity!M68</f>
        <v>0</v>
      </c>
      <c r="L69" s="602">
        <f>Activity!$C68*Activity!$D68*Activity!N68</f>
        <v>0</v>
      </c>
      <c r="M69" s="600">
        <f>Activity!$C68*Activity!$D68*Activity!O68</f>
        <v>0</v>
      </c>
      <c r="N69" s="448">
        <v>0</v>
      </c>
      <c r="O69" s="602">
        <f>Activity!C68*Activity!D68</f>
        <v>0</v>
      </c>
      <c r="P69" s="609">
        <f>Activity!X68</f>
        <v>0</v>
      </c>
    </row>
    <row r="70" spans="2:16">
      <c r="B70" s="7">
        <f t="shared" si="1"/>
        <v>2056</v>
      </c>
      <c r="C70" s="601">
        <f>Activity!$C69*Activity!$D69*Activity!E69</f>
        <v>0</v>
      </c>
      <c r="D70" s="602">
        <f>Activity!$C69*Activity!$D69*Activity!F69</f>
        <v>0</v>
      </c>
      <c r="E70" s="600">
        <f>Activity!$C69*Activity!$D69*Activity!G69</f>
        <v>0</v>
      </c>
      <c r="F70" s="602">
        <f>Activity!$C69*Activity!$D69*Activity!H69</f>
        <v>0</v>
      </c>
      <c r="G70" s="602">
        <f>Activity!$C69*Activity!$D69*Activity!I69</f>
        <v>0</v>
      </c>
      <c r="H70" s="602">
        <f>Activity!$C69*Activity!$D69*Activity!J69</f>
        <v>0</v>
      </c>
      <c r="I70" s="602">
        <f>Activity!$C69*Activity!$D69*Activity!K69</f>
        <v>0</v>
      </c>
      <c r="J70" s="603">
        <f>Activity!$C69*Activity!$D69*Activity!L69</f>
        <v>0</v>
      </c>
      <c r="K70" s="602">
        <f>Activity!$C69*Activity!$D69*Activity!M69</f>
        <v>0</v>
      </c>
      <c r="L70" s="602">
        <f>Activity!$C69*Activity!$D69*Activity!N69</f>
        <v>0</v>
      </c>
      <c r="M70" s="600">
        <f>Activity!$C69*Activity!$D69*Activity!O69</f>
        <v>0</v>
      </c>
      <c r="N70" s="448">
        <v>0</v>
      </c>
      <c r="O70" s="602">
        <f>Activity!C69*Activity!D69</f>
        <v>0</v>
      </c>
      <c r="P70" s="609">
        <f>Activity!X69</f>
        <v>0</v>
      </c>
    </row>
    <row r="71" spans="2:16">
      <c r="B71" s="7">
        <f t="shared" si="1"/>
        <v>2057</v>
      </c>
      <c r="C71" s="601">
        <f>Activity!$C70*Activity!$D70*Activity!E70</f>
        <v>0</v>
      </c>
      <c r="D71" s="602">
        <f>Activity!$C70*Activity!$D70*Activity!F70</f>
        <v>0</v>
      </c>
      <c r="E71" s="600">
        <f>Activity!$C70*Activity!$D70*Activity!G70</f>
        <v>0</v>
      </c>
      <c r="F71" s="602">
        <f>Activity!$C70*Activity!$D70*Activity!H70</f>
        <v>0</v>
      </c>
      <c r="G71" s="602">
        <f>Activity!$C70*Activity!$D70*Activity!I70</f>
        <v>0</v>
      </c>
      <c r="H71" s="602">
        <f>Activity!$C70*Activity!$D70*Activity!J70</f>
        <v>0</v>
      </c>
      <c r="I71" s="602">
        <f>Activity!$C70*Activity!$D70*Activity!K70</f>
        <v>0</v>
      </c>
      <c r="J71" s="603">
        <f>Activity!$C70*Activity!$D70*Activity!L70</f>
        <v>0</v>
      </c>
      <c r="K71" s="602">
        <f>Activity!$C70*Activity!$D70*Activity!M70</f>
        <v>0</v>
      </c>
      <c r="L71" s="602">
        <f>Activity!$C70*Activity!$D70*Activity!N70</f>
        <v>0</v>
      </c>
      <c r="M71" s="600">
        <f>Activity!$C70*Activity!$D70*Activity!O70</f>
        <v>0</v>
      </c>
      <c r="N71" s="448">
        <v>0</v>
      </c>
      <c r="O71" s="602">
        <f>Activity!C70*Activity!D70</f>
        <v>0</v>
      </c>
      <c r="P71" s="609">
        <f>Activity!X70</f>
        <v>0</v>
      </c>
    </row>
    <row r="72" spans="2:16">
      <c r="B72" s="7">
        <f t="shared" si="1"/>
        <v>2058</v>
      </c>
      <c r="C72" s="601">
        <f>Activity!$C71*Activity!$D71*Activity!E71</f>
        <v>0</v>
      </c>
      <c r="D72" s="602">
        <f>Activity!$C71*Activity!$D71*Activity!F71</f>
        <v>0</v>
      </c>
      <c r="E72" s="600">
        <f>Activity!$C71*Activity!$D71*Activity!G71</f>
        <v>0</v>
      </c>
      <c r="F72" s="602">
        <f>Activity!$C71*Activity!$D71*Activity!H71</f>
        <v>0</v>
      </c>
      <c r="G72" s="602">
        <f>Activity!$C71*Activity!$D71*Activity!I71</f>
        <v>0</v>
      </c>
      <c r="H72" s="602">
        <f>Activity!$C71*Activity!$D71*Activity!J71</f>
        <v>0</v>
      </c>
      <c r="I72" s="602">
        <f>Activity!$C71*Activity!$D71*Activity!K71</f>
        <v>0</v>
      </c>
      <c r="J72" s="603">
        <f>Activity!$C71*Activity!$D71*Activity!L71</f>
        <v>0</v>
      </c>
      <c r="K72" s="602">
        <f>Activity!$C71*Activity!$D71*Activity!M71</f>
        <v>0</v>
      </c>
      <c r="L72" s="602">
        <f>Activity!$C71*Activity!$D71*Activity!N71</f>
        <v>0</v>
      </c>
      <c r="M72" s="600">
        <f>Activity!$C71*Activity!$D71*Activity!O71</f>
        <v>0</v>
      </c>
      <c r="N72" s="448">
        <v>0</v>
      </c>
      <c r="O72" s="602">
        <f>Activity!C71*Activity!D71</f>
        <v>0</v>
      </c>
      <c r="P72" s="609">
        <f>Activity!X71</f>
        <v>0</v>
      </c>
    </row>
    <row r="73" spans="2:16">
      <c r="B73" s="7">
        <f t="shared" si="1"/>
        <v>2059</v>
      </c>
      <c r="C73" s="601">
        <f>Activity!$C72*Activity!$D72*Activity!E72</f>
        <v>0</v>
      </c>
      <c r="D73" s="602">
        <f>Activity!$C72*Activity!$D72*Activity!F72</f>
        <v>0</v>
      </c>
      <c r="E73" s="600">
        <f>Activity!$C72*Activity!$D72*Activity!G72</f>
        <v>0</v>
      </c>
      <c r="F73" s="602">
        <f>Activity!$C72*Activity!$D72*Activity!H72</f>
        <v>0</v>
      </c>
      <c r="G73" s="602">
        <f>Activity!$C72*Activity!$D72*Activity!I72</f>
        <v>0</v>
      </c>
      <c r="H73" s="602">
        <f>Activity!$C72*Activity!$D72*Activity!J72</f>
        <v>0</v>
      </c>
      <c r="I73" s="602">
        <f>Activity!$C72*Activity!$D72*Activity!K72</f>
        <v>0</v>
      </c>
      <c r="J73" s="603">
        <f>Activity!$C72*Activity!$D72*Activity!L72</f>
        <v>0</v>
      </c>
      <c r="K73" s="602">
        <f>Activity!$C72*Activity!$D72*Activity!M72</f>
        <v>0</v>
      </c>
      <c r="L73" s="602">
        <f>Activity!$C72*Activity!$D72*Activity!N72</f>
        <v>0</v>
      </c>
      <c r="M73" s="600">
        <f>Activity!$C72*Activity!$D72*Activity!O72</f>
        <v>0</v>
      </c>
      <c r="N73" s="448">
        <v>0</v>
      </c>
      <c r="O73" s="602">
        <f>Activity!C72*Activity!D72</f>
        <v>0</v>
      </c>
      <c r="P73" s="609">
        <f>Activity!X72</f>
        <v>0</v>
      </c>
    </row>
    <row r="74" spans="2:16">
      <c r="B74" s="7">
        <f t="shared" si="1"/>
        <v>2060</v>
      </c>
      <c r="C74" s="601">
        <f>Activity!$C73*Activity!$D73*Activity!E73</f>
        <v>0</v>
      </c>
      <c r="D74" s="602">
        <f>Activity!$C73*Activity!$D73*Activity!F73</f>
        <v>0</v>
      </c>
      <c r="E74" s="600">
        <f>Activity!$C73*Activity!$D73*Activity!G73</f>
        <v>0</v>
      </c>
      <c r="F74" s="602">
        <f>Activity!$C73*Activity!$D73*Activity!H73</f>
        <v>0</v>
      </c>
      <c r="G74" s="602">
        <f>Activity!$C73*Activity!$D73*Activity!I73</f>
        <v>0</v>
      </c>
      <c r="H74" s="602">
        <f>Activity!$C73*Activity!$D73*Activity!J73</f>
        <v>0</v>
      </c>
      <c r="I74" s="602">
        <f>Activity!$C73*Activity!$D73*Activity!K73</f>
        <v>0</v>
      </c>
      <c r="J74" s="603">
        <f>Activity!$C73*Activity!$D73*Activity!L73</f>
        <v>0</v>
      </c>
      <c r="K74" s="602">
        <f>Activity!$C73*Activity!$D73*Activity!M73</f>
        <v>0</v>
      </c>
      <c r="L74" s="602">
        <f>Activity!$C73*Activity!$D73*Activity!N73</f>
        <v>0</v>
      </c>
      <c r="M74" s="600">
        <f>Activity!$C73*Activity!$D73*Activity!O73</f>
        <v>0</v>
      </c>
      <c r="N74" s="448">
        <v>0</v>
      </c>
      <c r="O74" s="602">
        <f>Activity!C73*Activity!D73</f>
        <v>0</v>
      </c>
      <c r="P74" s="609">
        <f>Activity!X73</f>
        <v>0</v>
      </c>
    </row>
    <row r="75" spans="2:16">
      <c r="B75" s="7">
        <f t="shared" si="1"/>
        <v>2061</v>
      </c>
      <c r="C75" s="601">
        <f>Activity!$C74*Activity!$D74*Activity!E74</f>
        <v>0</v>
      </c>
      <c r="D75" s="602">
        <f>Activity!$C74*Activity!$D74*Activity!F74</f>
        <v>0</v>
      </c>
      <c r="E75" s="600">
        <f>Activity!$C74*Activity!$D74*Activity!G74</f>
        <v>0</v>
      </c>
      <c r="F75" s="602">
        <f>Activity!$C74*Activity!$D74*Activity!H74</f>
        <v>0</v>
      </c>
      <c r="G75" s="602">
        <f>Activity!$C74*Activity!$D74*Activity!I74</f>
        <v>0</v>
      </c>
      <c r="H75" s="602">
        <f>Activity!$C74*Activity!$D74*Activity!J74</f>
        <v>0</v>
      </c>
      <c r="I75" s="602">
        <f>Activity!$C74*Activity!$D74*Activity!K74</f>
        <v>0</v>
      </c>
      <c r="J75" s="603">
        <f>Activity!$C74*Activity!$D74*Activity!L74</f>
        <v>0</v>
      </c>
      <c r="K75" s="602">
        <f>Activity!$C74*Activity!$D74*Activity!M74</f>
        <v>0</v>
      </c>
      <c r="L75" s="602">
        <f>Activity!$C74*Activity!$D74*Activity!N74</f>
        <v>0</v>
      </c>
      <c r="M75" s="600">
        <f>Activity!$C74*Activity!$D74*Activity!O74</f>
        <v>0</v>
      </c>
      <c r="N75" s="448">
        <v>0</v>
      </c>
      <c r="O75" s="602">
        <f>Activity!C74*Activity!D74</f>
        <v>0</v>
      </c>
      <c r="P75" s="609">
        <f>Activity!X74</f>
        <v>0</v>
      </c>
    </row>
    <row r="76" spans="2:16">
      <c r="B76" s="7">
        <f t="shared" si="1"/>
        <v>2062</v>
      </c>
      <c r="C76" s="601">
        <f>Activity!$C75*Activity!$D75*Activity!E75</f>
        <v>0</v>
      </c>
      <c r="D76" s="602">
        <f>Activity!$C75*Activity!$D75*Activity!F75</f>
        <v>0</v>
      </c>
      <c r="E76" s="600">
        <f>Activity!$C75*Activity!$D75*Activity!G75</f>
        <v>0</v>
      </c>
      <c r="F76" s="602">
        <f>Activity!$C75*Activity!$D75*Activity!H75</f>
        <v>0</v>
      </c>
      <c r="G76" s="602">
        <f>Activity!$C75*Activity!$D75*Activity!I75</f>
        <v>0</v>
      </c>
      <c r="H76" s="602">
        <f>Activity!$C75*Activity!$D75*Activity!J75</f>
        <v>0</v>
      </c>
      <c r="I76" s="602">
        <f>Activity!$C75*Activity!$D75*Activity!K75</f>
        <v>0</v>
      </c>
      <c r="J76" s="603">
        <f>Activity!$C75*Activity!$D75*Activity!L75</f>
        <v>0</v>
      </c>
      <c r="K76" s="602">
        <f>Activity!$C75*Activity!$D75*Activity!M75</f>
        <v>0</v>
      </c>
      <c r="L76" s="602">
        <f>Activity!$C75*Activity!$D75*Activity!N75</f>
        <v>0</v>
      </c>
      <c r="M76" s="600">
        <f>Activity!$C75*Activity!$D75*Activity!O75</f>
        <v>0</v>
      </c>
      <c r="N76" s="448">
        <v>0</v>
      </c>
      <c r="O76" s="602">
        <f>Activity!C75*Activity!D75</f>
        <v>0</v>
      </c>
      <c r="P76" s="609">
        <f>Activity!X75</f>
        <v>0</v>
      </c>
    </row>
    <row r="77" spans="2:16">
      <c r="B77" s="7">
        <f t="shared" si="1"/>
        <v>2063</v>
      </c>
      <c r="C77" s="601">
        <f>Activity!$C76*Activity!$D76*Activity!E76</f>
        <v>0</v>
      </c>
      <c r="D77" s="602">
        <f>Activity!$C76*Activity!$D76*Activity!F76</f>
        <v>0</v>
      </c>
      <c r="E77" s="600">
        <f>Activity!$C76*Activity!$D76*Activity!G76</f>
        <v>0</v>
      </c>
      <c r="F77" s="602">
        <f>Activity!$C76*Activity!$D76*Activity!H76</f>
        <v>0</v>
      </c>
      <c r="G77" s="602">
        <f>Activity!$C76*Activity!$D76*Activity!I76</f>
        <v>0</v>
      </c>
      <c r="H77" s="602">
        <f>Activity!$C76*Activity!$D76*Activity!J76</f>
        <v>0</v>
      </c>
      <c r="I77" s="602">
        <f>Activity!$C76*Activity!$D76*Activity!K76</f>
        <v>0</v>
      </c>
      <c r="J77" s="603">
        <f>Activity!$C76*Activity!$D76*Activity!L76</f>
        <v>0</v>
      </c>
      <c r="K77" s="602">
        <f>Activity!$C76*Activity!$D76*Activity!M76</f>
        <v>0</v>
      </c>
      <c r="L77" s="602">
        <f>Activity!$C76*Activity!$D76*Activity!N76</f>
        <v>0</v>
      </c>
      <c r="M77" s="600">
        <f>Activity!$C76*Activity!$D76*Activity!O76</f>
        <v>0</v>
      </c>
      <c r="N77" s="448">
        <v>0</v>
      </c>
      <c r="O77" s="602">
        <f>Activity!C76*Activity!D76</f>
        <v>0</v>
      </c>
      <c r="P77" s="609">
        <f>Activity!X76</f>
        <v>0</v>
      </c>
    </row>
    <row r="78" spans="2:16">
      <c r="B78" s="7">
        <f t="shared" si="1"/>
        <v>2064</v>
      </c>
      <c r="C78" s="601">
        <f>Activity!$C77*Activity!$D77*Activity!E77</f>
        <v>0</v>
      </c>
      <c r="D78" s="602">
        <f>Activity!$C77*Activity!$D77*Activity!F77</f>
        <v>0</v>
      </c>
      <c r="E78" s="600">
        <f>Activity!$C77*Activity!$D77*Activity!G77</f>
        <v>0</v>
      </c>
      <c r="F78" s="602">
        <f>Activity!$C77*Activity!$D77*Activity!H77</f>
        <v>0</v>
      </c>
      <c r="G78" s="602">
        <f>Activity!$C77*Activity!$D77*Activity!I77</f>
        <v>0</v>
      </c>
      <c r="H78" s="602">
        <f>Activity!$C77*Activity!$D77*Activity!J77</f>
        <v>0</v>
      </c>
      <c r="I78" s="602">
        <f>Activity!$C77*Activity!$D77*Activity!K77</f>
        <v>0</v>
      </c>
      <c r="J78" s="603">
        <f>Activity!$C77*Activity!$D77*Activity!L77</f>
        <v>0</v>
      </c>
      <c r="K78" s="602">
        <f>Activity!$C77*Activity!$D77*Activity!M77</f>
        <v>0</v>
      </c>
      <c r="L78" s="602">
        <f>Activity!$C77*Activity!$D77*Activity!N77</f>
        <v>0</v>
      </c>
      <c r="M78" s="600">
        <f>Activity!$C77*Activity!$D77*Activity!O77</f>
        <v>0</v>
      </c>
      <c r="N78" s="448">
        <v>0</v>
      </c>
      <c r="O78" s="602">
        <f>Activity!C77*Activity!D77</f>
        <v>0</v>
      </c>
      <c r="P78" s="609">
        <f>Activity!X77</f>
        <v>0</v>
      </c>
    </row>
    <row r="79" spans="2:16">
      <c r="B79" s="7">
        <f t="shared" si="1"/>
        <v>2065</v>
      </c>
      <c r="C79" s="601">
        <f>Activity!$C78*Activity!$D78*Activity!E78</f>
        <v>0</v>
      </c>
      <c r="D79" s="602">
        <f>Activity!$C78*Activity!$D78*Activity!F78</f>
        <v>0</v>
      </c>
      <c r="E79" s="600">
        <f>Activity!$C78*Activity!$D78*Activity!G78</f>
        <v>0</v>
      </c>
      <c r="F79" s="602">
        <f>Activity!$C78*Activity!$D78*Activity!H78</f>
        <v>0</v>
      </c>
      <c r="G79" s="602">
        <f>Activity!$C78*Activity!$D78*Activity!I78</f>
        <v>0</v>
      </c>
      <c r="H79" s="602">
        <f>Activity!$C78*Activity!$D78*Activity!J78</f>
        <v>0</v>
      </c>
      <c r="I79" s="602">
        <f>Activity!$C78*Activity!$D78*Activity!K78</f>
        <v>0</v>
      </c>
      <c r="J79" s="603">
        <f>Activity!$C78*Activity!$D78*Activity!L78</f>
        <v>0</v>
      </c>
      <c r="K79" s="602">
        <f>Activity!$C78*Activity!$D78*Activity!M78</f>
        <v>0</v>
      </c>
      <c r="L79" s="602">
        <f>Activity!$C78*Activity!$D78*Activity!N78</f>
        <v>0</v>
      </c>
      <c r="M79" s="600">
        <f>Activity!$C78*Activity!$D78*Activity!O78</f>
        <v>0</v>
      </c>
      <c r="N79" s="448">
        <v>0</v>
      </c>
      <c r="O79" s="602">
        <f>Activity!C78*Activity!D78</f>
        <v>0</v>
      </c>
      <c r="P79" s="609">
        <f>Activity!X78</f>
        <v>0</v>
      </c>
    </row>
    <row r="80" spans="2:16">
      <c r="B80" s="7">
        <f t="shared" si="1"/>
        <v>2066</v>
      </c>
      <c r="C80" s="601">
        <f>Activity!$C79*Activity!$D79*Activity!E79</f>
        <v>0</v>
      </c>
      <c r="D80" s="602">
        <f>Activity!$C79*Activity!$D79*Activity!F79</f>
        <v>0</v>
      </c>
      <c r="E80" s="600">
        <f>Activity!$C79*Activity!$D79*Activity!G79</f>
        <v>0</v>
      </c>
      <c r="F80" s="602">
        <f>Activity!$C79*Activity!$D79*Activity!H79</f>
        <v>0</v>
      </c>
      <c r="G80" s="602">
        <f>Activity!$C79*Activity!$D79*Activity!I79</f>
        <v>0</v>
      </c>
      <c r="H80" s="602">
        <f>Activity!$C79*Activity!$D79*Activity!J79</f>
        <v>0</v>
      </c>
      <c r="I80" s="602">
        <f>Activity!$C79*Activity!$D79*Activity!K79</f>
        <v>0</v>
      </c>
      <c r="J80" s="603">
        <f>Activity!$C79*Activity!$D79*Activity!L79</f>
        <v>0</v>
      </c>
      <c r="K80" s="602">
        <f>Activity!$C79*Activity!$D79*Activity!M79</f>
        <v>0</v>
      </c>
      <c r="L80" s="602">
        <f>Activity!$C79*Activity!$D79*Activity!N79</f>
        <v>0</v>
      </c>
      <c r="M80" s="600">
        <f>Activity!$C79*Activity!$D79*Activity!O79</f>
        <v>0</v>
      </c>
      <c r="N80" s="448">
        <v>0</v>
      </c>
      <c r="O80" s="602">
        <f>Activity!C79*Activity!D79</f>
        <v>0</v>
      </c>
      <c r="P80" s="609">
        <f>Activity!X79</f>
        <v>0</v>
      </c>
    </row>
    <row r="81" spans="2:16">
      <c r="B81" s="7">
        <f t="shared" si="1"/>
        <v>2067</v>
      </c>
      <c r="C81" s="601">
        <f>Activity!$C80*Activity!$D80*Activity!E80</f>
        <v>0</v>
      </c>
      <c r="D81" s="602">
        <f>Activity!$C80*Activity!$D80*Activity!F80</f>
        <v>0</v>
      </c>
      <c r="E81" s="600">
        <f>Activity!$C80*Activity!$D80*Activity!G80</f>
        <v>0</v>
      </c>
      <c r="F81" s="602">
        <f>Activity!$C80*Activity!$D80*Activity!H80</f>
        <v>0</v>
      </c>
      <c r="G81" s="602">
        <f>Activity!$C80*Activity!$D80*Activity!I80</f>
        <v>0</v>
      </c>
      <c r="H81" s="602">
        <f>Activity!$C80*Activity!$D80*Activity!J80</f>
        <v>0</v>
      </c>
      <c r="I81" s="602">
        <f>Activity!$C80*Activity!$D80*Activity!K80</f>
        <v>0</v>
      </c>
      <c r="J81" s="603">
        <f>Activity!$C80*Activity!$D80*Activity!L80</f>
        <v>0</v>
      </c>
      <c r="K81" s="602">
        <f>Activity!$C80*Activity!$D80*Activity!M80</f>
        <v>0</v>
      </c>
      <c r="L81" s="602">
        <f>Activity!$C80*Activity!$D80*Activity!N80</f>
        <v>0</v>
      </c>
      <c r="M81" s="600">
        <f>Activity!$C80*Activity!$D80*Activity!O80</f>
        <v>0</v>
      </c>
      <c r="N81" s="448">
        <v>0</v>
      </c>
      <c r="O81" s="602">
        <f>Activity!C80*Activity!D80</f>
        <v>0</v>
      </c>
      <c r="P81" s="609">
        <f>Activity!X80</f>
        <v>0</v>
      </c>
    </row>
    <row r="82" spans="2:16">
      <c r="B82" s="7">
        <f t="shared" si="1"/>
        <v>2068</v>
      </c>
      <c r="C82" s="601">
        <f>Activity!$C81*Activity!$D81*Activity!E81</f>
        <v>0</v>
      </c>
      <c r="D82" s="602">
        <f>Activity!$C81*Activity!$D81*Activity!F81</f>
        <v>0</v>
      </c>
      <c r="E82" s="600">
        <f>Activity!$C81*Activity!$D81*Activity!G81</f>
        <v>0</v>
      </c>
      <c r="F82" s="602">
        <f>Activity!$C81*Activity!$D81*Activity!H81</f>
        <v>0</v>
      </c>
      <c r="G82" s="602">
        <f>Activity!$C81*Activity!$D81*Activity!I81</f>
        <v>0</v>
      </c>
      <c r="H82" s="602">
        <f>Activity!$C81*Activity!$D81*Activity!J81</f>
        <v>0</v>
      </c>
      <c r="I82" s="602">
        <f>Activity!$C81*Activity!$D81*Activity!K81</f>
        <v>0</v>
      </c>
      <c r="J82" s="603">
        <f>Activity!$C81*Activity!$D81*Activity!L81</f>
        <v>0</v>
      </c>
      <c r="K82" s="602">
        <f>Activity!$C81*Activity!$D81*Activity!M81</f>
        <v>0</v>
      </c>
      <c r="L82" s="602">
        <f>Activity!$C81*Activity!$D81*Activity!N81</f>
        <v>0</v>
      </c>
      <c r="M82" s="600">
        <f>Activity!$C81*Activity!$D81*Activity!O81</f>
        <v>0</v>
      </c>
      <c r="N82" s="448">
        <v>0</v>
      </c>
      <c r="O82" s="602">
        <f>Activity!C81*Activity!D81</f>
        <v>0</v>
      </c>
      <c r="P82" s="609">
        <f>Activity!X81</f>
        <v>0</v>
      </c>
    </row>
    <row r="83" spans="2:16">
      <c r="B83" s="7">
        <f t="shared" si="1"/>
        <v>2069</v>
      </c>
      <c r="C83" s="601">
        <f>Activity!$C82*Activity!$D82*Activity!E82</f>
        <v>0</v>
      </c>
      <c r="D83" s="602">
        <f>Activity!$C82*Activity!$D82*Activity!F82</f>
        <v>0</v>
      </c>
      <c r="E83" s="600">
        <f>Activity!$C82*Activity!$D82*Activity!G82</f>
        <v>0</v>
      </c>
      <c r="F83" s="602">
        <f>Activity!$C82*Activity!$D82*Activity!H82</f>
        <v>0</v>
      </c>
      <c r="G83" s="602">
        <f>Activity!$C82*Activity!$D82*Activity!I82</f>
        <v>0</v>
      </c>
      <c r="H83" s="602">
        <f>Activity!$C82*Activity!$D82*Activity!J82</f>
        <v>0</v>
      </c>
      <c r="I83" s="602">
        <f>Activity!$C82*Activity!$D82*Activity!K82</f>
        <v>0</v>
      </c>
      <c r="J83" s="603">
        <f>Activity!$C82*Activity!$D82*Activity!L82</f>
        <v>0</v>
      </c>
      <c r="K83" s="602">
        <f>Activity!$C82*Activity!$D82*Activity!M82</f>
        <v>0</v>
      </c>
      <c r="L83" s="602">
        <f>Activity!$C82*Activity!$D82*Activity!N82</f>
        <v>0</v>
      </c>
      <c r="M83" s="600">
        <f>Activity!$C82*Activity!$D82*Activity!O82</f>
        <v>0</v>
      </c>
      <c r="N83" s="448">
        <v>0</v>
      </c>
      <c r="O83" s="602">
        <f>Activity!C82*Activity!D82</f>
        <v>0</v>
      </c>
      <c r="P83" s="609">
        <f>Activity!X82</f>
        <v>0</v>
      </c>
    </row>
    <row r="84" spans="2:16">
      <c r="B84" s="7">
        <f t="shared" si="1"/>
        <v>2070</v>
      </c>
      <c r="C84" s="601">
        <f>Activity!$C83*Activity!$D83*Activity!E83</f>
        <v>0</v>
      </c>
      <c r="D84" s="602">
        <f>Activity!$C83*Activity!$D83*Activity!F83</f>
        <v>0</v>
      </c>
      <c r="E84" s="600">
        <f>Activity!$C83*Activity!$D83*Activity!G83</f>
        <v>0</v>
      </c>
      <c r="F84" s="602">
        <f>Activity!$C83*Activity!$D83*Activity!H83</f>
        <v>0</v>
      </c>
      <c r="G84" s="602">
        <f>Activity!$C83*Activity!$D83*Activity!I83</f>
        <v>0</v>
      </c>
      <c r="H84" s="602">
        <f>Activity!$C83*Activity!$D83*Activity!J83</f>
        <v>0</v>
      </c>
      <c r="I84" s="602">
        <f>Activity!$C83*Activity!$D83*Activity!K83</f>
        <v>0</v>
      </c>
      <c r="J84" s="603">
        <f>Activity!$C83*Activity!$D83*Activity!L83</f>
        <v>0</v>
      </c>
      <c r="K84" s="602">
        <f>Activity!$C83*Activity!$D83*Activity!M83</f>
        <v>0</v>
      </c>
      <c r="L84" s="602">
        <f>Activity!$C83*Activity!$D83*Activity!N83</f>
        <v>0</v>
      </c>
      <c r="M84" s="600">
        <f>Activity!$C83*Activity!$D83*Activity!O83</f>
        <v>0</v>
      </c>
      <c r="N84" s="448">
        <v>0</v>
      </c>
      <c r="O84" s="602">
        <f>Activity!C83*Activity!D83</f>
        <v>0</v>
      </c>
      <c r="P84" s="609">
        <f>Activity!X83</f>
        <v>0</v>
      </c>
    </row>
    <row r="85" spans="2:16">
      <c r="B85" s="7">
        <f t="shared" si="1"/>
        <v>2071</v>
      </c>
      <c r="C85" s="601">
        <f>Activity!$C84*Activity!$D84*Activity!E84</f>
        <v>0</v>
      </c>
      <c r="D85" s="602">
        <f>Activity!$C84*Activity!$D84*Activity!F84</f>
        <v>0</v>
      </c>
      <c r="E85" s="600">
        <f>Activity!$C84*Activity!$D84*Activity!G84</f>
        <v>0</v>
      </c>
      <c r="F85" s="602">
        <f>Activity!$C84*Activity!$D84*Activity!H84</f>
        <v>0</v>
      </c>
      <c r="G85" s="602">
        <f>Activity!$C84*Activity!$D84*Activity!I84</f>
        <v>0</v>
      </c>
      <c r="H85" s="602">
        <f>Activity!$C84*Activity!$D84*Activity!J84</f>
        <v>0</v>
      </c>
      <c r="I85" s="602">
        <f>Activity!$C84*Activity!$D84*Activity!K84</f>
        <v>0</v>
      </c>
      <c r="J85" s="603">
        <f>Activity!$C84*Activity!$D84*Activity!L84</f>
        <v>0</v>
      </c>
      <c r="K85" s="602">
        <f>Activity!$C84*Activity!$D84*Activity!M84</f>
        <v>0</v>
      </c>
      <c r="L85" s="602">
        <f>Activity!$C84*Activity!$D84*Activity!N84</f>
        <v>0</v>
      </c>
      <c r="M85" s="600">
        <f>Activity!$C84*Activity!$D84*Activity!O84</f>
        <v>0</v>
      </c>
      <c r="N85" s="448">
        <v>0</v>
      </c>
      <c r="O85" s="602">
        <f>Activity!C84*Activity!D84</f>
        <v>0</v>
      </c>
      <c r="P85" s="609">
        <f>Activity!X84</f>
        <v>0</v>
      </c>
    </row>
    <row r="86" spans="2:16">
      <c r="B86" s="7">
        <f t="shared" ref="B86:B94" si="2">B85+1</f>
        <v>2072</v>
      </c>
      <c r="C86" s="601">
        <f>Activity!$C85*Activity!$D85*Activity!E85</f>
        <v>0</v>
      </c>
      <c r="D86" s="602">
        <f>Activity!$C85*Activity!$D85*Activity!F85</f>
        <v>0</v>
      </c>
      <c r="E86" s="600">
        <f>Activity!$C85*Activity!$D85*Activity!G85</f>
        <v>0</v>
      </c>
      <c r="F86" s="602">
        <f>Activity!$C85*Activity!$D85*Activity!H85</f>
        <v>0</v>
      </c>
      <c r="G86" s="602">
        <f>Activity!$C85*Activity!$D85*Activity!I85</f>
        <v>0</v>
      </c>
      <c r="H86" s="602">
        <f>Activity!$C85*Activity!$D85*Activity!J85</f>
        <v>0</v>
      </c>
      <c r="I86" s="602">
        <f>Activity!$C85*Activity!$D85*Activity!K85</f>
        <v>0</v>
      </c>
      <c r="J86" s="603">
        <f>Activity!$C85*Activity!$D85*Activity!L85</f>
        <v>0</v>
      </c>
      <c r="K86" s="602">
        <f>Activity!$C85*Activity!$D85*Activity!M85</f>
        <v>0</v>
      </c>
      <c r="L86" s="602">
        <f>Activity!$C85*Activity!$D85*Activity!N85</f>
        <v>0</v>
      </c>
      <c r="M86" s="600">
        <f>Activity!$C85*Activity!$D85*Activity!O85</f>
        <v>0</v>
      </c>
      <c r="N86" s="448">
        <v>0</v>
      </c>
      <c r="O86" s="602">
        <f>Activity!C85*Activity!D85</f>
        <v>0</v>
      </c>
      <c r="P86" s="609">
        <f>Activity!X85</f>
        <v>0</v>
      </c>
    </row>
    <row r="87" spans="2:16">
      <c r="B87" s="7">
        <f t="shared" si="2"/>
        <v>2073</v>
      </c>
      <c r="C87" s="601">
        <f>Activity!$C86*Activity!$D86*Activity!E86</f>
        <v>0</v>
      </c>
      <c r="D87" s="602">
        <f>Activity!$C86*Activity!$D86*Activity!F86</f>
        <v>0</v>
      </c>
      <c r="E87" s="600">
        <f>Activity!$C86*Activity!$D86*Activity!G86</f>
        <v>0</v>
      </c>
      <c r="F87" s="602">
        <f>Activity!$C86*Activity!$D86*Activity!H86</f>
        <v>0</v>
      </c>
      <c r="G87" s="602">
        <f>Activity!$C86*Activity!$D86*Activity!I86</f>
        <v>0</v>
      </c>
      <c r="H87" s="602">
        <f>Activity!$C86*Activity!$D86*Activity!J86</f>
        <v>0</v>
      </c>
      <c r="I87" s="602">
        <f>Activity!$C86*Activity!$D86*Activity!K86</f>
        <v>0</v>
      </c>
      <c r="J87" s="603">
        <f>Activity!$C86*Activity!$D86*Activity!L86</f>
        <v>0</v>
      </c>
      <c r="K87" s="602">
        <f>Activity!$C86*Activity!$D86*Activity!M86</f>
        <v>0</v>
      </c>
      <c r="L87" s="602">
        <f>Activity!$C86*Activity!$D86*Activity!N86</f>
        <v>0</v>
      </c>
      <c r="M87" s="600">
        <f>Activity!$C86*Activity!$D86*Activity!O86</f>
        <v>0</v>
      </c>
      <c r="N87" s="448">
        <v>0</v>
      </c>
      <c r="O87" s="602">
        <f>Activity!C86*Activity!D86</f>
        <v>0</v>
      </c>
      <c r="P87" s="609">
        <f>Activity!X86</f>
        <v>0</v>
      </c>
    </row>
    <row r="88" spans="2:16">
      <c r="B88" s="7">
        <f t="shared" si="2"/>
        <v>2074</v>
      </c>
      <c r="C88" s="601">
        <f>Activity!$C87*Activity!$D87*Activity!E87</f>
        <v>0</v>
      </c>
      <c r="D88" s="602">
        <f>Activity!$C87*Activity!$D87*Activity!F87</f>
        <v>0</v>
      </c>
      <c r="E88" s="600">
        <f>Activity!$C87*Activity!$D87*Activity!G87</f>
        <v>0</v>
      </c>
      <c r="F88" s="602">
        <f>Activity!$C87*Activity!$D87*Activity!H87</f>
        <v>0</v>
      </c>
      <c r="G88" s="602">
        <f>Activity!$C87*Activity!$D87*Activity!I87</f>
        <v>0</v>
      </c>
      <c r="H88" s="602">
        <f>Activity!$C87*Activity!$D87*Activity!J87</f>
        <v>0</v>
      </c>
      <c r="I88" s="602">
        <f>Activity!$C87*Activity!$D87*Activity!K87</f>
        <v>0</v>
      </c>
      <c r="J88" s="603">
        <f>Activity!$C87*Activity!$D87*Activity!L87</f>
        <v>0</v>
      </c>
      <c r="K88" s="602">
        <f>Activity!$C87*Activity!$D87*Activity!M87</f>
        <v>0</v>
      </c>
      <c r="L88" s="602">
        <f>Activity!$C87*Activity!$D87*Activity!N87</f>
        <v>0</v>
      </c>
      <c r="M88" s="600">
        <f>Activity!$C87*Activity!$D87*Activity!O87</f>
        <v>0</v>
      </c>
      <c r="N88" s="448">
        <v>0</v>
      </c>
      <c r="O88" s="602">
        <f>Activity!C87*Activity!D87</f>
        <v>0</v>
      </c>
      <c r="P88" s="609">
        <f>Activity!X87</f>
        <v>0</v>
      </c>
    </row>
    <row r="89" spans="2:16">
      <c r="B89" s="7">
        <f t="shared" si="2"/>
        <v>2075</v>
      </c>
      <c r="C89" s="601">
        <f>Activity!$C88*Activity!$D88*Activity!E88</f>
        <v>0</v>
      </c>
      <c r="D89" s="602">
        <f>Activity!$C88*Activity!$D88*Activity!F88</f>
        <v>0</v>
      </c>
      <c r="E89" s="600">
        <f>Activity!$C88*Activity!$D88*Activity!G88</f>
        <v>0</v>
      </c>
      <c r="F89" s="602">
        <f>Activity!$C88*Activity!$D88*Activity!H88</f>
        <v>0</v>
      </c>
      <c r="G89" s="602">
        <f>Activity!$C88*Activity!$D88*Activity!I88</f>
        <v>0</v>
      </c>
      <c r="H89" s="602">
        <f>Activity!$C88*Activity!$D88*Activity!J88</f>
        <v>0</v>
      </c>
      <c r="I89" s="602">
        <f>Activity!$C88*Activity!$D88*Activity!K88</f>
        <v>0</v>
      </c>
      <c r="J89" s="603">
        <f>Activity!$C88*Activity!$D88*Activity!L88</f>
        <v>0</v>
      </c>
      <c r="K89" s="602">
        <f>Activity!$C88*Activity!$D88*Activity!M88</f>
        <v>0</v>
      </c>
      <c r="L89" s="602">
        <f>Activity!$C88*Activity!$D88*Activity!N88</f>
        <v>0</v>
      </c>
      <c r="M89" s="600">
        <f>Activity!$C88*Activity!$D88*Activity!O88</f>
        <v>0</v>
      </c>
      <c r="N89" s="448">
        <v>0</v>
      </c>
      <c r="O89" s="602">
        <f>Activity!C88*Activity!D88</f>
        <v>0</v>
      </c>
      <c r="P89" s="609">
        <f>Activity!X88</f>
        <v>0</v>
      </c>
    </row>
    <row r="90" spans="2:16">
      <c r="B90" s="7">
        <f t="shared" si="2"/>
        <v>2076</v>
      </c>
      <c r="C90" s="601">
        <f>Activity!$C89*Activity!$D89*Activity!E89</f>
        <v>0</v>
      </c>
      <c r="D90" s="602">
        <f>Activity!$C89*Activity!$D89*Activity!F89</f>
        <v>0</v>
      </c>
      <c r="E90" s="600">
        <f>Activity!$C89*Activity!$D89*Activity!G89</f>
        <v>0</v>
      </c>
      <c r="F90" s="602">
        <f>Activity!$C89*Activity!$D89*Activity!H89</f>
        <v>0</v>
      </c>
      <c r="G90" s="602">
        <f>Activity!$C89*Activity!$D89*Activity!I89</f>
        <v>0</v>
      </c>
      <c r="H90" s="602">
        <f>Activity!$C89*Activity!$D89*Activity!J89</f>
        <v>0</v>
      </c>
      <c r="I90" s="602">
        <f>Activity!$C89*Activity!$D89*Activity!K89</f>
        <v>0</v>
      </c>
      <c r="J90" s="603">
        <f>Activity!$C89*Activity!$D89*Activity!L89</f>
        <v>0</v>
      </c>
      <c r="K90" s="602">
        <f>Activity!$C89*Activity!$D89*Activity!M89</f>
        <v>0</v>
      </c>
      <c r="L90" s="602">
        <f>Activity!$C89*Activity!$D89*Activity!N89</f>
        <v>0</v>
      </c>
      <c r="M90" s="600">
        <f>Activity!$C89*Activity!$D89*Activity!O89</f>
        <v>0</v>
      </c>
      <c r="N90" s="448">
        <v>0</v>
      </c>
      <c r="O90" s="602">
        <f>Activity!C89*Activity!D89</f>
        <v>0</v>
      </c>
      <c r="P90" s="609">
        <f>Activity!X89</f>
        <v>0</v>
      </c>
    </row>
    <row r="91" spans="2:16">
      <c r="B91" s="7">
        <f t="shared" si="2"/>
        <v>2077</v>
      </c>
      <c r="C91" s="601">
        <f>Activity!$C90*Activity!$D90*Activity!E90</f>
        <v>0</v>
      </c>
      <c r="D91" s="602">
        <f>Activity!$C90*Activity!$D90*Activity!F90</f>
        <v>0</v>
      </c>
      <c r="E91" s="600">
        <f>Activity!$C90*Activity!$D90*Activity!G90</f>
        <v>0</v>
      </c>
      <c r="F91" s="602">
        <f>Activity!$C90*Activity!$D90*Activity!H90</f>
        <v>0</v>
      </c>
      <c r="G91" s="602">
        <f>Activity!$C90*Activity!$D90*Activity!I90</f>
        <v>0</v>
      </c>
      <c r="H91" s="602">
        <f>Activity!$C90*Activity!$D90*Activity!J90</f>
        <v>0</v>
      </c>
      <c r="I91" s="602">
        <f>Activity!$C90*Activity!$D90*Activity!K90</f>
        <v>0</v>
      </c>
      <c r="J91" s="603">
        <f>Activity!$C90*Activity!$D90*Activity!L90</f>
        <v>0</v>
      </c>
      <c r="K91" s="602">
        <f>Activity!$C90*Activity!$D90*Activity!M90</f>
        <v>0</v>
      </c>
      <c r="L91" s="602">
        <f>Activity!$C90*Activity!$D90*Activity!N90</f>
        <v>0</v>
      </c>
      <c r="M91" s="600">
        <f>Activity!$C90*Activity!$D90*Activity!O90</f>
        <v>0</v>
      </c>
      <c r="N91" s="448">
        <v>0</v>
      </c>
      <c r="O91" s="602">
        <f>Activity!C90*Activity!D90</f>
        <v>0</v>
      </c>
      <c r="P91" s="609">
        <f>Activity!X90</f>
        <v>0</v>
      </c>
    </row>
    <row r="92" spans="2:16">
      <c r="B92" s="7">
        <f t="shared" si="2"/>
        <v>2078</v>
      </c>
      <c r="C92" s="601">
        <f>Activity!$C91*Activity!$D91*Activity!E91</f>
        <v>0</v>
      </c>
      <c r="D92" s="602">
        <f>Activity!$C91*Activity!$D91*Activity!F91</f>
        <v>0</v>
      </c>
      <c r="E92" s="600">
        <f>Activity!$C91*Activity!$D91*Activity!G91</f>
        <v>0</v>
      </c>
      <c r="F92" s="602">
        <f>Activity!$C91*Activity!$D91*Activity!H91</f>
        <v>0</v>
      </c>
      <c r="G92" s="602">
        <f>Activity!$C91*Activity!$D91*Activity!I91</f>
        <v>0</v>
      </c>
      <c r="H92" s="602">
        <f>Activity!$C91*Activity!$D91*Activity!J91</f>
        <v>0</v>
      </c>
      <c r="I92" s="602">
        <f>Activity!$C91*Activity!$D91*Activity!K91</f>
        <v>0</v>
      </c>
      <c r="J92" s="603">
        <f>Activity!$C91*Activity!$D91*Activity!L91</f>
        <v>0</v>
      </c>
      <c r="K92" s="602">
        <f>Activity!$C91*Activity!$D91*Activity!M91</f>
        <v>0</v>
      </c>
      <c r="L92" s="602">
        <f>Activity!$C91*Activity!$D91*Activity!N91</f>
        <v>0</v>
      </c>
      <c r="M92" s="600">
        <f>Activity!$C91*Activity!$D91*Activity!O91</f>
        <v>0</v>
      </c>
      <c r="N92" s="448">
        <v>0</v>
      </c>
      <c r="O92" s="602">
        <f>Activity!C91*Activity!D91</f>
        <v>0</v>
      </c>
      <c r="P92" s="609">
        <f>Activity!X91</f>
        <v>0</v>
      </c>
    </row>
    <row r="93" spans="2:16">
      <c r="B93" s="7">
        <f t="shared" si="2"/>
        <v>2079</v>
      </c>
      <c r="C93" s="601">
        <f>Activity!$C92*Activity!$D92*Activity!E92</f>
        <v>0</v>
      </c>
      <c r="D93" s="602">
        <f>Activity!$C92*Activity!$D92*Activity!F92</f>
        <v>0</v>
      </c>
      <c r="E93" s="600">
        <f>Activity!$C92*Activity!$D92*Activity!G92</f>
        <v>0</v>
      </c>
      <c r="F93" s="602">
        <f>Activity!$C92*Activity!$D92*Activity!H92</f>
        <v>0</v>
      </c>
      <c r="G93" s="602">
        <f>Activity!$C92*Activity!$D92*Activity!I92</f>
        <v>0</v>
      </c>
      <c r="H93" s="602">
        <f>Activity!$C92*Activity!$D92*Activity!J92</f>
        <v>0</v>
      </c>
      <c r="I93" s="602">
        <f>Activity!$C92*Activity!$D92*Activity!K92</f>
        <v>0</v>
      </c>
      <c r="J93" s="603">
        <f>Activity!$C92*Activity!$D92*Activity!L92</f>
        <v>0</v>
      </c>
      <c r="K93" s="602">
        <f>Activity!$C92*Activity!$D92*Activity!M92</f>
        <v>0</v>
      </c>
      <c r="L93" s="602">
        <f>Activity!$C92*Activity!$D92*Activity!N92</f>
        <v>0</v>
      </c>
      <c r="M93" s="600">
        <f>Activity!$C92*Activity!$D92*Activity!O92</f>
        <v>0</v>
      </c>
      <c r="N93" s="448">
        <v>0</v>
      </c>
      <c r="O93" s="602">
        <f>Activity!C92*Activity!D92</f>
        <v>0</v>
      </c>
      <c r="P93" s="609">
        <f>Activity!X92</f>
        <v>0</v>
      </c>
    </row>
    <row r="94" spans="2:16" ht="13.5" thickBot="1">
      <c r="B94" s="18">
        <f t="shared" si="2"/>
        <v>2080</v>
      </c>
      <c r="C94" s="604">
        <f>Activity!$C93*Activity!$D93*Activity!E93</f>
        <v>0</v>
      </c>
      <c r="D94" s="605">
        <f>Activity!$C93*Activity!$D93*Activity!F93</f>
        <v>0</v>
      </c>
      <c r="E94" s="605">
        <f>Activity!$C93*Activity!$D93*Activity!G93</f>
        <v>0</v>
      </c>
      <c r="F94" s="605">
        <f>Activity!$C93*Activity!$D93*Activity!H93</f>
        <v>0</v>
      </c>
      <c r="G94" s="605">
        <f>Activity!$C93*Activity!$D93*Activity!I93</f>
        <v>0</v>
      </c>
      <c r="H94" s="605">
        <f>Activity!$C93*Activity!$D93*Activity!J93</f>
        <v>0</v>
      </c>
      <c r="I94" s="605">
        <f>Activity!$C93*Activity!$D93*Activity!K93</f>
        <v>0</v>
      </c>
      <c r="J94" s="606">
        <f>Activity!$C93*Activity!$D93*Activity!L93</f>
        <v>0</v>
      </c>
      <c r="K94" s="605">
        <f>Activity!$C93*Activity!$D93*Activity!M93</f>
        <v>0</v>
      </c>
      <c r="L94" s="605">
        <f>Activity!$C93*Activity!$D93*Activity!N93</f>
        <v>0</v>
      </c>
      <c r="M94" s="605">
        <f>Activity!$C93*Activity!$D93*Activity!O93</f>
        <v>0</v>
      </c>
      <c r="N94" s="449">
        <v>0</v>
      </c>
      <c r="O94" s="605">
        <f>Activity!C93*Activity!D93</f>
        <v>0</v>
      </c>
      <c r="P94" s="610">
        <f>Activity!X93</f>
        <v>0</v>
      </c>
    </row>
  </sheetData>
  <customSheetViews>
    <customSheetView guid="{B400968E-E9A7-41C3-9739-36597C9C6BC6}" showGridLines="0" showRuler="0">
      <pane xSplit="2" ySplit="9" topLeftCell="C10" activePane="bottomRight" state="frozenSplit"/>
      <selection pane="bottomRight" activeCell="J7" sqref="J7"/>
      <pageMargins left="0.7" right="0.7" top="0.75" bottom="0.75" header="0.3" footer="0.3"/>
      <headerFooter alignWithMargins="0"/>
    </customSheetView>
  </customSheetViews>
  <mergeCells count="15">
    <mergeCell ref="I3:O3"/>
    <mergeCell ref="I2:O2"/>
    <mergeCell ref="J11:M11"/>
    <mergeCell ref="I11:I12"/>
    <mergeCell ref="E11:E12"/>
    <mergeCell ref="G11:G12"/>
    <mergeCell ref="I4:O4"/>
    <mergeCell ref="F11:F12"/>
    <mergeCell ref="H11:H12"/>
    <mergeCell ref="N11:N12"/>
    <mergeCell ref="O11:O12"/>
    <mergeCell ref="C10:P10"/>
    <mergeCell ref="P11:P12"/>
    <mergeCell ref="C11:C12"/>
    <mergeCell ref="D11:D12"/>
  </mergeCells>
  <phoneticPr fontId="16" type="noConversion"/>
  <dataValidations count="1">
    <dataValidation type="whole" allowBlank="1" showInputMessage="1" showErrorMessage="1" error="Please enter a year between 1900 and 2000" sqref="B14">
      <formula1>1900</formula1>
      <formula2>2000</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indexed="34"/>
  </sheetPr>
  <dimension ref="A2:G117"/>
  <sheetViews>
    <sheetView showGridLines="0" workbookViewId="0">
      <pane xSplit="2" ySplit="11" topLeftCell="D12" activePane="bottomRight" state="frozen"/>
      <selection activeCell="E19" sqref="E19"/>
      <selection pane="topRight" activeCell="E19" sqref="E19"/>
      <selection pane="bottomLeft" activeCell="E19" sqref="E19"/>
      <selection pane="bottomRight" activeCell="E12" sqref="E12"/>
    </sheetView>
  </sheetViews>
  <sheetFormatPr defaultColWidth="8.85546875" defaultRowHeight="12.75"/>
  <cols>
    <col min="1" max="1" width="3.42578125" style="342" customWidth="1"/>
    <col min="2" max="2" width="11.7109375" style="342" customWidth="1"/>
    <col min="3" max="3" width="12.7109375" style="342" customWidth="1"/>
    <col min="4" max="4" width="31.28515625" style="342" customWidth="1"/>
    <col min="5" max="5" width="10.42578125" style="344" customWidth="1"/>
    <col min="6" max="6" width="10.28515625" style="342" customWidth="1"/>
    <col min="7" max="7" width="38" style="342" customWidth="1"/>
    <col min="8" max="16384" width="8.85546875" style="342"/>
  </cols>
  <sheetData>
    <row r="2" spans="1:7" ht="15.75">
      <c r="C2" s="66" t="s">
        <v>197</v>
      </c>
      <c r="D2" s="66"/>
      <c r="E2" s="343"/>
    </row>
    <row r="4" spans="1:7">
      <c r="C4" s="342" t="s">
        <v>110</v>
      </c>
    </row>
    <row r="5" spans="1:7">
      <c r="C5" s="342" t="s">
        <v>111</v>
      </c>
    </row>
    <row r="6" spans="1:7" ht="13.5" thickBot="1"/>
    <row r="7" spans="1:7" ht="51.75" thickBot="1">
      <c r="A7" s="345"/>
      <c r="B7" s="346"/>
      <c r="C7" s="347" t="s">
        <v>108</v>
      </c>
      <c r="D7" s="348" t="s">
        <v>28</v>
      </c>
      <c r="E7" s="349" t="s">
        <v>203</v>
      </c>
      <c r="F7" s="350" t="s">
        <v>198</v>
      </c>
      <c r="G7" s="351" t="s">
        <v>199</v>
      </c>
    </row>
    <row r="8" spans="1:7" ht="13.5" thickBot="1">
      <c r="A8" s="352"/>
      <c r="B8" s="353"/>
      <c r="C8" s="354"/>
      <c r="D8" s="355"/>
      <c r="E8" s="356"/>
      <c r="F8" s="357"/>
      <c r="G8" s="358"/>
    </row>
    <row r="9" spans="1:7" ht="13.5" thickBot="1">
      <c r="A9" s="352"/>
      <c r="B9" s="359" t="s">
        <v>25</v>
      </c>
      <c r="C9" s="360">
        <v>0</v>
      </c>
      <c r="D9" s="361"/>
      <c r="E9" s="362"/>
      <c r="F9" s="363">
        <v>0</v>
      </c>
      <c r="G9" s="364"/>
    </row>
    <row r="10" spans="1:7">
      <c r="A10" s="352"/>
      <c r="B10" s="353"/>
      <c r="C10" s="354"/>
      <c r="D10" s="365"/>
      <c r="E10" s="366"/>
      <c r="F10" s="367"/>
      <c r="G10" s="368"/>
    </row>
    <row r="11" spans="1:7" ht="13.5" thickBot="1">
      <c r="A11" s="352"/>
      <c r="B11" s="75" t="s">
        <v>1</v>
      </c>
      <c r="C11" s="369" t="s">
        <v>15</v>
      </c>
      <c r="D11" s="370"/>
      <c r="E11" s="371"/>
      <c r="F11" s="372" t="s">
        <v>200</v>
      </c>
      <c r="G11" s="373"/>
    </row>
    <row r="12" spans="1:7">
      <c r="B12" s="374">
        <f>year</f>
        <v>2000</v>
      </c>
      <c r="C12" s="272">
        <v>0</v>
      </c>
      <c r="D12" s="59"/>
      <c r="E12" s="375">
        <f>IF(Results!L17&lt;=0,0,C12/Results!L17)</f>
        <v>0</v>
      </c>
      <c r="F12" s="376">
        <f t="shared" ref="F12:F43" si="0">ox</f>
        <v>0</v>
      </c>
      <c r="G12" s="377"/>
    </row>
    <row r="13" spans="1:7">
      <c r="B13" s="378">
        <f t="shared" ref="B13:B76" si="1">B12+1</f>
        <v>2001</v>
      </c>
      <c r="C13" s="273">
        <v>0</v>
      </c>
      <c r="D13" s="291"/>
      <c r="E13" s="375">
        <f>IF(Results!L18&lt;=0,0,C13/Results!L18)</f>
        <v>0</v>
      </c>
      <c r="F13" s="376">
        <f t="shared" si="0"/>
        <v>0</v>
      </c>
      <c r="G13" s="379"/>
    </row>
    <row r="14" spans="1:7">
      <c r="B14" s="378">
        <f t="shared" si="1"/>
        <v>2002</v>
      </c>
      <c r="C14" s="273">
        <v>0</v>
      </c>
      <c r="D14" s="291"/>
      <c r="E14" s="375">
        <f>IF(Results!L19&lt;=0,0,C14/Results!L19)</f>
        <v>0</v>
      </c>
      <c r="F14" s="376">
        <f t="shared" si="0"/>
        <v>0</v>
      </c>
      <c r="G14" s="379"/>
    </row>
    <row r="15" spans="1:7">
      <c r="B15" s="378">
        <f t="shared" si="1"/>
        <v>2003</v>
      </c>
      <c r="C15" s="273">
        <v>0</v>
      </c>
      <c r="D15" s="291"/>
      <c r="E15" s="375">
        <f>IF(Results!L20&lt;=0,0,C15/Results!L20)</f>
        <v>0</v>
      </c>
      <c r="F15" s="376">
        <f t="shared" si="0"/>
        <v>0</v>
      </c>
      <c r="G15" s="379"/>
    </row>
    <row r="16" spans="1:7">
      <c r="B16" s="378">
        <f t="shared" si="1"/>
        <v>2004</v>
      </c>
      <c r="C16" s="273">
        <v>0</v>
      </c>
      <c r="D16" s="291"/>
      <c r="E16" s="375">
        <f>IF(Results!L21&lt;=0,0,C16/Results!L21)</f>
        <v>0</v>
      </c>
      <c r="F16" s="376">
        <f t="shared" si="0"/>
        <v>0</v>
      </c>
      <c r="G16" s="379"/>
    </row>
    <row r="17" spans="2:7">
      <c r="B17" s="378">
        <f t="shared" si="1"/>
        <v>2005</v>
      </c>
      <c r="C17" s="273">
        <v>0</v>
      </c>
      <c r="D17" s="291"/>
      <c r="E17" s="375">
        <f>IF(Results!L22&lt;=0,0,C17/Results!L22)</f>
        <v>0</v>
      </c>
      <c r="F17" s="376">
        <f t="shared" si="0"/>
        <v>0</v>
      </c>
      <c r="G17" s="379"/>
    </row>
    <row r="18" spans="2:7">
      <c r="B18" s="378">
        <f t="shared" si="1"/>
        <v>2006</v>
      </c>
      <c r="C18" s="273">
        <v>0</v>
      </c>
      <c r="D18" s="291"/>
      <c r="E18" s="375">
        <f>IF(Results!L23&lt;=0,0,C18/Results!L23)</f>
        <v>0</v>
      </c>
      <c r="F18" s="376">
        <f t="shared" si="0"/>
        <v>0</v>
      </c>
      <c r="G18" s="379"/>
    </row>
    <row r="19" spans="2:7">
      <c r="B19" s="378">
        <f t="shared" si="1"/>
        <v>2007</v>
      </c>
      <c r="C19" s="273">
        <v>0</v>
      </c>
      <c r="D19" s="291"/>
      <c r="E19" s="375">
        <f>IF(Results!L24&lt;=0,0,C19/Results!L24)</f>
        <v>0</v>
      </c>
      <c r="F19" s="376">
        <f t="shared" si="0"/>
        <v>0</v>
      </c>
      <c r="G19" s="379"/>
    </row>
    <row r="20" spans="2:7">
      <c r="B20" s="378">
        <f t="shared" si="1"/>
        <v>2008</v>
      </c>
      <c r="C20" s="273">
        <v>0</v>
      </c>
      <c r="D20" s="291"/>
      <c r="E20" s="375">
        <f>IF(Results!L25&lt;=0,0,C20/Results!L25)</f>
        <v>0</v>
      </c>
      <c r="F20" s="376">
        <f t="shared" si="0"/>
        <v>0</v>
      </c>
      <c r="G20" s="379"/>
    </row>
    <row r="21" spans="2:7">
      <c r="B21" s="378">
        <f t="shared" si="1"/>
        <v>2009</v>
      </c>
      <c r="C21" s="273">
        <v>0</v>
      </c>
      <c r="D21" s="291"/>
      <c r="E21" s="375">
        <f>IF(Results!L26&lt;=0,0,C21/Results!L26)</f>
        <v>0</v>
      </c>
      <c r="F21" s="376">
        <f t="shared" si="0"/>
        <v>0</v>
      </c>
      <c r="G21" s="379"/>
    </row>
    <row r="22" spans="2:7">
      <c r="B22" s="378">
        <f t="shared" si="1"/>
        <v>2010</v>
      </c>
      <c r="C22" s="273">
        <v>0</v>
      </c>
      <c r="D22" s="291"/>
      <c r="E22" s="375">
        <f>IF(Results!L27&lt;=0,0,C22/Results!L27)</f>
        <v>0</v>
      </c>
      <c r="F22" s="376">
        <f t="shared" si="0"/>
        <v>0</v>
      </c>
      <c r="G22" s="379"/>
    </row>
    <row r="23" spans="2:7">
      <c r="B23" s="378">
        <f t="shared" si="1"/>
        <v>2011</v>
      </c>
      <c r="C23" s="273">
        <v>0</v>
      </c>
      <c r="D23" s="291"/>
      <c r="E23" s="375">
        <f>IF(Results!L28&lt;=0,0,C23/Results!L28)</f>
        <v>0</v>
      </c>
      <c r="F23" s="376">
        <f t="shared" si="0"/>
        <v>0</v>
      </c>
      <c r="G23" s="379"/>
    </row>
    <row r="24" spans="2:7">
      <c r="B24" s="378">
        <f t="shared" si="1"/>
        <v>2012</v>
      </c>
      <c r="C24" s="273">
        <v>0</v>
      </c>
      <c r="D24" s="291"/>
      <c r="E24" s="375">
        <f>IF(Results!L29&lt;=0,0,C24/Results!L29)</f>
        <v>0</v>
      </c>
      <c r="F24" s="376">
        <f t="shared" si="0"/>
        <v>0</v>
      </c>
      <c r="G24" s="379"/>
    </row>
    <row r="25" spans="2:7">
      <c r="B25" s="378">
        <f t="shared" si="1"/>
        <v>2013</v>
      </c>
      <c r="C25" s="273">
        <v>0</v>
      </c>
      <c r="D25" s="291"/>
      <c r="E25" s="375">
        <f>IF(Results!L30&lt;=0,0,C25/Results!L30)</f>
        <v>0</v>
      </c>
      <c r="F25" s="376">
        <f t="shared" si="0"/>
        <v>0</v>
      </c>
      <c r="G25" s="379"/>
    </row>
    <row r="26" spans="2:7">
      <c r="B26" s="378">
        <f t="shared" si="1"/>
        <v>2014</v>
      </c>
      <c r="C26" s="273">
        <v>0</v>
      </c>
      <c r="D26" s="291"/>
      <c r="E26" s="375">
        <f>IF(Results!L31&lt;=0,0,C26/Results!L31)</f>
        <v>0</v>
      </c>
      <c r="F26" s="376">
        <f t="shared" si="0"/>
        <v>0</v>
      </c>
      <c r="G26" s="379"/>
    </row>
    <row r="27" spans="2:7">
      <c r="B27" s="378">
        <f t="shared" si="1"/>
        <v>2015</v>
      </c>
      <c r="C27" s="273">
        <v>0</v>
      </c>
      <c r="D27" s="291"/>
      <c r="E27" s="375">
        <f>IF(Results!L32&lt;=0,0,C27/Results!L32)</f>
        <v>0</v>
      </c>
      <c r="F27" s="376">
        <f t="shared" si="0"/>
        <v>0</v>
      </c>
      <c r="G27" s="379"/>
    </row>
    <row r="28" spans="2:7">
      <c r="B28" s="378">
        <f t="shared" si="1"/>
        <v>2016</v>
      </c>
      <c r="C28" s="273">
        <v>0</v>
      </c>
      <c r="D28" s="291"/>
      <c r="E28" s="375">
        <f>IF(Results!L33&lt;=0,0,C28/Results!L33)</f>
        <v>0</v>
      </c>
      <c r="F28" s="376">
        <f t="shared" si="0"/>
        <v>0</v>
      </c>
      <c r="G28" s="379"/>
    </row>
    <row r="29" spans="2:7">
      <c r="B29" s="378">
        <f t="shared" si="1"/>
        <v>2017</v>
      </c>
      <c r="C29" s="273">
        <v>0</v>
      </c>
      <c r="D29" s="291"/>
      <c r="E29" s="375">
        <f>IF(Results!L34&lt;=0,0,C29/Results!L34)</f>
        <v>0</v>
      </c>
      <c r="F29" s="376">
        <f t="shared" si="0"/>
        <v>0</v>
      </c>
      <c r="G29" s="379"/>
    </row>
    <row r="30" spans="2:7">
      <c r="B30" s="378">
        <f t="shared" si="1"/>
        <v>2018</v>
      </c>
      <c r="C30" s="273">
        <v>0</v>
      </c>
      <c r="D30" s="291"/>
      <c r="E30" s="375">
        <f>IF(Results!L35&lt;=0,0,C30/Results!L35)</f>
        <v>0</v>
      </c>
      <c r="F30" s="376">
        <f t="shared" si="0"/>
        <v>0</v>
      </c>
      <c r="G30" s="379"/>
    </row>
    <row r="31" spans="2:7">
      <c r="B31" s="378">
        <f t="shared" si="1"/>
        <v>2019</v>
      </c>
      <c r="C31" s="273">
        <v>0</v>
      </c>
      <c r="D31" s="291"/>
      <c r="E31" s="375">
        <f>IF(Results!L36&lt;=0,0,C31/Results!L36)</f>
        <v>0</v>
      </c>
      <c r="F31" s="376">
        <f t="shared" si="0"/>
        <v>0</v>
      </c>
      <c r="G31" s="379"/>
    </row>
    <row r="32" spans="2:7">
      <c r="B32" s="378">
        <f t="shared" si="1"/>
        <v>2020</v>
      </c>
      <c r="C32" s="273">
        <v>0</v>
      </c>
      <c r="D32" s="291"/>
      <c r="E32" s="375">
        <f>IF(Results!L37&lt;=0,0,C32/Results!L37)</f>
        <v>0</v>
      </c>
      <c r="F32" s="376">
        <f t="shared" si="0"/>
        <v>0</v>
      </c>
      <c r="G32" s="379"/>
    </row>
    <row r="33" spans="2:7">
      <c r="B33" s="378">
        <f t="shared" si="1"/>
        <v>2021</v>
      </c>
      <c r="C33" s="273">
        <v>0</v>
      </c>
      <c r="D33" s="291"/>
      <c r="E33" s="375">
        <f>IF(Results!L38&lt;=0,0,C33/Results!L38)</f>
        <v>0</v>
      </c>
      <c r="F33" s="376">
        <f t="shared" si="0"/>
        <v>0</v>
      </c>
      <c r="G33" s="379"/>
    </row>
    <row r="34" spans="2:7">
      <c r="B34" s="378">
        <f t="shared" si="1"/>
        <v>2022</v>
      </c>
      <c r="C34" s="273">
        <v>0</v>
      </c>
      <c r="D34" s="291"/>
      <c r="E34" s="375">
        <f>IF(Results!L39&lt;=0,0,C34/Results!L39)</f>
        <v>0</v>
      </c>
      <c r="F34" s="376">
        <f t="shared" si="0"/>
        <v>0</v>
      </c>
      <c r="G34" s="379"/>
    </row>
    <row r="35" spans="2:7">
      <c r="B35" s="378">
        <f t="shared" si="1"/>
        <v>2023</v>
      </c>
      <c r="C35" s="273">
        <v>0</v>
      </c>
      <c r="D35" s="291"/>
      <c r="E35" s="375">
        <f>IF(Results!L40&lt;=0,0,C35/Results!L40)</f>
        <v>0</v>
      </c>
      <c r="F35" s="376">
        <f t="shared" si="0"/>
        <v>0</v>
      </c>
      <c r="G35" s="379"/>
    </row>
    <row r="36" spans="2:7">
      <c r="B36" s="378">
        <f t="shared" si="1"/>
        <v>2024</v>
      </c>
      <c r="C36" s="273">
        <v>0</v>
      </c>
      <c r="D36" s="291"/>
      <c r="E36" s="375">
        <f>IF(Results!L41&lt;=0,0,C36/Results!L41)</f>
        <v>0</v>
      </c>
      <c r="F36" s="376">
        <f t="shared" si="0"/>
        <v>0</v>
      </c>
      <c r="G36" s="379"/>
    </row>
    <row r="37" spans="2:7">
      <c r="B37" s="378">
        <f t="shared" si="1"/>
        <v>2025</v>
      </c>
      <c r="C37" s="273">
        <v>0</v>
      </c>
      <c r="D37" s="291"/>
      <c r="E37" s="375">
        <f>IF(Results!L42&lt;=0,0,C37/Results!L42)</f>
        <v>0</v>
      </c>
      <c r="F37" s="376">
        <f t="shared" si="0"/>
        <v>0</v>
      </c>
      <c r="G37" s="379"/>
    </row>
    <row r="38" spans="2:7">
      <c r="B38" s="378">
        <f t="shared" si="1"/>
        <v>2026</v>
      </c>
      <c r="C38" s="273">
        <v>0</v>
      </c>
      <c r="D38" s="291"/>
      <c r="E38" s="375">
        <f>IF(Results!L43&lt;=0,0,C38/Results!L43)</f>
        <v>0</v>
      </c>
      <c r="F38" s="376">
        <f t="shared" si="0"/>
        <v>0</v>
      </c>
      <c r="G38" s="379"/>
    </row>
    <row r="39" spans="2:7">
      <c r="B39" s="378">
        <f t="shared" si="1"/>
        <v>2027</v>
      </c>
      <c r="C39" s="273">
        <v>0</v>
      </c>
      <c r="D39" s="291"/>
      <c r="E39" s="375">
        <f>IF(Results!L44&lt;=0,0,C39/Results!L44)</f>
        <v>0</v>
      </c>
      <c r="F39" s="376">
        <f t="shared" si="0"/>
        <v>0</v>
      </c>
      <c r="G39" s="379"/>
    </row>
    <row r="40" spans="2:7">
      <c r="B40" s="378">
        <f t="shared" si="1"/>
        <v>2028</v>
      </c>
      <c r="C40" s="273">
        <v>0</v>
      </c>
      <c r="D40" s="291"/>
      <c r="E40" s="375">
        <f>IF(Results!L45&lt;=0,0,C40/Results!L45)</f>
        <v>0</v>
      </c>
      <c r="F40" s="376">
        <f t="shared" si="0"/>
        <v>0</v>
      </c>
      <c r="G40" s="379"/>
    </row>
    <row r="41" spans="2:7">
      <c r="B41" s="378">
        <f t="shared" si="1"/>
        <v>2029</v>
      </c>
      <c r="C41" s="273">
        <v>0</v>
      </c>
      <c r="D41" s="291"/>
      <c r="E41" s="375">
        <f>IF(Results!L46&lt;=0,0,C41/Results!L46)</f>
        <v>0</v>
      </c>
      <c r="F41" s="376">
        <f t="shared" si="0"/>
        <v>0</v>
      </c>
      <c r="G41" s="379"/>
    </row>
    <row r="42" spans="2:7">
      <c r="B42" s="378">
        <f t="shared" si="1"/>
        <v>2030</v>
      </c>
      <c r="C42" s="273">
        <v>0</v>
      </c>
      <c r="D42" s="291"/>
      <c r="E42" s="375">
        <f>IF(Results!L47&lt;=0,0,C42/Results!L47)</f>
        <v>0</v>
      </c>
      <c r="F42" s="376">
        <f t="shared" si="0"/>
        <v>0</v>
      </c>
      <c r="G42" s="379"/>
    </row>
    <row r="43" spans="2:7">
      <c r="B43" s="378">
        <f t="shared" si="1"/>
        <v>2031</v>
      </c>
      <c r="C43" s="273">
        <v>0</v>
      </c>
      <c r="D43" s="291"/>
      <c r="E43" s="375">
        <f>IF(Results!L48&lt;=0,0,C43/Results!L48)</f>
        <v>0</v>
      </c>
      <c r="F43" s="376">
        <f t="shared" si="0"/>
        <v>0</v>
      </c>
      <c r="G43" s="379"/>
    </row>
    <row r="44" spans="2:7">
      <c r="B44" s="378">
        <f t="shared" si="1"/>
        <v>2032</v>
      </c>
      <c r="C44" s="273">
        <v>0</v>
      </c>
      <c r="D44" s="291"/>
      <c r="E44" s="375">
        <f>IF(Results!L49&lt;=0,0,C44/Results!L49)</f>
        <v>0</v>
      </c>
      <c r="F44" s="376">
        <f t="shared" ref="F44:F75" si="2">ox</f>
        <v>0</v>
      </c>
      <c r="G44" s="379"/>
    </row>
    <row r="45" spans="2:7">
      <c r="B45" s="378">
        <f t="shared" si="1"/>
        <v>2033</v>
      </c>
      <c r="C45" s="273">
        <v>0</v>
      </c>
      <c r="D45" s="291"/>
      <c r="E45" s="375">
        <f>IF(Results!L50&lt;=0,0,C45/Results!L50)</f>
        <v>0</v>
      </c>
      <c r="F45" s="376">
        <f t="shared" si="2"/>
        <v>0</v>
      </c>
      <c r="G45" s="379"/>
    </row>
    <row r="46" spans="2:7">
      <c r="B46" s="378">
        <f t="shared" si="1"/>
        <v>2034</v>
      </c>
      <c r="C46" s="273">
        <v>0</v>
      </c>
      <c r="D46" s="291"/>
      <c r="E46" s="375">
        <f>IF(Results!L51&lt;=0,0,C46/Results!L51)</f>
        <v>0</v>
      </c>
      <c r="F46" s="376">
        <f t="shared" si="2"/>
        <v>0</v>
      </c>
      <c r="G46" s="379"/>
    </row>
    <row r="47" spans="2:7">
      <c r="B47" s="378">
        <f t="shared" si="1"/>
        <v>2035</v>
      </c>
      <c r="C47" s="273">
        <v>0</v>
      </c>
      <c r="D47" s="291"/>
      <c r="E47" s="375">
        <f>IF(Results!L52&lt;=0,0,C47/Results!L52)</f>
        <v>0</v>
      </c>
      <c r="F47" s="376">
        <f t="shared" si="2"/>
        <v>0</v>
      </c>
      <c r="G47" s="379"/>
    </row>
    <row r="48" spans="2:7">
      <c r="B48" s="378">
        <f t="shared" si="1"/>
        <v>2036</v>
      </c>
      <c r="C48" s="273">
        <v>0</v>
      </c>
      <c r="D48" s="291"/>
      <c r="E48" s="375">
        <f>IF(Results!L53&lt;=0,0,C48/Results!L53)</f>
        <v>0</v>
      </c>
      <c r="F48" s="376">
        <f t="shared" si="2"/>
        <v>0</v>
      </c>
      <c r="G48" s="379"/>
    </row>
    <row r="49" spans="2:7">
      <c r="B49" s="378">
        <f t="shared" si="1"/>
        <v>2037</v>
      </c>
      <c r="C49" s="273">
        <v>0</v>
      </c>
      <c r="D49" s="291"/>
      <c r="E49" s="375">
        <f>IF(Results!L54&lt;=0,0,C49/Results!L54)</f>
        <v>0</v>
      </c>
      <c r="F49" s="376">
        <f t="shared" si="2"/>
        <v>0</v>
      </c>
      <c r="G49" s="379"/>
    </row>
    <row r="50" spans="2:7">
      <c r="B50" s="378">
        <f t="shared" si="1"/>
        <v>2038</v>
      </c>
      <c r="C50" s="273">
        <v>0</v>
      </c>
      <c r="D50" s="291"/>
      <c r="E50" s="375">
        <f>IF(Results!L55&lt;=0,0,C50/Results!L55)</f>
        <v>0</v>
      </c>
      <c r="F50" s="376">
        <f t="shared" si="2"/>
        <v>0</v>
      </c>
      <c r="G50" s="379"/>
    </row>
    <row r="51" spans="2:7">
      <c r="B51" s="378">
        <f t="shared" si="1"/>
        <v>2039</v>
      </c>
      <c r="C51" s="273">
        <v>0</v>
      </c>
      <c r="D51" s="291"/>
      <c r="E51" s="375">
        <f>IF(Results!L56&lt;=0,0,C51/Results!L56)</f>
        <v>0</v>
      </c>
      <c r="F51" s="376">
        <f t="shared" si="2"/>
        <v>0</v>
      </c>
      <c r="G51" s="379"/>
    </row>
    <row r="52" spans="2:7">
      <c r="B52" s="378">
        <f t="shared" si="1"/>
        <v>2040</v>
      </c>
      <c r="C52" s="273">
        <v>0</v>
      </c>
      <c r="D52" s="291"/>
      <c r="E52" s="375">
        <f>IF(Results!L57&lt;=0,0,C52/Results!L57)</f>
        <v>0</v>
      </c>
      <c r="F52" s="376">
        <f t="shared" si="2"/>
        <v>0</v>
      </c>
      <c r="G52" s="379"/>
    </row>
    <row r="53" spans="2:7">
      <c r="B53" s="378">
        <f t="shared" si="1"/>
        <v>2041</v>
      </c>
      <c r="C53" s="273">
        <v>0</v>
      </c>
      <c r="D53" s="291"/>
      <c r="E53" s="375">
        <f>IF(Results!L58&lt;=0,0,C53/Results!L58)</f>
        <v>0</v>
      </c>
      <c r="F53" s="376">
        <f t="shared" si="2"/>
        <v>0</v>
      </c>
      <c r="G53" s="379"/>
    </row>
    <row r="54" spans="2:7">
      <c r="B54" s="378">
        <f t="shared" si="1"/>
        <v>2042</v>
      </c>
      <c r="C54" s="273">
        <v>0</v>
      </c>
      <c r="D54" s="291"/>
      <c r="E54" s="375">
        <f>IF(Results!L59&lt;=0,0,C54/Results!L59)</f>
        <v>0</v>
      </c>
      <c r="F54" s="376">
        <f t="shared" si="2"/>
        <v>0</v>
      </c>
      <c r="G54" s="379"/>
    </row>
    <row r="55" spans="2:7">
      <c r="B55" s="378">
        <f t="shared" si="1"/>
        <v>2043</v>
      </c>
      <c r="C55" s="273">
        <v>0</v>
      </c>
      <c r="D55" s="291"/>
      <c r="E55" s="375">
        <f>IF(Results!L60&lt;=0,0,C55/Results!L60)</f>
        <v>0</v>
      </c>
      <c r="F55" s="376">
        <f t="shared" si="2"/>
        <v>0</v>
      </c>
      <c r="G55" s="379"/>
    </row>
    <row r="56" spans="2:7">
      <c r="B56" s="378">
        <f t="shared" si="1"/>
        <v>2044</v>
      </c>
      <c r="C56" s="273">
        <v>0</v>
      </c>
      <c r="D56" s="291"/>
      <c r="E56" s="375">
        <f>IF(Results!L61&lt;=0,0,C56/Results!L61)</f>
        <v>0</v>
      </c>
      <c r="F56" s="376">
        <f t="shared" si="2"/>
        <v>0</v>
      </c>
      <c r="G56" s="379"/>
    </row>
    <row r="57" spans="2:7">
      <c r="B57" s="378">
        <f t="shared" si="1"/>
        <v>2045</v>
      </c>
      <c r="C57" s="273">
        <v>0</v>
      </c>
      <c r="D57" s="291"/>
      <c r="E57" s="375">
        <f>IF(Results!L62&lt;=0,0,C57/Results!L62)</f>
        <v>0</v>
      </c>
      <c r="F57" s="376">
        <f>ox</f>
        <v>0</v>
      </c>
      <c r="G57" s="379"/>
    </row>
    <row r="58" spans="2:7">
      <c r="B58" s="378">
        <f t="shared" si="1"/>
        <v>2046</v>
      </c>
      <c r="C58" s="273">
        <v>0</v>
      </c>
      <c r="D58" s="291"/>
      <c r="E58" s="375">
        <f>IF(Results!L63&lt;=0,0,C58/Results!L63)</f>
        <v>0</v>
      </c>
      <c r="F58" s="376">
        <f t="shared" si="2"/>
        <v>0</v>
      </c>
      <c r="G58" s="379"/>
    </row>
    <row r="59" spans="2:7">
      <c r="B59" s="378">
        <f t="shared" si="1"/>
        <v>2047</v>
      </c>
      <c r="C59" s="273">
        <v>0</v>
      </c>
      <c r="D59" s="291"/>
      <c r="E59" s="375">
        <f>IF(Results!L64&lt;=0,0,C59/Results!L64)</f>
        <v>0</v>
      </c>
      <c r="F59" s="376">
        <f t="shared" si="2"/>
        <v>0</v>
      </c>
      <c r="G59" s="379"/>
    </row>
    <row r="60" spans="2:7">
      <c r="B60" s="378">
        <f t="shared" si="1"/>
        <v>2048</v>
      </c>
      <c r="C60" s="273">
        <v>0</v>
      </c>
      <c r="D60" s="291"/>
      <c r="E60" s="375">
        <f>IF(Results!L65&lt;=0,0,C60/Results!L65)</f>
        <v>0</v>
      </c>
      <c r="F60" s="376">
        <f t="shared" si="2"/>
        <v>0</v>
      </c>
      <c r="G60" s="379"/>
    </row>
    <row r="61" spans="2:7">
      <c r="B61" s="378">
        <f t="shared" si="1"/>
        <v>2049</v>
      </c>
      <c r="C61" s="273">
        <v>0</v>
      </c>
      <c r="D61" s="291"/>
      <c r="E61" s="375">
        <f>IF(Results!L66&lt;=0,0,C61/Results!L66)</f>
        <v>0</v>
      </c>
      <c r="F61" s="376">
        <f>ox</f>
        <v>0</v>
      </c>
      <c r="G61" s="379"/>
    </row>
    <row r="62" spans="2:7">
      <c r="B62" s="378">
        <f t="shared" si="1"/>
        <v>2050</v>
      </c>
      <c r="C62" s="273">
        <v>0</v>
      </c>
      <c r="D62" s="291"/>
      <c r="E62" s="375">
        <f>IF(Results!L67&lt;=0,0,C62/Results!L67)</f>
        <v>0</v>
      </c>
      <c r="F62" s="376">
        <f t="shared" si="2"/>
        <v>0</v>
      </c>
      <c r="G62" s="379"/>
    </row>
    <row r="63" spans="2:7">
      <c r="B63" s="378">
        <f t="shared" si="1"/>
        <v>2051</v>
      </c>
      <c r="C63" s="273">
        <v>0</v>
      </c>
      <c r="D63" s="291"/>
      <c r="E63" s="375">
        <f>IF(Results!L68&lt;=0,0,C63/Results!L68)</f>
        <v>0</v>
      </c>
      <c r="F63" s="376">
        <f t="shared" si="2"/>
        <v>0</v>
      </c>
      <c r="G63" s="379"/>
    </row>
    <row r="64" spans="2:7">
      <c r="B64" s="378">
        <f t="shared" si="1"/>
        <v>2052</v>
      </c>
      <c r="C64" s="273">
        <v>0</v>
      </c>
      <c r="D64" s="291"/>
      <c r="E64" s="375">
        <f>IF(Results!L69&lt;=0,0,C64/Results!L69)</f>
        <v>0</v>
      </c>
      <c r="F64" s="376">
        <f t="shared" si="2"/>
        <v>0</v>
      </c>
      <c r="G64" s="379"/>
    </row>
    <row r="65" spans="2:7">
      <c r="B65" s="378">
        <f t="shared" si="1"/>
        <v>2053</v>
      </c>
      <c r="C65" s="273">
        <v>0</v>
      </c>
      <c r="D65" s="291"/>
      <c r="E65" s="375">
        <f>IF(Results!L70&lt;=0,0,C65/Results!L70)</f>
        <v>0</v>
      </c>
      <c r="F65" s="376">
        <f t="shared" si="2"/>
        <v>0</v>
      </c>
      <c r="G65" s="379"/>
    </row>
    <row r="66" spans="2:7">
      <c r="B66" s="378">
        <f t="shared" si="1"/>
        <v>2054</v>
      </c>
      <c r="C66" s="273">
        <v>0</v>
      </c>
      <c r="D66" s="291"/>
      <c r="E66" s="375">
        <f>IF(Results!L71&lt;=0,0,C66/Results!L71)</f>
        <v>0</v>
      </c>
      <c r="F66" s="376">
        <f t="shared" si="2"/>
        <v>0</v>
      </c>
      <c r="G66" s="379"/>
    </row>
    <row r="67" spans="2:7">
      <c r="B67" s="378">
        <f t="shared" si="1"/>
        <v>2055</v>
      </c>
      <c r="C67" s="273">
        <v>0</v>
      </c>
      <c r="D67" s="291"/>
      <c r="E67" s="375">
        <f>IF(Results!L72&lt;=0,0,C67/Results!L72)</f>
        <v>0</v>
      </c>
      <c r="F67" s="376">
        <f t="shared" si="2"/>
        <v>0</v>
      </c>
      <c r="G67" s="379"/>
    </row>
    <row r="68" spans="2:7">
      <c r="B68" s="378">
        <f t="shared" si="1"/>
        <v>2056</v>
      </c>
      <c r="C68" s="273">
        <v>0</v>
      </c>
      <c r="D68" s="291"/>
      <c r="E68" s="375">
        <f>IF(Results!L73&lt;=0,0,C68/Results!L73)</f>
        <v>0</v>
      </c>
      <c r="F68" s="376">
        <f t="shared" si="2"/>
        <v>0</v>
      </c>
      <c r="G68" s="379"/>
    </row>
    <row r="69" spans="2:7">
      <c r="B69" s="378">
        <f t="shared" si="1"/>
        <v>2057</v>
      </c>
      <c r="C69" s="273">
        <v>0</v>
      </c>
      <c r="D69" s="291"/>
      <c r="E69" s="375">
        <f>IF(Results!L74&lt;=0,0,C69/Results!L74)</f>
        <v>0</v>
      </c>
      <c r="F69" s="376">
        <f t="shared" si="2"/>
        <v>0</v>
      </c>
      <c r="G69" s="379"/>
    </row>
    <row r="70" spans="2:7">
      <c r="B70" s="378">
        <f t="shared" si="1"/>
        <v>2058</v>
      </c>
      <c r="C70" s="273">
        <v>0</v>
      </c>
      <c r="D70" s="291"/>
      <c r="E70" s="375">
        <f>IF(Results!L75&lt;=0,0,C70/Results!L75)</f>
        <v>0</v>
      </c>
      <c r="F70" s="376">
        <f t="shared" si="2"/>
        <v>0</v>
      </c>
      <c r="G70" s="379"/>
    </row>
    <row r="71" spans="2:7">
      <c r="B71" s="378">
        <f t="shared" si="1"/>
        <v>2059</v>
      </c>
      <c r="C71" s="273">
        <v>0</v>
      </c>
      <c r="D71" s="291"/>
      <c r="E71" s="375">
        <f>IF(Results!L76&lt;=0,0,C71/Results!L76)</f>
        <v>0</v>
      </c>
      <c r="F71" s="376">
        <f t="shared" si="2"/>
        <v>0</v>
      </c>
      <c r="G71" s="379"/>
    </row>
    <row r="72" spans="2:7">
      <c r="B72" s="378">
        <f t="shared" si="1"/>
        <v>2060</v>
      </c>
      <c r="C72" s="273">
        <v>0</v>
      </c>
      <c r="D72" s="291"/>
      <c r="E72" s="375">
        <f>IF(Results!L77&lt;=0,0,C72/Results!L77)</f>
        <v>0</v>
      </c>
      <c r="F72" s="376">
        <f t="shared" si="2"/>
        <v>0</v>
      </c>
      <c r="G72" s="379"/>
    </row>
    <row r="73" spans="2:7">
      <c r="B73" s="378">
        <f t="shared" si="1"/>
        <v>2061</v>
      </c>
      <c r="C73" s="273">
        <v>0</v>
      </c>
      <c r="D73" s="291"/>
      <c r="E73" s="375">
        <f>IF(Results!L78&lt;=0,0,C73/Results!L78)</f>
        <v>0</v>
      </c>
      <c r="F73" s="376">
        <f t="shared" si="2"/>
        <v>0</v>
      </c>
      <c r="G73" s="379"/>
    </row>
    <row r="74" spans="2:7">
      <c r="B74" s="378">
        <f t="shared" si="1"/>
        <v>2062</v>
      </c>
      <c r="C74" s="273">
        <v>0</v>
      </c>
      <c r="D74" s="291"/>
      <c r="E74" s="375">
        <f>IF(Results!L79&lt;=0,0,C74/Results!L79)</f>
        <v>0</v>
      </c>
      <c r="F74" s="376">
        <f t="shared" si="2"/>
        <v>0</v>
      </c>
      <c r="G74" s="379"/>
    </row>
    <row r="75" spans="2:7">
      <c r="B75" s="378">
        <f t="shared" si="1"/>
        <v>2063</v>
      </c>
      <c r="C75" s="273">
        <v>0</v>
      </c>
      <c r="D75" s="291"/>
      <c r="E75" s="375">
        <f>IF(Results!L80&lt;=0,0,C75/Results!L80)</f>
        <v>0</v>
      </c>
      <c r="F75" s="376">
        <f t="shared" si="2"/>
        <v>0</v>
      </c>
      <c r="G75" s="379"/>
    </row>
    <row r="76" spans="2:7">
      <c r="B76" s="378">
        <f t="shared" si="1"/>
        <v>2064</v>
      </c>
      <c r="C76" s="273">
        <v>0</v>
      </c>
      <c r="D76" s="291"/>
      <c r="E76" s="375">
        <f>IF(Results!L81&lt;=0,0,C76/Results!L81)</f>
        <v>0</v>
      </c>
      <c r="F76" s="376">
        <f t="shared" ref="F76:F92" si="3">ox</f>
        <v>0</v>
      </c>
      <c r="G76" s="379"/>
    </row>
    <row r="77" spans="2:7">
      <c r="B77" s="378">
        <f t="shared" ref="B77:B92" si="4">B76+1</f>
        <v>2065</v>
      </c>
      <c r="C77" s="273">
        <v>0</v>
      </c>
      <c r="D77" s="291"/>
      <c r="E77" s="375">
        <f>IF(Results!L82&lt;=0,0,C77/Results!L82)</f>
        <v>0</v>
      </c>
      <c r="F77" s="376">
        <f t="shared" si="3"/>
        <v>0</v>
      </c>
      <c r="G77" s="379"/>
    </row>
    <row r="78" spans="2:7">
      <c r="B78" s="378">
        <f t="shared" si="4"/>
        <v>2066</v>
      </c>
      <c r="C78" s="273">
        <v>0</v>
      </c>
      <c r="D78" s="291"/>
      <c r="E78" s="375">
        <f>IF(Results!L83&lt;=0,0,C78/Results!L83)</f>
        <v>0</v>
      </c>
      <c r="F78" s="376">
        <f t="shared" si="3"/>
        <v>0</v>
      </c>
      <c r="G78" s="379"/>
    </row>
    <row r="79" spans="2:7">
      <c r="B79" s="378">
        <f t="shared" si="4"/>
        <v>2067</v>
      </c>
      <c r="C79" s="273">
        <v>0</v>
      </c>
      <c r="D79" s="291"/>
      <c r="E79" s="375">
        <f>IF(Results!L84&lt;=0,0,C79/Results!L84)</f>
        <v>0</v>
      </c>
      <c r="F79" s="376">
        <f t="shared" si="3"/>
        <v>0</v>
      </c>
      <c r="G79" s="379"/>
    </row>
    <row r="80" spans="2:7">
      <c r="B80" s="378">
        <f t="shared" si="4"/>
        <v>2068</v>
      </c>
      <c r="C80" s="273">
        <v>0</v>
      </c>
      <c r="D80" s="291"/>
      <c r="E80" s="375">
        <f>IF(Results!L85&lt;=0,0,C80/Results!L85)</f>
        <v>0</v>
      </c>
      <c r="F80" s="376">
        <f t="shared" si="3"/>
        <v>0</v>
      </c>
      <c r="G80" s="379"/>
    </row>
    <row r="81" spans="2:7">
      <c r="B81" s="378">
        <f t="shared" si="4"/>
        <v>2069</v>
      </c>
      <c r="C81" s="273">
        <v>0</v>
      </c>
      <c r="D81" s="291"/>
      <c r="E81" s="375">
        <f>IF(Results!L86&lt;=0,0,C81/Results!L86)</f>
        <v>0</v>
      </c>
      <c r="F81" s="376">
        <f t="shared" si="3"/>
        <v>0</v>
      </c>
      <c r="G81" s="379"/>
    </row>
    <row r="82" spans="2:7">
      <c r="B82" s="378">
        <f t="shared" si="4"/>
        <v>2070</v>
      </c>
      <c r="C82" s="273">
        <v>0</v>
      </c>
      <c r="D82" s="291"/>
      <c r="E82" s="375">
        <f>IF(Results!L87&lt;=0,0,C82/Results!L87)</f>
        <v>0</v>
      </c>
      <c r="F82" s="376">
        <f t="shared" si="3"/>
        <v>0</v>
      </c>
      <c r="G82" s="379"/>
    </row>
    <row r="83" spans="2:7">
      <c r="B83" s="378">
        <f t="shared" si="4"/>
        <v>2071</v>
      </c>
      <c r="C83" s="273">
        <v>0</v>
      </c>
      <c r="D83" s="291"/>
      <c r="E83" s="375">
        <f>IF(Results!L88&lt;=0,0,C83/Results!L88)</f>
        <v>0</v>
      </c>
      <c r="F83" s="376">
        <f t="shared" si="3"/>
        <v>0</v>
      </c>
      <c r="G83" s="379"/>
    </row>
    <row r="84" spans="2:7">
      <c r="B84" s="378">
        <f t="shared" si="4"/>
        <v>2072</v>
      </c>
      <c r="C84" s="273">
        <v>0</v>
      </c>
      <c r="D84" s="291"/>
      <c r="E84" s="375">
        <f>IF(Results!L89&lt;=0,0,C84/Results!L89)</f>
        <v>0</v>
      </c>
      <c r="F84" s="376">
        <f t="shared" si="3"/>
        <v>0</v>
      </c>
      <c r="G84" s="379"/>
    </row>
    <row r="85" spans="2:7">
      <c r="B85" s="378">
        <f t="shared" si="4"/>
        <v>2073</v>
      </c>
      <c r="C85" s="273">
        <v>0</v>
      </c>
      <c r="D85" s="291"/>
      <c r="E85" s="375">
        <f>IF(Results!L90&lt;=0,0,C85/Results!L90)</f>
        <v>0</v>
      </c>
      <c r="F85" s="376">
        <f t="shared" si="3"/>
        <v>0</v>
      </c>
      <c r="G85" s="379"/>
    </row>
    <row r="86" spans="2:7">
      <c r="B86" s="378">
        <f t="shared" si="4"/>
        <v>2074</v>
      </c>
      <c r="C86" s="273">
        <v>0</v>
      </c>
      <c r="D86" s="291"/>
      <c r="E86" s="375">
        <f>IF(Results!L91&lt;=0,0,C86/Results!L91)</f>
        <v>0</v>
      </c>
      <c r="F86" s="376">
        <f t="shared" si="3"/>
        <v>0</v>
      </c>
      <c r="G86" s="379"/>
    </row>
    <row r="87" spans="2:7">
      <c r="B87" s="378">
        <f t="shared" si="4"/>
        <v>2075</v>
      </c>
      <c r="C87" s="273">
        <v>0</v>
      </c>
      <c r="D87" s="291"/>
      <c r="E87" s="375">
        <f>IF(Results!L92&lt;=0,0,C87/Results!L92)</f>
        <v>0</v>
      </c>
      <c r="F87" s="376">
        <f t="shared" si="3"/>
        <v>0</v>
      </c>
      <c r="G87" s="379"/>
    </row>
    <row r="88" spans="2:7">
      <c r="B88" s="378">
        <f t="shared" si="4"/>
        <v>2076</v>
      </c>
      <c r="C88" s="273">
        <v>0</v>
      </c>
      <c r="D88" s="291"/>
      <c r="E88" s="375">
        <f>IF(Results!L93&lt;=0,0,C88/Results!L93)</f>
        <v>0</v>
      </c>
      <c r="F88" s="376">
        <f t="shared" si="3"/>
        <v>0</v>
      </c>
      <c r="G88" s="379"/>
    </row>
    <row r="89" spans="2:7">
      <c r="B89" s="378">
        <f t="shared" si="4"/>
        <v>2077</v>
      </c>
      <c r="C89" s="273">
        <v>0</v>
      </c>
      <c r="D89" s="291"/>
      <c r="E89" s="375">
        <f>IF(Results!L94&lt;=0,0,C89/Results!L94)</f>
        <v>0</v>
      </c>
      <c r="F89" s="376">
        <f t="shared" si="3"/>
        <v>0</v>
      </c>
      <c r="G89" s="379"/>
    </row>
    <row r="90" spans="2:7">
      <c r="B90" s="378">
        <f t="shared" si="4"/>
        <v>2078</v>
      </c>
      <c r="C90" s="273">
        <v>0</v>
      </c>
      <c r="D90" s="291"/>
      <c r="E90" s="375">
        <f>IF(Results!L95&lt;=0,0,C90/Results!L95)</f>
        <v>0</v>
      </c>
      <c r="F90" s="376">
        <f t="shared" si="3"/>
        <v>0</v>
      </c>
      <c r="G90" s="379"/>
    </row>
    <row r="91" spans="2:7">
      <c r="B91" s="378">
        <f t="shared" si="4"/>
        <v>2079</v>
      </c>
      <c r="C91" s="273">
        <v>0</v>
      </c>
      <c r="D91" s="291"/>
      <c r="E91" s="375">
        <f>IF(Results!L96&lt;=0,0,C91/Results!L96)</f>
        <v>0</v>
      </c>
      <c r="F91" s="376">
        <f t="shared" si="3"/>
        <v>0</v>
      </c>
      <c r="G91" s="379"/>
    </row>
    <row r="92" spans="2:7" ht="13.5" thickBot="1">
      <c r="B92" s="380">
        <f t="shared" si="4"/>
        <v>2080</v>
      </c>
      <c r="C92" s="321">
        <v>0</v>
      </c>
      <c r="D92" s="292"/>
      <c r="E92" s="381">
        <f>IF(Results!L97&lt;=0,0,C92/Results!L97)</f>
        <v>0</v>
      </c>
      <c r="F92" s="382">
        <f t="shared" si="3"/>
        <v>0</v>
      </c>
      <c r="G92" s="383"/>
    </row>
    <row r="93" spans="2:7">
      <c r="F93" s="67"/>
    </row>
    <row r="94" spans="2:7">
      <c r="F94" s="67"/>
    </row>
    <row r="95" spans="2:7">
      <c r="F95" s="67"/>
    </row>
    <row r="96" spans="2:7">
      <c r="F96" s="67"/>
    </row>
    <row r="97" spans="6:6">
      <c r="F97" s="67"/>
    </row>
    <row r="98" spans="6:6">
      <c r="F98" s="67"/>
    </row>
    <row r="99" spans="6:6">
      <c r="F99" s="67"/>
    </row>
    <row r="100" spans="6:6">
      <c r="F100" s="67"/>
    </row>
    <row r="101" spans="6:6">
      <c r="F101" s="67"/>
    </row>
    <row r="102" spans="6:6">
      <c r="F102" s="67"/>
    </row>
    <row r="103" spans="6:6">
      <c r="F103" s="67"/>
    </row>
    <row r="104" spans="6:6">
      <c r="F104" s="67"/>
    </row>
    <row r="105" spans="6:6">
      <c r="F105" s="67"/>
    </row>
    <row r="106" spans="6:6">
      <c r="F106" s="67"/>
    </row>
    <row r="107" spans="6:6">
      <c r="F107" s="67"/>
    </row>
    <row r="108" spans="6:6">
      <c r="F108" s="67"/>
    </row>
    <row r="109" spans="6:6">
      <c r="F109" s="67"/>
    </row>
    <row r="110" spans="6:6">
      <c r="F110" s="67"/>
    </row>
    <row r="111" spans="6:6">
      <c r="F111" s="67"/>
    </row>
    <row r="112" spans="6:6">
      <c r="F112" s="67"/>
    </row>
    <row r="113" spans="6:6">
      <c r="F113" s="67"/>
    </row>
    <row r="114" spans="6:6">
      <c r="F114" s="67"/>
    </row>
    <row r="115" spans="6:6">
      <c r="F115" s="67"/>
    </row>
    <row r="116" spans="6:6">
      <c r="F116" s="67"/>
    </row>
    <row r="117" spans="6:6">
      <c r="F117" s="67"/>
    </row>
  </sheetData>
  <sheetProtection password="CF65" sheet="1" objects="1" scenarios="1"/>
  <phoneticPr fontId="16"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indexed="33"/>
  </sheetPr>
  <dimension ref="A1:AF97"/>
  <sheetViews>
    <sheetView topLeftCell="A9" zoomScale="70" zoomScaleNormal="70" workbookViewId="0">
      <selection activeCell="B28" sqref="B28"/>
    </sheetView>
  </sheetViews>
  <sheetFormatPr defaultColWidth="8.85546875" defaultRowHeight="12.75"/>
  <cols>
    <col min="1" max="1" width="8.85546875" style="694"/>
    <col min="2" max="2" width="7" style="690" customWidth="1"/>
    <col min="3" max="3" width="8.85546875" style="690"/>
    <col min="4" max="4" width="13" style="690" bestFit="1" customWidth="1"/>
    <col min="5" max="5" width="12" style="690" customWidth="1"/>
    <col min="6" max="6" width="9.140625" style="690" bestFit="1" customWidth="1"/>
    <col min="7" max="10" width="8.85546875" style="690"/>
    <col min="11" max="11" width="11.42578125" style="690" bestFit="1" customWidth="1"/>
    <col min="12" max="12" width="8.85546875" style="690"/>
    <col min="13" max="13" width="10.7109375" style="690" bestFit="1" customWidth="1"/>
    <col min="14" max="14" width="3" style="690" customWidth="1"/>
    <col min="15" max="15" width="17.140625" style="691" customWidth="1"/>
    <col min="16" max="16" width="4.7109375" style="690" customWidth="1"/>
    <col min="17" max="17" width="2" style="693" customWidth="1"/>
    <col min="18" max="20" width="8.85546875" style="694"/>
    <col min="21" max="21" width="10.7109375" style="694" customWidth="1"/>
    <col min="22" max="27" width="8.85546875" style="694"/>
    <col min="28" max="28" width="8.85546875" style="690"/>
    <col min="29" max="30" width="8.85546875" style="694"/>
    <col min="31" max="31" width="2.7109375" style="694" customWidth="1"/>
    <col min="32" max="32" width="11.7109375" style="694" bestFit="1" customWidth="1"/>
    <col min="33" max="16384" width="8.85546875" style="694"/>
  </cols>
  <sheetData>
    <row r="1" spans="1:32">
      <c r="A1" s="689"/>
      <c r="P1" s="692"/>
    </row>
    <row r="2" spans="1:32">
      <c r="A2" s="689"/>
      <c r="B2" s="695" t="s">
        <v>94</v>
      </c>
      <c r="D2" s="695"/>
      <c r="E2" s="695"/>
    </row>
    <row r="3" spans="1:32">
      <c r="A3" s="689"/>
      <c r="B3" s="695"/>
      <c r="D3" s="695"/>
      <c r="E3" s="695"/>
      <c r="I3" s="695"/>
      <c r="J3" s="696"/>
      <c r="K3" s="696"/>
      <c r="L3" s="696"/>
      <c r="M3" s="696"/>
      <c r="N3" s="696"/>
      <c r="O3" s="697"/>
      <c r="AB3" s="696"/>
    </row>
    <row r="4" spans="1:32" ht="13.5" thickBot="1">
      <c r="A4" s="689"/>
      <c r="B4" s="695" t="s">
        <v>265</v>
      </c>
      <c r="D4" s="695"/>
      <c r="E4" s="695" t="s">
        <v>276</v>
      </c>
      <c r="H4" s="695" t="s">
        <v>30</v>
      </c>
      <c r="I4" s="695"/>
      <c r="J4" s="696"/>
      <c r="K4" s="696"/>
      <c r="L4" s="696"/>
      <c r="M4" s="696"/>
      <c r="N4" s="696"/>
      <c r="O4" s="697"/>
      <c r="AB4" s="696"/>
    </row>
    <row r="5" spans="1:32" ht="13.5" thickBot="1">
      <c r="A5" s="689"/>
      <c r="B5" s="698" t="str">
        <f>city</f>
        <v>Kutai Timur</v>
      </c>
      <c r="C5" s="699"/>
      <c r="D5" s="699"/>
      <c r="E5" s="698" t="str">
        <f>province</f>
        <v>Kalimantan Timur</v>
      </c>
      <c r="F5" s="699"/>
      <c r="G5" s="699"/>
      <c r="H5" s="698" t="str">
        <f>country</f>
        <v>Indonesia</v>
      </c>
      <c r="I5" s="699"/>
      <c r="J5" s="700"/>
      <c r="K5" s="696"/>
      <c r="L5" s="696"/>
      <c r="M5" s="696"/>
      <c r="N5" s="696"/>
      <c r="O5" s="697"/>
      <c r="AB5" s="696"/>
    </row>
    <row r="6" spans="1:32">
      <c r="A6" s="689"/>
      <c r="C6" s="695"/>
      <c r="D6" s="695"/>
      <c r="E6" s="695"/>
    </row>
    <row r="7" spans="1:32">
      <c r="A7" s="689"/>
      <c r="B7" s="690" t="s">
        <v>35</v>
      </c>
      <c r="P7" s="692"/>
    </row>
    <row r="8" spans="1:32">
      <c r="A8" s="689"/>
      <c r="B8" s="690" t="s">
        <v>37</v>
      </c>
      <c r="P8" s="692"/>
    </row>
    <row r="9" spans="1:32">
      <c r="B9" s="701"/>
      <c r="P9" s="692"/>
    </row>
    <row r="10" spans="1:32">
      <c r="P10" s="702"/>
    </row>
    <row r="11" spans="1:32" ht="13.5" thickBot="1">
      <c r="A11" s="703"/>
      <c r="P11" s="703"/>
      <c r="Q11" s="704"/>
    </row>
    <row r="12" spans="1:32" ht="13.5" thickBot="1">
      <c r="A12" s="705"/>
      <c r="B12" s="706"/>
      <c r="C12" s="813" t="s">
        <v>91</v>
      </c>
      <c r="D12" s="814"/>
      <c r="E12" s="814"/>
      <c r="F12" s="814"/>
      <c r="G12" s="814"/>
      <c r="H12" s="814"/>
      <c r="I12" s="814"/>
      <c r="J12" s="814"/>
      <c r="K12" s="814"/>
      <c r="L12" s="814"/>
      <c r="M12" s="815"/>
      <c r="N12" s="707"/>
      <c r="O12" s="708"/>
      <c r="P12" s="705"/>
      <c r="Q12" s="704"/>
      <c r="S12" s="706"/>
      <c r="T12" s="813" t="s">
        <v>91</v>
      </c>
      <c r="U12" s="814"/>
      <c r="V12" s="814"/>
      <c r="W12" s="814"/>
      <c r="X12" s="814"/>
      <c r="Y12" s="814"/>
      <c r="Z12" s="814"/>
      <c r="AA12" s="814"/>
      <c r="AB12" s="814"/>
      <c r="AC12" s="814"/>
      <c r="AD12" s="815"/>
      <c r="AE12" s="707"/>
      <c r="AF12" s="709"/>
    </row>
    <row r="13" spans="1:32" ht="39" thickBot="1">
      <c r="A13" s="705"/>
      <c r="B13" s="405" t="s">
        <v>1</v>
      </c>
      <c r="C13" s="406" t="s">
        <v>228</v>
      </c>
      <c r="D13" s="407" t="s">
        <v>268</v>
      </c>
      <c r="E13" s="407" t="s">
        <v>267</v>
      </c>
      <c r="F13" s="407" t="s">
        <v>272</v>
      </c>
      <c r="G13" s="407" t="s">
        <v>2</v>
      </c>
      <c r="H13" s="407" t="s">
        <v>3</v>
      </c>
      <c r="I13" s="408" t="s">
        <v>146</v>
      </c>
      <c r="J13" s="408" t="s">
        <v>95</v>
      </c>
      <c r="K13" s="408" t="s">
        <v>308</v>
      </c>
      <c r="L13" s="409" t="s">
        <v>27</v>
      </c>
      <c r="M13" s="408" t="s">
        <v>5</v>
      </c>
      <c r="N13" s="410"/>
      <c r="O13" s="636" t="s">
        <v>4</v>
      </c>
      <c r="P13" s="705"/>
      <c r="Q13" s="704"/>
      <c r="S13" s="405" t="s">
        <v>1</v>
      </c>
      <c r="T13" s="406" t="s">
        <v>228</v>
      </c>
      <c r="U13" s="407" t="s">
        <v>268</v>
      </c>
      <c r="V13" s="407" t="s">
        <v>267</v>
      </c>
      <c r="W13" s="407" t="s">
        <v>272</v>
      </c>
      <c r="X13" s="407" t="s">
        <v>2</v>
      </c>
      <c r="Y13" s="407" t="s">
        <v>3</v>
      </c>
      <c r="Z13" s="408" t="s">
        <v>146</v>
      </c>
      <c r="AA13" s="408" t="s">
        <v>95</v>
      </c>
      <c r="AB13" s="408" t="s">
        <v>308</v>
      </c>
      <c r="AC13" s="409" t="s">
        <v>27</v>
      </c>
      <c r="AD13" s="408" t="s">
        <v>5</v>
      </c>
      <c r="AE13" s="410"/>
      <c r="AF13" s="411" t="s">
        <v>4</v>
      </c>
    </row>
    <row r="14" spans="1:32" ht="26.25" thickBot="1">
      <c r="A14" s="705"/>
      <c r="B14" s="710"/>
      <c r="C14" s="711" t="s">
        <v>81</v>
      </c>
      <c r="D14" s="712" t="s">
        <v>87</v>
      </c>
      <c r="E14" s="712" t="s">
        <v>88</v>
      </c>
      <c r="F14" s="712" t="s">
        <v>275</v>
      </c>
      <c r="G14" s="712" t="s">
        <v>89</v>
      </c>
      <c r="H14" s="712" t="s">
        <v>82</v>
      </c>
      <c r="I14" s="713" t="s">
        <v>92</v>
      </c>
      <c r="J14" s="714" t="s">
        <v>93</v>
      </c>
      <c r="K14" s="714" t="s">
        <v>316</v>
      </c>
      <c r="L14" s="715" t="s">
        <v>194</v>
      </c>
      <c r="M14" s="714" t="s">
        <v>162</v>
      </c>
      <c r="N14" s="716"/>
      <c r="O14" s="717" t="s">
        <v>163</v>
      </c>
      <c r="P14" s="705"/>
      <c r="Q14" s="704"/>
      <c r="S14" s="710"/>
      <c r="T14" s="711" t="s">
        <v>81</v>
      </c>
      <c r="U14" s="712" t="s">
        <v>87</v>
      </c>
      <c r="V14" s="712" t="s">
        <v>88</v>
      </c>
      <c r="W14" s="712" t="s">
        <v>275</v>
      </c>
      <c r="X14" s="712" t="s">
        <v>89</v>
      </c>
      <c r="Y14" s="712" t="s">
        <v>82</v>
      </c>
      <c r="Z14" s="713" t="s">
        <v>92</v>
      </c>
      <c r="AA14" s="714" t="s">
        <v>93</v>
      </c>
      <c r="AB14" s="714" t="s">
        <v>316</v>
      </c>
      <c r="AC14" s="715" t="s">
        <v>194</v>
      </c>
      <c r="AD14" s="714" t="s">
        <v>162</v>
      </c>
      <c r="AE14" s="716"/>
      <c r="AF14" s="718" t="s">
        <v>163</v>
      </c>
    </row>
    <row r="15" spans="1:32" ht="13.5" thickBot="1">
      <c r="B15" s="719"/>
      <c r="C15" s="720" t="s">
        <v>15</v>
      </c>
      <c r="D15" s="721" t="s">
        <v>15</v>
      </c>
      <c r="E15" s="721" t="s">
        <v>15</v>
      </c>
      <c r="F15" s="721" t="s">
        <v>15</v>
      </c>
      <c r="G15" s="721" t="s">
        <v>15</v>
      </c>
      <c r="H15" s="721" t="s">
        <v>15</v>
      </c>
      <c r="I15" s="722" t="s">
        <v>15</v>
      </c>
      <c r="J15" s="722" t="s">
        <v>15</v>
      </c>
      <c r="K15" s="722" t="s">
        <v>15</v>
      </c>
      <c r="L15" s="723" t="s">
        <v>15</v>
      </c>
      <c r="M15" s="722" t="s">
        <v>15</v>
      </c>
      <c r="N15" s="716"/>
      <c r="O15" s="717" t="s">
        <v>15</v>
      </c>
      <c r="P15" s="694"/>
      <c r="Q15" s="704"/>
      <c r="S15" s="719"/>
      <c r="T15" s="720" t="s">
        <v>15</v>
      </c>
      <c r="U15" s="721" t="s">
        <v>15</v>
      </c>
      <c r="V15" s="721" t="s">
        <v>15</v>
      </c>
      <c r="W15" s="721" t="s">
        <v>15</v>
      </c>
      <c r="X15" s="721" t="s">
        <v>15</v>
      </c>
      <c r="Y15" s="721" t="s">
        <v>15</v>
      </c>
      <c r="Z15" s="722" t="s">
        <v>15</v>
      </c>
      <c r="AA15" s="722" t="s">
        <v>15</v>
      </c>
      <c r="AB15" s="722" t="s">
        <v>15</v>
      </c>
      <c r="AC15" s="723" t="s">
        <v>15</v>
      </c>
      <c r="AD15" s="722" t="s">
        <v>15</v>
      </c>
      <c r="AE15" s="716"/>
      <c r="AF15" s="718" t="s">
        <v>15</v>
      </c>
    </row>
    <row r="16" spans="1:32" ht="13.5" thickBot="1">
      <c r="B16" s="724"/>
      <c r="C16" s="725"/>
      <c r="D16" s="726"/>
      <c r="E16" s="726"/>
      <c r="F16" s="726"/>
      <c r="G16" s="726"/>
      <c r="H16" s="726"/>
      <c r="I16" s="727"/>
      <c r="J16" s="727"/>
      <c r="K16" s="728"/>
      <c r="L16" s="729"/>
      <c r="M16" s="728"/>
      <c r="N16" s="730"/>
      <c r="O16" s="731"/>
      <c r="P16" s="694"/>
      <c r="Q16" s="704"/>
      <c r="S16" s="724"/>
      <c r="T16" s="725"/>
      <c r="U16" s="726"/>
      <c r="V16" s="726"/>
      <c r="W16" s="726"/>
      <c r="X16" s="726"/>
      <c r="Y16" s="726"/>
      <c r="Z16" s="727"/>
      <c r="AA16" s="727"/>
      <c r="AB16" s="728"/>
      <c r="AC16" s="729"/>
      <c r="AD16" s="728"/>
      <c r="AE16" s="730"/>
      <c r="AF16" s="732"/>
    </row>
    <row r="17" spans="2:32">
      <c r="B17" s="733">
        <f>year</f>
        <v>2000</v>
      </c>
      <c r="C17" s="734">
        <f>IF(Select2=1,Food!$K19,"")</f>
        <v>0</v>
      </c>
      <c r="D17" s="735">
        <f>IF(Select2=1,Paper!$K19,"")</f>
        <v>0</v>
      </c>
      <c r="E17" s="735">
        <f>IF(Select2=1,Nappies!$K19,"")</f>
        <v>0</v>
      </c>
      <c r="F17" s="735">
        <f>IF(Select2=1,Garden!$K19,"")</f>
        <v>0</v>
      </c>
      <c r="G17" s="735">
        <f>IF(Select2=1,Wood!$K19,"")</f>
        <v>0</v>
      </c>
      <c r="H17" s="735">
        <f>IF(Select2=1,Textiles!$K19,"")</f>
        <v>0</v>
      </c>
      <c r="I17" s="736">
        <f>Sludge!K19</f>
        <v>0</v>
      </c>
      <c r="J17" s="737" t="str">
        <f>IF(Select2=2,MSW!$K19,"")</f>
        <v/>
      </c>
      <c r="K17" s="736">
        <f>Industry!$K19</f>
        <v>0</v>
      </c>
      <c r="L17" s="738">
        <f>SUM(C17:K17)</f>
        <v>0</v>
      </c>
      <c r="M17" s="739">
        <f>Recovery_OX!C12</f>
        <v>0</v>
      </c>
      <c r="N17" s="702"/>
      <c r="O17" s="740">
        <f>(L17-M17)*(1-Recovery_OX!F12)</f>
        <v>0</v>
      </c>
      <c r="P17" s="694"/>
      <c r="Q17" s="704"/>
      <c r="S17" s="733">
        <f>year</f>
        <v>2000</v>
      </c>
      <c r="T17" s="734">
        <f>IF(Select2=1,Food!$W19,"")</f>
        <v>0</v>
      </c>
      <c r="U17" s="735">
        <f>IF(Select2=1,Paper!$W19,"")</f>
        <v>0</v>
      </c>
      <c r="V17" s="735">
        <f>IF(Select2=1,Nappies!$W19,"")</f>
        <v>0</v>
      </c>
      <c r="W17" s="735">
        <f>IF(Select2=1,Garden!$W19,"")</f>
        <v>0</v>
      </c>
      <c r="X17" s="735">
        <f>IF(Select2=1,Wood!$W19,"")</f>
        <v>0</v>
      </c>
      <c r="Y17" s="735">
        <f>IF(Select2=1,Textiles!$W19,"")</f>
        <v>0</v>
      </c>
      <c r="Z17" s="736">
        <f>Sludge!W19</f>
        <v>0</v>
      </c>
      <c r="AA17" s="737" t="str">
        <f>IF(Select2=2,MSW!$W19,"")</f>
        <v/>
      </c>
      <c r="AB17" s="736">
        <f>Industry!$W19</f>
        <v>0</v>
      </c>
      <c r="AC17" s="738">
        <f t="shared" ref="AC17:AC48" si="0">SUM(T17:AA17)</f>
        <v>0</v>
      </c>
      <c r="AD17" s="739">
        <f>Recovery_OX!R12</f>
        <v>0</v>
      </c>
      <c r="AE17" s="702"/>
      <c r="AF17" s="741">
        <f>(AC17-AD17)*(1-Recovery_OX!U12)</f>
        <v>0</v>
      </c>
    </row>
    <row r="18" spans="2:32">
      <c r="B18" s="742">
        <f t="shared" ref="B18:B81" si="1">B17+1</f>
        <v>2001</v>
      </c>
      <c r="C18" s="743">
        <f>IF(Select2=1,Food!$K20,"")</f>
        <v>7.7970057382130559E-2</v>
      </c>
      <c r="D18" s="744">
        <f>IF(Select2=1,Paper!$K20,"")</f>
        <v>4.09441546586084E-3</v>
      </c>
      <c r="E18" s="735">
        <f>IF(Select2=1,Nappies!$K20,"")</f>
        <v>1.2911027685274298E-2</v>
      </c>
      <c r="F18" s="744">
        <f>IF(Select2=1,Garden!$K20,"")</f>
        <v>0</v>
      </c>
      <c r="G18" s="735">
        <f>IF(Select2=1,Wood!$K20,"")</f>
        <v>0</v>
      </c>
      <c r="H18" s="744">
        <f>IF(Select2=1,Textiles!$K20,"")</f>
        <v>9.6940381549247018E-4</v>
      </c>
      <c r="I18" s="745">
        <f>Sludge!K20</f>
        <v>0</v>
      </c>
      <c r="J18" s="745" t="str">
        <f>IF(Select2=2,MSW!$K20,"")</f>
        <v/>
      </c>
      <c r="K18" s="745">
        <f>Industry!$K20</f>
        <v>0</v>
      </c>
      <c r="L18" s="746">
        <f>SUM(C18:K18)</f>
        <v>9.5944904348758173E-2</v>
      </c>
      <c r="M18" s="747">
        <f>Recovery_OX!C13</f>
        <v>0</v>
      </c>
      <c r="N18" s="702"/>
      <c r="O18" s="748">
        <f>(L18-M18)*(1-Recovery_OX!F13)</f>
        <v>9.5944904348758173E-2</v>
      </c>
      <c r="P18" s="694"/>
      <c r="Q18" s="704"/>
      <c r="S18" s="742">
        <f t="shared" ref="S18:S81" si="2">S17+1</f>
        <v>2001</v>
      </c>
      <c r="T18" s="743">
        <f>IF(Select2=1,Food!$W20,"")</f>
        <v>5.2165515643709123E-2</v>
      </c>
      <c r="U18" s="744">
        <f>IF(Select2=1,Paper!$W20,"")</f>
        <v>8.4595360864893401E-3</v>
      </c>
      <c r="V18" s="735">
        <f>IF(Select2=1,Nappies!$W20,"")</f>
        <v>0</v>
      </c>
      <c r="W18" s="744">
        <f>IF(Select2=1,Garden!$W20,"")</f>
        <v>0</v>
      </c>
      <c r="X18" s="735">
        <f>IF(Select2=1,Wood!$W20,"")</f>
        <v>3.5506196786136614E-3</v>
      </c>
      <c r="Y18" s="744">
        <f>IF(Select2=1,Textiles!$W20,"")</f>
        <v>1.0623603457451725E-3</v>
      </c>
      <c r="Z18" s="737">
        <f>Sludge!W20</f>
        <v>0</v>
      </c>
      <c r="AA18" s="737" t="str">
        <f>IF(Select2=2,MSW!$W20,"")</f>
        <v/>
      </c>
      <c r="AB18" s="745">
        <f>Industry!$W20</f>
        <v>0</v>
      </c>
      <c r="AC18" s="746">
        <f t="shared" si="0"/>
        <v>6.5238031754557294E-2</v>
      </c>
      <c r="AD18" s="747">
        <f>Recovery_OX!R13</f>
        <v>0</v>
      </c>
      <c r="AE18" s="702"/>
      <c r="AF18" s="749">
        <f>(AC18-AD18)*(1-Recovery_OX!U13)</f>
        <v>6.5238031754557294E-2</v>
      </c>
    </row>
    <row r="19" spans="2:32">
      <c r="B19" s="742">
        <f t="shared" si="1"/>
        <v>2002</v>
      </c>
      <c r="C19" s="743">
        <f>IF(Select2=1,Food!$K21,"")</f>
        <v>0.132509252689198</v>
      </c>
      <c r="D19" s="744">
        <f>IF(Select2=1,Paper!$K21,"")</f>
        <v>8.0314528451062746E-3</v>
      </c>
      <c r="E19" s="735">
        <f>IF(Select2=1,Nappies!$K21,"")</f>
        <v>2.4180208303770535E-2</v>
      </c>
      <c r="F19" s="744">
        <f>IF(Select2=1,Garden!$K21,"")</f>
        <v>0</v>
      </c>
      <c r="G19" s="735">
        <f>IF(Select2=1,Wood!$K21,"")</f>
        <v>0</v>
      </c>
      <c r="H19" s="744">
        <f>IF(Select2=1,Textiles!$K21,"")</f>
        <v>1.9015464104488356E-3</v>
      </c>
      <c r="I19" s="745">
        <f>Sludge!K21</f>
        <v>0</v>
      </c>
      <c r="J19" s="745" t="str">
        <f>IF(Select2=2,MSW!$K21,"")</f>
        <v/>
      </c>
      <c r="K19" s="745">
        <f>Industry!$K21</f>
        <v>0</v>
      </c>
      <c r="L19" s="746">
        <f t="shared" ref="L19:L82" si="3">SUM(C19:K19)</f>
        <v>0.16662246024852367</v>
      </c>
      <c r="M19" s="747">
        <f>Recovery_OX!C14</f>
        <v>0</v>
      </c>
      <c r="N19" s="702"/>
      <c r="O19" s="748">
        <f>(L19-M19)*(1-Recovery_OX!F14)</f>
        <v>0.16662246024852367</v>
      </c>
      <c r="P19" s="694"/>
      <c r="Q19" s="704"/>
      <c r="S19" s="742">
        <f t="shared" si="2"/>
        <v>2002</v>
      </c>
      <c r="T19" s="743">
        <f>IF(Select2=1,Food!$W21,"")</f>
        <v>8.8654718569936231E-2</v>
      </c>
      <c r="U19" s="744">
        <f>IF(Select2=1,Paper!$W21,"")</f>
        <v>1.6593910836996434E-2</v>
      </c>
      <c r="V19" s="735">
        <f>IF(Select2=1,Nappies!$W21,"")</f>
        <v>0</v>
      </c>
      <c r="W19" s="744">
        <f>IF(Select2=1,Garden!$W21,"")</f>
        <v>0</v>
      </c>
      <c r="X19" s="735">
        <f>IF(Select2=1,Wood!$W21,"")</f>
        <v>7.0826850348913667E-3</v>
      </c>
      <c r="Y19" s="744">
        <f>IF(Select2=1,Textiles!$W21,"")</f>
        <v>2.0838864772042033E-3</v>
      </c>
      <c r="Z19" s="737">
        <f>Sludge!W21</f>
        <v>0</v>
      </c>
      <c r="AA19" s="737" t="str">
        <f>IF(Select2=2,MSW!$W21,"")</f>
        <v/>
      </c>
      <c r="AB19" s="745">
        <f>Industry!$W21</f>
        <v>0</v>
      </c>
      <c r="AC19" s="746">
        <f t="shared" si="0"/>
        <v>0.11441520091902824</v>
      </c>
      <c r="AD19" s="747">
        <f>Recovery_OX!R14</f>
        <v>0</v>
      </c>
      <c r="AE19" s="702"/>
      <c r="AF19" s="749">
        <f>(AC19-AD19)*(1-Recovery_OX!U14)</f>
        <v>0.11441520091902824</v>
      </c>
    </row>
    <row r="20" spans="2:32">
      <c r="B20" s="742">
        <f t="shared" si="1"/>
        <v>2003</v>
      </c>
      <c r="C20" s="743">
        <f>IF(Select2=1,Food!$K22,"")</f>
        <v>0.17263930589299281</v>
      </c>
      <c r="D20" s="744">
        <f>IF(Select2=1,Paper!$K22,"")</f>
        <v>1.1889862603501404E-2</v>
      </c>
      <c r="E20" s="735">
        <f>IF(Select2=1,Nappies!$K22,"")</f>
        <v>3.4278995683437202E-2</v>
      </c>
      <c r="F20" s="744">
        <f>IF(Select2=1,Garden!$K22,"")</f>
        <v>0</v>
      </c>
      <c r="G20" s="735">
        <f>IF(Select2=1,Wood!$K22,"")</f>
        <v>0</v>
      </c>
      <c r="H20" s="744">
        <f>IF(Select2=1,Textiles!$K22,"")</f>
        <v>2.815072937668325E-3</v>
      </c>
      <c r="I20" s="745">
        <f>Sludge!K22</f>
        <v>0</v>
      </c>
      <c r="J20" s="745" t="str">
        <f>IF(Select2=2,MSW!$K22,"")</f>
        <v/>
      </c>
      <c r="K20" s="745">
        <f>Industry!$K22</f>
        <v>0</v>
      </c>
      <c r="L20" s="746">
        <f t="shared" si="3"/>
        <v>0.22162323711759976</v>
      </c>
      <c r="M20" s="747">
        <f>Recovery_OX!C15</f>
        <v>0</v>
      </c>
      <c r="N20" s="702"/>
      <c r="O20" s="748">
        <f>(L20-M20)*(1-Recovery_OX!F15)</f>
        <v>0.22162323711759976</v>
      </c>
      <c r="P20" s="694"/>
      <c r="Q20" s="704"/>
      <c r="S20" s="742">
        <f t="shared" si="2"/>
        <v>2003</v>
      </c>
      <c r="T20" s="743">
        <f>IF(Select2=1,Food!$W22,"")</f>
        <v>0.11550354988380429</v>
      </c>
      <c r="U20" s="744">
        <f>IF(Select2=1,Paper!$W22,"")</f>
        <v>2.4565831825416128E-2</v>
      </c>
      <c r="V20" s="735">
        <f>IF(Select2=1,Nappies!$W22,"")</f>
        <v>0</v>
      </c>
      <c r="W20" s="744">
        <f>IF(Select2=1,Garden!$W22,"")</f>
        <v>0</v>
      </c>
      <c r="X20" s="735">
        <f>IF(Select2=1,Wood!$W22,"")</f>
        <v>1.0655898910910146E-2</v>
      </c>
      <c r="Y20" s="744">
        <f>IF(Select2=1,Textiles!$W22,"")</f>
        <v>3.0850114385406295E-3</v>
      </c>
      <c r="Z20" s="737">
        <f>Sludge!W22</f>
        <v>0</v>
      </c>
      <c r="AA20" s="737" t="str">
        <f>IF(Select2=2,MSW!$W22,"")</f>
        <v/>
      </c>
      <c r="AB20" s="745">
        <f>Industry!$W22</f>
        <v>0</v>
      </c>
      <c r="AC20" s="746">
        <f t="shared" si="0"/>
        <v>0.15381029205867119</v>
      </c>
      <c r="AD20" s="747">
        <f>Recovery_OX!R15</f>
        <v>0</v>
      </c>
      <c r="AE20" s="702"/>
      <c r="AF20" s="749">
        <f>(AC20-AD20)*(1-Recovery_OX!U15)</f>
        <v>0.15381029205867119</v>
      </c>
    </row>
    <row r="21" spans="2:32">
      <c r="B21" s="742">
        <f t="shared" si="1"/>
        <v>2004</v>
      </c>
      <c r="C21" s="743">
        <f>IF(Select2=1,Food!$K23,"")</f>
        <v>0.20216559475947621</v>
      </c>
      <c r="D21" s="744">
        <f>IF(Select2=1,Paper!$K23,"")</f>
        <v>1.5625334540008407E-2</v>
      </c>
      <c r="E21" s="735">
        <f>IF(Select2=1,Nappies!$K23,"")</f>
        <v>4.323387676919338E-2</v>
      </c>
      <c r="F21" s="744">
        <f>IF(Select2=1,Garden!$K23,"")</f>
        <v>0</v>
      </c>
      <c r="G21" s="735">
        <f>IF(Select2=1,Wood!$K23,"")</f>
        <v>0</v>
      </c>
      <c r="H21" s="744">
        <f>IF(Select2=1,Textiles!$K23,"")</f>
        <v>3.6994924056261498E-3</v>
      </c>
      <c r="I21" s="745">
        <f>Sludge!K23</f>
        <v>0</v>
      </c>
      <c r="J21" s="745" t="str">
        <f>IF(Select2=2,MSW!$K23,"")</f>
        <v/>
      </c>
      <c r="K21" s="745">
        <f>Industry!$K23</f>
        <v>0</v>
      </c>
      <c r="L21" s="746">
        <f t="shared" si="3"/>
        <v>0.26472429847430418</v>
      </c>
      <c r="M21" s="747">
        <f>Recovery_OX!C16</f>
        <v>0</v>
      </c>
      <c r="N21" s="702"/>
      <c r="O21" s="748">
        <f>(L21-M21)*(1-Recovery_OX!F16)</f>
        <v>0.26472429847430418</v>
      </c>
      <c r="P21" s="694"/>
      <c r="Q21" s="704"/>
      <c r="S21" s="742">
        <f t="shared" si="2"/>
        <v>2004</v>
      </c>
      <c r="T21" s="743">
        <f>IF(Select2=1,Food!$W23,"")</f>
        <v>0.1352579804367593</v>
      </c>
      <c r="U21" s="744">
        <f>IF(Select2=1,Paper!$W23,"")</f>
        <v>3.2283749049604141E-2</v>
      </c>
      <c r="V21" s="735">
        <f>IF(Select2=1,Nappies!$W23,"")</f>
        <v>0</v>
      </c>
      <c r="W21" s="744">
        <f>IF(Select2=1,Garden!$W23,"")</f>
        <v>0</v>
      </c>
      <c r="X21" s="735">
        <f>IF(Select2=1,Wood!$W23,"")</f>
        <v>1.4225811123597994E-2</v>
      </c>
      <c r="Y21" s="744">
        <f>IF(Select2=1,Textiles!$W23,"")</f>
        <v>4.0542382527409852E-3</v>
      </c>
      <c r="Z21" s="737">
        <f>Sludge!W23</f>
        <v>0</v>
      </c>
      <c r="AA21" s="737" t="str">
        <f>IF(Select2=2,MSW!$W23,"")</f>
        <v/>
      </c>
      <c r="AB21" s="745">
        <f>Industry!$W23</f>
        <v>0</v>
      </c>
      <c r="AC21" s="746">
        <f t="shared" si="0"/>
        <v>0.1858217788627024</v>
      </c>
      <c r="AD21" s="747">
        <f>Recovery_OX!R16</f>
        <v>0</v>
      </c>
      <c r="AE21" s="702"/>
      <c r="AF21" s="749">
        <f>(AC21-AD21)*(1-Recovery_OX!U16)</f>
        <v>0.1858217788627024</v>
      </c>
    </row>
    <row r="22" spans="2:32">
      <c r="B22" s="742">
        <f t="shared" si="1"/>
        <v>2005</v>
      </c>
      <c r="C22" s="743">
        <f>IF(Select2=1,Food!$K24,"")</f>
        <v>0.22447984566545223</v>
      </c>
      <c r="D22" s="744">
        <f>IF(Select2=1,Paper!$K24,"")</f>
        <v>1.9240712279004174E-2</v>
      </c>
      <c r="E22" s="735">
        <f>IF(Select2=1,Nappies!$K24,"")</f>
        <v>5.1206442818086423E-2</v>
      </c>
      <c r="F22" s="744">
        <f>IF(Select2=1,Garden!$K24,"")</f>
        <v>0</v>
      </c>
      <c r="G22" s="735">
        <f>IF(Select2=1,Wood!$K24,"")</f>
        <v>0</v>
      </c>
      <c r="H22" s="744">
        <f>IF(Select2=1,Textiles!$K24,"")</f>
        <v>4.5554780777817159E-3</v>
      </c>
      <c r="I22" s="745">
        <f>Sludge!K24</f>
        <v>0</v>
      </c>
      <c r="J22" s="745" t="str">
        <f>IF(Select2=2,MSW!$K24,"")</f>
        <v/>
      </c>
      <c r="K22" s="745">
        <f>Industry!$K24</f>
        <v>0</v>
      </c>
      <c r="L22" s="746">
        <f t="shared" si="3"/>
        <v>0.29948247884032458</v>
      </c>
      <c r="M22" s="747">
        <f>Recovery_OX!C17</f>
        <v>0</v>
      </c>
      <c r="N22" s="702"/>
      <c r="O22" s="748">
        <f>(L22-M22)*(1-Recovery_OX!F17)</f>
        <v>0.29948247884032458</v>
      </c>
      <c r="P22" s="694"/>
      <c r="Q22" s="704"/>
      <c r="S22" s="742">
        <f t="shared" si="2"/>
        <v>2005</v>
      </c>
      <c r="T22" s="743">
        <f>IF(Select2=1,Food!$W24,"")</f>
        <v>0.15018722948179231</v>
      </c>
      <c r="U22" s="744">
        <f>IF(Select2=1,Paper!$W24,"")</f>
        <v>3.9753537766537547E-2</v>
      </c>
      <c r="V22" s="735">
        <f>IF(Select2=1,Nappies!$W24,"")</f>
        <v>0</v>
      </c>
      <c r="W22" s="744">
        <f>IF(Select2=1,Garden!$W24,"")</f>
        <v>0</v>
      </c>
      <c r="X22" s="735">
        <f>IF(Select2=1,Wood!$W24,"")</f>
        <v>1.7787793691640848E-2</v>
      </c>
      <c r="Y22" s="744">
        <f>IF(Select2=1,Textiles!$W24,"")</f>
        <v>4.9923047427744829E-3</v>
      </c>
      <c r="Z22" s="737">
        <f>Sludge!W24</f>
        <v>0</v>
      </c>
      <c r="AA22" s="737" t="str">
        <f>IF(Select2=2,MSW!$W24,"")</f>
        <v/>
      </c>
      <c r="AB22" s="745">
        <f>Industry!$W24</f>
        <v>0</v>
      </c>
      <c r="AC22" s="746">
        <f t="shared" si="0"/>
        <v>0.2127208656827452</v>
      </c>
      <c r="AD22" s="747">
        <f>Recovery_OX!R17</f>
        <v>0</v>
      </c>
      <c r="AE22" s="702"/>
      <c r="AF22" s="749">
        <f>(AC22-AD22)*(1-Recovery_OX!U17)</f>
        <v>0.2127208656827452</v>
      </c>
    </row>
    <row r="23" spans="2:32">
      <c r="B23" s="742">
        <f t="shared" si="1"/>
        <v>2006</v>
      </c>
      <c r="C23" s="743">
        <f>IF(Select2=1,Food!$K25,"")</f>
        <v>0.24394544357184739</v>
      </c>
      <c r="D23" s="744">
        <f>IF(Select2=1,Paper!$K25,"")</f>
        <v>2.2848390411082213E-2</v>
      </c>
      <c r="E23" s="735">
        <f>IF(Select2=1,Nappies!$K25,"")</f>
        <v>5.8679078839845175E-2</v>
      </c>
      <c r="F23" s="744">
        <f>IF(Select2=1,Garden!$K25,"")</f>
        <v>0</v>
      </c>
      <c r="G23" s="735">
        <f>IF(Select2=1,Wood!$K25,"")</f>
        <v>0</v>
      </c>
      <c r="H23" s="744">
        <f>IF(Select2=1,Textiles!$K25,"")</f>
        <v>5.4096407721798767E-3</v>
      </c>
      <c r="I23" s="745">
        <f>Sludge!K25</f>
        <v>0</v>
      </c>
      <c r="J23" s="745" t="str">
        <f>IF(Select2=2,MSW!$K25,"")</f>
        <v/>
      </c>
      <c r="K23" s="745">
        <f>Industry!$K25</f>
        <v>0</v>
      </c>
      <c r="L23" s="746">
        <f t="shared" si="3"/>
        <v>0.33088255359495466</v>
      </c>
      <c r="M23" s="747">
        <f>Recovery_OX!C18</f>
        <v>0</v>
      </c>
      <c r="N23" s="702"/>
      <c r="O23" s="748">
        <f>(L23-M23)*(1-Recovery_OX!F18)</f>
        <v>0.33088255359495466</v>
      </c>
      <c r="P23" s="694"/>
      <c r="Q23" s="704"/>
      <c r="S23" s="742">
        <f t="shared" si="2"/>
        <v>2006</v>
      </c>
      <c r="T23" s="743">
        <f>IF(Select2=1,Food!$W25,"")</f>
        <v>0.16321060007037066</v>
      </c>
      <c r="U23" s="744">
        <f>IF(Select2=1,Paper!$W25,"")</f>
        <v>4.7207418204715315E-2</v>
      </c>
      <c r="V23" s="735">
        <f>IF(Select2=1,Nappies!$W25,"")</f>
        <v>0</v>
      </c>
      <c r="W23" s="744">
        <f>IF(Select2=1,Garden!$W25,"")</f>
        <v>0</v>
      </c>
      <c r="X23" s="735">
        <f>IF(Select2=1,Wood!$W25,"")</f>
        <v>2.1432545586495048E-2</v>
      </c>
      <c r="Y23" s="744">
        <f>IF(Select2=1,Textiles!$W25,"")</f>
        <v>5.9283734489642484E-3</v>
      </c>
      <c r="Z23" s="737">
        <f>Sludge!W25</f>
        <v>0</v>
      </c>
      <c r="AA23" s="737" t="str">
        <f>IF(Select2=2,MSW!$W25,"")</f>
        <v/>
      </c>
      <c r="AB23" s="745">
        <f>Industry!$W25</f>
        <v>0</v>
      </c>
      <c r="AC23" s="746">
        <f t="shared" si="0"/>
        <v>0.23777893731054528</v>
      </c>
      <c r="AD23" s="747">
        <f>Recovery_OX!R18</f>
        <v>0</v>
      </c>
      <c r="AE23" s="702"/>
      <c r="AF23" s="749">
        <f>(AC23-AD23)*(1-Recovery_OX!U18)</f>
        <v>0.23777893731054528</v>
      </c>
    </row>
    <row r="24" spans="2:32">
      <c r="B24" s="742">
        <f t="shared" si="1"/>
        <v>2007</v>
      </c>
      <c r="C24" s="743">
        <f>IF(Select2=1,Food!$K26,"")</f>
        <v>0.25958822147854255</v>
      </c>
      <c r="D24" s="744">
        <f>IF(Select2=1,Paper!$K26,"")</f>
        <v>2.63484164296242E-2</v>
      </c>
      <c r="E24" s="735">
        <f>IF(Select2=1,Nappies!$K26,"")</f>
        <v>6.541311719044382E-2</v>
      </c>
      <c r="F24" s="744">
        <f>IF(Select2=1,Garden!$K26,"")</f>
        <v>0</v>
      </c>
      <c r="G24" s="735">
        <f>IF(Select2=1,Wood!$K26,"")</f>
        <v>0</v>
      </c>
      <c r="H24" s="744">
        <f>IF(Select2=1,Textiles!$K26,"")</f>
        <v>6.2383154889954469E-3</v>
      </c>
      <c r="I24" s="745">
        <f>Sludge!K26</f>
        <v>0</v>
      </c>
      <c r="J24" s="745" t="str">
        <f>IF(Select2=2,MSW!$K26,"")</f>
        <v/>
      </c>
      <c r="K24" s="745">
        <f>Industry!$K26</f>
        <v>0</v>
      </c>
      <c r="L24" s="746">
        <f t="shared" si="3"/>
        <v>0.357588070587606</v>
      </c>
      <c r="M24" s="747">
        <f>Recovery_OX!C19</f>
        <v>0</v>
      </c>
      <c r="N24" s="702"/>
      <c r="O24" s="748">
        <f>(L24-M24)*(1-Recovery_OX!F19)</f>
        <v>0.357588070587606</v>
      </c>
      <c r="P24" s="694"/>
      <c r="Q24" s="704"/>
      <c r="S24" s="742">
        <f t="shared" si="2"/>
        <v>2007</v>
      </c>
      <c r="T24" s="743">
        <f>IF(Select2=1,Food!$W26,"")</f>
        <v>0.17367633015959577</v>
      </c>
      <c r="U24" s="744">
        <f>IF(Select2=1,Paper!$W26,"")</f>
        <v>5.4438876920711157E-2</v>
      </c>
      <c r="V24" s="735">
        <f>IF(Select2=1,Nappies!$W26,"")</f>
        <v>0</v>
      </c>
      <c r="W24" s="744">
        <f>IF(Select2=1,Garden!$W26,"")</f>
        <v>0</v>
      </c>
      <c r="X24" s="735">
        <f>IF(Select2=1,Wood!$W26,"")</f>
        <v>2.5070091173582876E-2</v>
      </c>
      <c r="Y24" s="744">
        <f>IF(Select2=1,Textiles!$W26,"")</f>
        <v>6.8365101249265149E-3</v>
      </c>
      <c r="Z24" s="737">
        <f>Sludge!W26</f>
        <v>0</v>
      </c>
      <c r="AA24" s="737" t="str">
        <f>IF(Select2=2,MSW!$W26,"")</f>
        <v/>
      </c>
      <c r="AB24" s="745">
        <f>Industry!$W26</f>
        <v>0</v>
      </c>
      <c r="AC24" s="746">
        <f t="shared" si="0"/>
        <v>0.26002180837881633</v>
      </c>
      <c r="AD24" s="747">
        <f>Recovery_OX!R19</f>
        <v>0</v>
      </c>
      <c r="AE24" s="702"/>
      <c r="AF24" s="749">
        <f>(AC24-AD24)*(1-Recovery_OX!U19)</f>
        <v>0.26002180837881633</v>
      </c>
    </row>
    <row r="25" spans="2:32">
      <c r="B25" s="742">
        <f t="shared" si="1"/>
        <v>2008</v>
      </c>
      <c r="C25" s="743">
        <f>IF(Select2=1,Food!$K27,"")</f>
        <v>0.2726991417628023</v>
      </c>
      <c r="D25" s="744">
        <f>IF(Select2=1,Paper!$K27,"")</f>
        <v>2.9749678071966275E-2</v>
      </c>
      <c r="E25" s="735">
        <f>IF(Select2=1,Nappies!$K27,"")</f>
        <v>7.1529102862650656E-2</v>
      </c>
      <c r="F25" s="744">
        <f>IF(Select2=1,Garden!$K27,"")</f>
        <v>0</v>
      </c>
      <c r="G25" s="735">
        <f>IF(Select2=1,Wood!$K27,"")</f>
        <v>0</v>
      </c>
      <c r="H25" s="744">
        <f>IF(Select2=1,Textiles!$K27,"")</f>
        <v>7.0436065106483682E-3</v>
      </c>
      <c r="I25" s="745">
        <f>Sludge!K27</f>
        <v>0</v>
      </c>
      <c r="J25" s="745" t="str">
        <f>IF(Select2=2,MSW!$K27,"")</f>
        <v/>
      </c>
      <c r="K25" s="745">
        <f>Industry!$K27</f>
        <v>0</v>
      </c>
      <c r="L25" s="746">
        <f t="shared" si="3"/>
        <v>0.38102152920806764</v>
      </c>
      <c r="M25" s="747">
        <f>Recovery_OX!C20</f>
        <v>0</v>
      </c>
      <c r="N25" s="702"/>
      <c r="O25" s="748">
        <f>(L25-M25)*(1-Recovery_OX!F20)</f>
        <v>0.38102152920806764</v>
      </c>
      <c r="P25" s="694"/>
      <c r="Q25" s="704"/>
      <c r="S25" s="742">
        <f t="shared" si="2"/>
        <v>2008</v>
      </c>
      <c r="T25" s="743">
        <f>IF(Select2=1,Food!$W27,"")</f>
        <v>0.18244813231231194</v>
      </c>
      <c r="U25" s="744">
        <f>IF(Select2=1,Paper!$W27,"")</f>
        <v>6.1466277008194792E-2</v>
      </c>
      <c r="V25" s="735">
        <f>IF(Select2=1,Nappies!$W27,"")</f>
        <v>0</v>
      </c>
      <c r="W25" s="744">
        <f>IF(Select2=1,Garden!$W27,"")</f>
        <v>0</v>
      </c>
      <c r="X25" s="735">
        <f>IF(Select2=1,Wood!$W27,"")</f>
        <v>2.8702074297447595E-2</v>
      </c>
      <c r="Y25" s="744">
        <f>IF(Select2=1,Textiles!$W27,"")</f>
        <v>7.7190208335872496E-3</v>
      </c>
      <c r="Z25" s="737">
        <f>Sludge!W27</f>
        <v>0</v>
      </c>
      <c r="AA25" s="737" t="str">
        <f>IF(Select2=2,MSW!$W27,"")</f>
        <v/>
      </c>
      <c r="AB25" s="745">
        <f>Industry!$W27</f>
        <v>0</v>
      </c>
      <c r="AC25" s="746">
        <f t="shared" si="0"/>
        <v>0.2803355044515416</v>
      </c>
      <c r="AD25" s="747">
        <f>Recovery_OX!R20</f>
        <v>0</v>
      </c>
      <c r="AE25" s="702"/>
      <c r="AF25" s="749">
        <f>(AC25-AD25)*(1-Recovery_OX!U20)</f>
        <v>0.2803355044515416</v>
      </c>
    </row>
    <row r="26" spans="2:32">
      <c r="B26" s="742">
        <f t="shared" si="1"/>
        <v>2009</v>
      </c>
      <c r="C26" s="743">
        <f>IF(Select2=1,Food!$K28,"")</f>
        <v>0.28413140599026354</v>
      </c>
      <c r="D26" s="744">
        <f>IF(Select2=1,Paper!$K28,"")</f>
        <v>3.3059823844806359E-2</v>
      </c>
      <c r="E26" s="735">
        <f>IF(Select2=1,Nappies!$K28,"")</f>
        <v>7.7126722453631572E-2</v>
      </c>
      <c r="F26" s="744">
        <f>IF(Select2=1,Garden!$K28,"")</f>
        <v>0</v>
      </c>
      <c r="G26" s="735">
        <f>IF(Select2=1,Wood!$K28,"")</f>
        <v>0</v>
      </c>
      <c r="H26" s="744">
        <f>IF(Select2=1,Textiles!$K28,"")</f>
        <v>7.8273247162830729E-3</v>
      </c>
      <c r="I26" s="745">
        <f>Sludge!K28</f>
        <v>0</v>
      </c>
      <c r="J26" s="745" t="str">
        <f>IF(Select2=2,MSW!$K28,"")</f>
        <v/>
      </c>
      <c r="K26" s="745">
        <f>Industry!$K28</f>
        <v>0</v>
      </c>
      <c r="L26" s="746">
        <f t="shared" si="3"/>
        <v>0.40214527700498454</v>
      </c>
      <c r="M26" s="747">
        <f>Recovery_OX!C21</f>
        <v>0</v>
      </c>
      <c r="N26" s="702"/>
      <c r="O26" s="748">
        <f>(L26-M26)*(1-Recovery_OX!F21)</f>
        <v>0.40214527700498454</v>
      </c>
      <c r="P26" s="694"/>
      <c r="Q26" s="704"/>
      <c r="S26" s="742">
        <f t="shared" si="2"/>
        <v>2009</v>
      </c>
      <c r="T26" s="743">
        <f>IF(Select2=1,Food!$W28,"")</f>
        <v>0.19009683719241538</v>
      </c>
      <c r="U26" s="744">
        <f>IF(Select2=1,Paper!$W28,"")</f>
        <v>6.8305421166955288E-2</v>
      </c>
      <c r="V26" s="735">
        <f>IF(Select2=1,Nappies!$W28,"")</f>
        <v>0</v>
      </c>
      <c r="W26" s="744">
        <f>IF(Select2=1,Garden!$W28,"")</f>
        <v>0</v>
      </c>
      <c r="X26" s="735">
        <f>IF(Select2=1,Wood!$W28,"")</f>
        <v>3.2329528682395581E-2</v>
      </c>
      <c r="Y26" s="744">
        <f>IF(Select2=1,Textiles!$W28,"")</f>
        <v>8.5778901000362444E-3</v>
      </c>
      <c r="Z26" s="737">
        <f>Sludge!W28</f>
        <v>0</v>
      </c>
      <c r="AA26" s="737" t="str">
        <f>IF(Select2=2,MSW!$W28,"")</f>
        <v/>
      </c>
      <c r="AB26" s="745">
        <f>Industry!$W28</f>
        <v>0</v>
      </c>
      <c r="AC26" s="746">
        <f t="shared" si="0"/>
        <v>0.29930967714180251</v>
      </c>
      <c r="AD26" s="747">
        <f>Recovery_OX!R21</f>
        <v>0</v>
      </c>
      <c r="AE26" s="702"/>
      <c r="AF26" s="749">
        <f>(AC26-AD26)*(1-Recovery_OX!U21)</f>
        <v>0.29930967714180251</v>
      </c>
    </row>
    <row r="27" spans="2:32">
      <c r="B27" s="742">
        <f t="shared" si="1"/>
        <v>2010</v>
      </c>
      <c r="C27" s="743">
        <f>IF(Select2=1,Food!$K29,"")</f>
        <v>0.29444266172359157</v>
      </c>
      <c r="D27" s="744">
        <f>IF(Select2=1,Paper!$K29,"")</f>
        <v>3.6285235783911692E-2</v>
      </c>
      <c r="E27" s="735">
        <f>IF(Select2=1,Nappies!$K29,"")</f>
        <v>8.22877149839564E-2</v>
      </c>
      <c r="F27" s="744">
        <f>IF(Select2=1,Garden!$K29,"")</f>
        <v>0</v>
      </c>
      <c r="G27" s="735">
        <f>IF(Select2=1,Wood!$K29,"")</f>
        <v>0</v>
      </c>
      <c r="H27" s="744">
        <f>IF(Select2=1,Textiles!$K29,"")</f>
        <v>8.5909811322902579E-3</v>
      </c>
      <c r="I27" s="745">
        <f>Sludge!K29</f>
        <v>0</v>
      </c>
      <c r="J27" s="745" t="str">
        <f>IF(Select2=2,MSW!$K29,"")</f>
        <v/>
      </c>
      <c r="K27" s="745">
        <f>Industry!$K29</f>
        <v>0</v>
      </c>
      <c r="L27" s="746">
        <f t="shared" si="3"/>
        <v>0.42160659362374991</v>
      </c>
      <c r="M27" s="747">
        <f>Recovery_OX!C22</f>
        <v>0</v>
      </c>
      <c r="N27" s="702"/>
      <c r="O27" s="748">
        <f>(L27-M27)*(1-Recovery_OX!F22)</f>
        <v>0.42160659362374991</v>
      </c>
      <c r="P27" s="694"/>
      <c r="Q27" s="704"/>
      <c r="S27" s="742">
        <f t="shared" si="2"/>
        <v>2010</v>
      </c>
      <c r="T27" s="743">
        <f>IF(Select2=1,Food!$W29,"")</f>
        <v>0.19699553638955725</v>
      </c>
      <c r="U27" s="744">
        <f>IF(Select2=1,Paper!$W29,"")</f>
        <v>7.4969495421305141E-2</v>
      </c>
      <c r="V27" s="735">
        <f>IF(Select2=1,Nappies!$W29,"")</f>
        <v>0</v>
      </c>
      <c r="W27" s="744">
        <f>IF(Select2=1,Garden!$W29,"")</f>
        <v>0</v>
      </c>
      <c r="X27" s="735">
        <f>IF(Select2=1,Wood!$W29,"")</f>
        <v>3.5952802642390855E-2</v>
      </c>
      <c r="Y27" s="744">
        <f>IF(Select2=1,Textiles!$W29,"")</f>
        <v>9.4147738436057612E-3</v>
      </c>
      <c r="Z27" s="737">
        <f>Sludge!W29</f>
        <v>0</v>
      </c>
      <c r="AA27" s="737" t="str">
        <f>IF(Select2=2,MSW!$W29,"")</f>
        <v/>
      </c>
      <c r="AB27" s="745">
        <f>Industry!$W29</f>
        <v>0</v>
      </c>
      <c r="AC27" s="746">
        <f t="shared" si="0"/>
        <v>0.31733260829685905</v>
      </c>
      <c r="AD27" s="747">
        <f>Recovery_OX!R22</f>
        <v>0</v>
      </c>
      <c r="AE27" s="702"/>
      <c r="AF27" s="749">
        <f>(AC27-AD27)*(1-Recovery_OX!U22)</f>
        <v>0.31733260829685905</v>
      </c>
    </row>
    <row r="28" spans="2:32">
      <c r="B28" s="742">
        <f t="shared" si="1"/>
        <v>2011</v>
      </c>
      <c r="C28" s="743">
        <f>IF(Select2=1,Food!$K30,"")</f>
        <v>0.33248491535504016</v>
      </c>
      <c r="D28" s="744">
        <f>IF(Select2=1,Paper!$K30,"")</f>
        <v>4.0927330835505579E-2</v>
      </c>
      <c r="E28" s="735">
        <f>IF(Select2=1,Nappies!$K30,"")</f>
        <v>9.1796734137513158E-2</v>
      </c>
      <c r="F28" s="744">
        <f>IF(Select2=1,Garden!$K30,"")</f>
        <v>0</v>
      </c>
      <c r="G28" s="735">
        <f>IF(Select2=1,Wood!$K30,"")</f>
        <v>0</v>
      </c>
      <c r="H28" s="744">
        <f>IF(Select2=1,Textiles!$K30,"")</f>
        <v>9.6900549054369477E-3</v>
      </c>
      <c r="I28" s="745">
        <f>Sludge!K30</f>
        <v>0</v>
      </c>
      <c r="J28" s="745" t="str">
        <f>IF(Select2=2,MSW!$K30,"")</f>
        <v/>
      </c>
      <c r="K28" s="745">
        <f>Industry!$K30</f>
        <v>0</v>
      </c>
      <c r="L28" s="746">
        <f t="shared" si="3"/>
        <v>0.47489903523349586</v>
      </c>
      <c r="M28" s="747">
        <f>Recovery_OX!C23</f>
        <v>0</v>
      </c>
      <c r="N28" s="702"/>
      <c r="O28" s="748">
        <f>(L28-M28)*(1-Recovery_OX!F23)</f>
        <v>0.47489903523349586</v>
      </c>
      <c r="P28" s="694"/>
      <c r="Q28" s="704"/>
      <c r="S28" s="742">
        <f t="shared" si="2"/>
        <v>2011</v>
      </c>
      <c r="T28" s="743">
        <f>IF(Select2=1,Food!$W30,"")</f>
        <v>0.22244753480488855</v>
      </c>
      <c r="U28" s="744">
        <f>IF(Select2=1,Paper!$W30,"")</f>
        <v>8.4560600899804911E-2</v>
      </c>
      <c r="V28" s="735">
        <f>IF(Select2=1,Nappies!$W30,"")</f>
        <v>0</v>
      </c>
      <c r="W28" s="744">
        <f>IF(Select2=1,Garden!$W30,"")</f>
        <v>0</v>
      </c>
      <c r="X28" s="735">
        <f>IF(Select2=1,Wood!$W30,"")</f>
        <v>4.0869079982157983E-2</v>
      </c>
      <c r="Y28" s="744">
        <f>IF(Select2=1,Textiles!$W30,"")</f>
        <v>1.0619238252533639E-2</v>
      </c>
      <c r="Z28" s="737">
        <f>Sludge!W30</f>
        <v>0</v>
      </c>
      <c r="AA28" s="737" t="str">
        <f>IF(Select2=2,MSW!$W30,"")</f>
        <v/>
      </c>
      <c r="AB28" s="745">
        <f>Industry!$W30</f>
        <v>0</v>
      </c>
      <c r="AC28" s="746">
        <f t="shared" si="0"/>
        <v>0.35849645393938506</v>
      </c>
      <c r="AD28" s="747">
        <f>Recovery_OX!R23</f>
        <v>0</v>
      </c>
      <c r="AE28" s="702"/>
      <c r="AF28" s="749">
        <f>(AC28-AD28)*(1-Recovery_OX!U23)</f>
        <v>0.35849645393938506</v>
      </c>
    </row>
    <row r="29" spans="2:32">
      <c r="B29" s="742">
        <f t="shared" si="1"/>
        <v>2012</v>
      </c>
      <c r="C29" s="743">
        <f>IF(Select2=1,Food!$K31,"")</f>
        <v>0.3523032711261419</v>
      </c>
      <c r="D29" s="744">
        <f>IF(Select2=1,Paper!$K31,"")</f>
        <v>4.4957207816282055E-2</v>
      </c>
      <c r="E29" s="735">
        <f>IF(Select2=1,Nappies!$K31,"")</f>
        <v>9.8878257710939346E-2</v>
      </c>
      <c r="F29" s="744">
        <f>IF(Select2=1,Garden!$K31,"")</f>
        <v>0</v>
      </c>
      <c r="G29" s="735">
        <f>IF(Select2=1,Wood!$K31,"")</f>
        <v>0</v>
      </c>
      <c r="H29" s="744">
        <f>IF(Select2=1,Textiles!$K31,"")</f>
        <v>1.0644178431420806E-2</v>
      </c>
      <c r="I29" s="745">
        <f>Sludge!K31</f>
        <v>0</v>
      </c>
      <c r="J29" s="745" t="str">
        <f>IF(Select2=2,MSW!$K31,"")</f>
        <v/>
      </c>
      <c r="K29" s="745">
        <f>Industry!$K31</f>
        <v>0</v>
      </c>
      <c r="L29" s="746">
        <f>SUM(C29:K29)</f>
        <v>0.50678291508478412</v>
      </c>
      <c r="M29" s="747">
        <f>Recovery_OX!C24</f>
        <v>0</v>
      </c>
      <c r="N29" s="702"/>
      <c r="O29" s="748">
        <f>(L29-M29)*(1-Recovery_OX!F24)</f>
        <v>0.50678291508478412</v>
      </c>
      <c r="P29" s="694"/>
      <c r="Q29" s="704"/>
      <c r="S29" s="742">
        <f t="shared" si="2"/>
        <v>2012</v>
      </c>
      <c r="T29" s="743">
        <f>IF(Select2=1,Food!$W31,"")</f>
        <v>0.23570691645370778</v>
      </c>
      <c r="U29" s="744">
        <f>IF(Select2=1,Paper!$W31,"")</f>
        <v>9.2886793008847224E-2</v>
      </c>
      <c r="V29" s="735">
        <f>IF(Select2=1,Nappies!$W31,"")</f>
        <v>0</v>
      </c>
      <c r="W29" s="744">
        <f>IF(Select2=1,Garden!$W31,"")</f>
        <v>0</v>
      </c>
      <c r="X29" s="735">
        <f>IF(Select2=1,Wood!$W31,"")</f>
        <v>4.535750979945706E-2</v>
      </c>
      <c r="Y29" s="744">
        <f>IF(Select2=1,Textiles!$W31,"")</f>
        <v>1.166485307552965E-2</v>
      </c>
      <c r="Z29" s="737">
        <f>Sludge!W31</f>
        <v>0</v>
      </c>
      <c r="AA29" s="737" t="str">
        <f>IF(Select2=2,MSW!$W31,"")</f>
        <v/>
      </c>
      <c r="AB29" s="745">
        <f>Industry!$W31</f>
        <v>0</v>
      </c>
      <c r="AC29" s="746">
        <f t="shared" si="0"/>
        <v>0.38561607233754175</v>
      </c>
      <c r="AD29" s="747">
        <f>Recovery_OX!R24</f>
        <v>0</v>
      </c>
      <c r="AE29" s="702"/>
      <c r="AF29" s="749">
        <f>(AC29-AD29)*(1-Recovery_OX!U24)</f>
        <v>0.38561607233754175</v>
      </c>
    </row>
    <row r="30" spans="2:32">
      <c r="B30" s="742">
        <f t="shared" si="1"/>
        <v>2013</v>
      </c>
      <c r="C30" s="743">
        <f>IF(Select2=1,Food!$K32,"")</f>
        <v>0.37145901839187606</v>
      </c>
      <c r="D30" s="744">
        <f>IF(Select2=1,Paper!$K32,"")</f>
        <v>4.9022947633803313E-2</v>
      </c>
      <c r="E30" s="735">
        <f>IF(Select2=1,Nappies!$K32,"")</f>
        <v>0.10582488389000647</v>
      </c>
      <c r="F30" s="744">
        <f>IF(Select2=1,Garden!$K32,"")</f>
        <v>0</v>
      </c>
      <c r="G30" s="735">
        <f>IF(Select2=1,Wood!$K32,"")</f>
        <v>0</v>
      </c>
      <c r="H30" s="744">
        <f>IF(Select2=1,Textiles!$K32,"")</f>
        <v>1.1606792930307796E-2</v>
      </c>
      <c r="I30" s="745">
        <f>Sludge!K32</f>
        <v>0</v>
      </c>
      <c r="J30" s="745" t="str">
        <f>IF(Select2=2,MSW!$K32,"")</f>
        <v/>
      </c>
      <c r="K30" s="745">
        <f>Industry!$K32</f>
        <v>0</v>
      </c>
      <c r="L30" s="746">
        <f t="shared" si="3"/>
        <v>0.53791364284599363</v>
      </c>
      <c r="M30" s="747">
        <f>Recovery_OX!C25</f>
        <v>0</v>
      </c>
      <c r="N30" s="702"/>
      <c r="O30" s="748">
        <f>(L30-M30)*(1-Recovery_OX!F25)</f>
        <v>0.53791364284599363</v>
      </c>
      <c r="P30" s="694"/>
      <c r="Q30" s="704"/>
      <c r="S30" s="742">
        <f t="shared" si="2"/>
        <v>2013</v>
      </c>
      <c r="T30" s="743">
        <f>IF(Select2=1,Food!$W32,"")</f>
        <v>0.24852298286699998</v>
      </c>
      <c r="U30" s="744">
        <f>IF(Select2=1,Paper!$W32,"")</f>
        <v>0.10128708188802338</v>
      </c>
      <c r="V30" s="735">
        <f>IF(Select2=1,Nappies!$W32,"")</f>
        <v>0</v>
      </c>
      <c r="W30" s="744">
        <f>IF(Select2=1,Garden!$W32,"")</f>
        <v>0</v>
      </c>
      <c r="X30" s="735">
        <f>IF(Select2=1,Wood!$W32,"")</f>
        <v>4.995892181787015E-2</v>
      </c>
      <c r="Y30" s="744">
        <f>IF(Select2=1,Textiles!$W32,"")</f>
        <v>1.2719773074309911E-2</v>
      </c>
      <c r="Z30" s="737">
        <f>Sludge!W32</f>
        <v>0</v>
      </c>
      <c r="AA30" s="737" t="str">
        <f>IF(Select2=2,MSW!$W32,"")</f>
        <v/>
      </c>
      <c r="AB30" s="745">
        <f>Industry!$W32</f>
        <v>0</v>
      </c>
      <c r="AC30" s="746">
        <f t="shared" si="0"/>
        <v>0.41248875964720344</v>
      </c>
      <c r="AD30" s="747">
        <f>Recovery_OX!R25</f>
        <v>0</v>
      </c>
      <c r="AE30" s="702"/>
      <c r="AF30" s="749">
        <f>(AC30-AD30)*(1-Recovery_OX!U25)</f>
        <v>0.41248875964720344</v>
      </c>
    </row>
    <row r="31" spans="2:32">
      <c r="B31" s="742">
        <f t="shared" si="1"/>
        <v>2014</v>
      </c>
      <c r="C31" s="743">
        <f>IF(Select2=1,Food!$K33,"")</f>
        <v>0.3903642433243063</v>
      </c>
      <c r="D31" s="744">
        <f>IF(Select2=1,Paper!$K33,"")</f>
        <v>5.3132294156096868E-2</v>
      </c>
      <c r="E31" s="735">
        <f>IF(Select2=1,Nappies!$K33,"")</f>
        <v>0.11268976622099365</v>
      </c>
      <c r="F31" s="744">
        <f>IF(Select2=1,Garden!$K33,"")</f>
        <v>0</v>
      </c>
      <c r="G31" s="735">
        <f>IF(Select2=1,Wood!$K33,"")</f>
        <v>0</v>
      </c>
      <c r="H31" s="744">
        <f>IF(Select2=1,Textiles!$K33,"")</f>
        <v>1.2579731859223878E-2</v>
      </c>
      <c r="I31" s="745">
        <f>Sludge!K33</f>
        <v>0</v>
      </c>
      <c r="J31" s="745" t="str">
        <f>IF(Select2=2,MSW!$K33,"")</f>
        <v/>
      </c>
      <c r="K31" s="745">
        <f>Industry!$K33</f>
        <v>0</v>
      </c>
      <c r="L31" s="746">
        <f t="shared" si="3"/>
        <v>0.56876603556062078</v>
      </c>
      <c r="M31" s="747">
        <f>Recovery_OX!C26</f>
        <v>0</v>
      </c>
      <c r="N31" s="702"/>
      <c r="O31" s="748">
        <f>(L31-M31)*(1-Recovery_OX!F26)</f>
        <v>0.56876603556062078</v>
      </c>
      <c r="P31" s="694"/>
      <c r="Q31" s="704"/>
      <c r="S31" s="742">
        <f t="shared" si="2"/>
        <v>2014</v>
      </c>
      <c r="T31" s="743">
        <f>IF(Select2=1,Food!$W33,"")</f>
        <v>0.26117143844177493</v>
      </c>
      <c r="U31" s="744">
        <f>IF(Select2=1,Paper!$W33,"")</f>
        <v>0.10977746726466298</v>
      </c>
      <c r="V31" s="735">
        <f>IF(Select2=1,Nappies!$W33,"")</f>
        <v>0</v>
      </c>
      <c r="W31" s="744">
        <f>IF(Select2=1,Garden!$W33,"")</f>
        <v>0</v>
      </c>
      <c r="X31" s="735">
        <f>IF(Select2=1,Wood!$W33,"")</f>
        <v>5.4678247970627231E-2</v>
      </c>
      <c r="Y31" s="744">
        <f>IF(Select2=1,Textiles!$W33,"")</f>
        <v>1.3786007516957674E-2</v>
      </c>
      <c r="Z31" s="737">
        <f>Sludge!W33</f>
        <v>0</v>
      </c>
      <c r="AA31" s="737" t="str">
        <f>IF(Select2=2,MSW!$W33,"")</f>
        <v/>
      </c>
      <c r="AB31" s="745">
        <f>Industry!$W33</f>
        <v>0</v>
      </c>
      <c r="AC31" s="746">
        <f t="shared" si="0"/>
        <v>0.43941316119402285</v>
      </c>
      <c r="AD31" s="747">
        <f>Recovery_OX!R26</f>
        <v>0</v>
      </c>
      <c r="AE31" s="702"/>
      <c r="AF31" s="749">
        <f>(AC31-AD31)*(1-Recovery_OX!U26)</f>
        <v>0.43941316119402285</v>
      </c>
    </row>
    <row r="32" spans="2:32">
      <c r="B32" s="742">
        <f t="shared" si="1"/>
        <v>2015</v>
      </c>
      <c r="C32" s="743">
        <f>IF(Select2=1,Food!$K34,"")</f>
        <v>0.40916688474141943</v>
      </c>
      <c r="D32" s="744">
        <f>IF(Select2=1,Paper!$K34,"")</f>
        <v>5.7285730825910708E-2</v>
      </c>
      <c r="E32" s="735">
        <f>IF(Select2=1,Nappies!$K34,"")</f>
        <v>0.11949650486270078</v>
      </c>
      <c r="F32" s="744">
        <f>IF(Select2=1,Garden!$K34,"")</f>
        <v>0</v>
      </c>
      <c r="G32" s="735">
        <f>IF(Select2=1,Wood!$K34,"")</f>
        <v>0</v>
      </c>
      <c r="H32" s="744">
        <f>IF(Select2=1,Textiles!$K34,"")</f>
        <v>1.3563109679255956E-2</v>
      </c>
      <c r="I32" s="745">
        <f>Sludge!K34</f>
        <v>0</v>
      </c>
      <c r="J32" s="745" t="str">
        <f>IF(Select2=2,MSW!$K34,"")</f>
        <v/>
      </c>
      <c r="K32" s="745">
        <f>Industry!$K34</f>
        <v>0</v>
      </c>
      <c r="L32" s="746">
        <f t="shared" si="3"/>
        <v>0.59951223010928689</v>
      </c>
      <c r="M32" s="747">
        <f>Recovery_OX!C27</f>
        <v>0</v>
      </c>
      <c r="N32" s="702"/>
      <c r="O32" s="748">
        <f>(L32-M32)*(1-Recovery_OX!F27)</f>
        <v>0.59951223010928689</v>
      </c>
      <c r="P32" s="694"/>
      <c r="Q32" s="704"/>
      <c r="S32" s="742">
        <f t="shared" si="2"/>
        <v>2015</v>
      </c>
      <c r="T32" s="743">
        <f>IF(Select2=1,Food!$W34,"")</f>
        <v>0.27375126097775604</v>
      </c>
      <c r="U32" s="744">
        <f>IF(Select2=1,Paper!$W34,"")</f>
        <v>0.11835894798741882</v>
      </c>
      <c r="V32" s="735">
        <f>IF(Select2=1,Nappies!$W34,"")</f>
        <v>0</v>
      </c>
      <c r="W32" s="744">
        <f>IF(Select2=1,Garden!$W34,"")</f>
        <v>0</v>
      </c>
      <c r="X32" s="735">
        <f>IF(Select2=1,Wood!$W34,"")</f>
        <v>5.9514408420941911E-2</v>
      </c>
      <c r="Y32" s="744">
        <f>IF(Select2=1,Textiles!$W34,"")</f>
        <v>1.4863681840280498E-2</v>
      </c>
      <c r="Z32" s="737">
        <f>Sludge!W34</f>
        <v>0</v>
      </c>
      <c r="AA32" s="737" t="str">
        <f>IF(Select2=2,MSW!$W34,"")</f>
        <v/>
      </c>
      <c r="AB32" s="745">
        <f>Industry!$W34</f>
        <v>0</v>
      </c>
      <c r="AC32" s="746">
        <f t="shared" si="0"/>
        <v>0.46648829922639723</v>
      </c>
      <c r="AD32" s="747">
        <f>Recovery_OX!R27</f>
        <v>0</v>
      </c>
      <c r="AE32" s="702"/>
      <c r="AF32" s="749">
        <f>(AC32-AD32)*(1-Recovery_OX!U27)</f>
        <v>0.46648829922639723</v>
      </c>
    </row>
    <row r="33" spans="2:32">
      <c r="B33" s="742">
        <f t="shared" si="1"/>
        <v>2016</v>
      </c>
      <c r="C33" s="743">
        <f>IF(Select2=1,Food!$K35,"")</f>
        <v>0.42808479000429989</v>
      </c>
      <c r="D33" s="744">
        <f>IF(Select2=1,Paper!$K35,"")</f>
        <v>6.1489940658117727E-2</v>
      </c>
      <c r="E33" s="735">
        <f>IF(Select2=1,Nappies!$K35,"")</f>
        <v>0.12628466277459383</v>
      </c>
      <c r="F33" s="744">
        <f>IF(Select2=1,Garden!$K35,"")</f>
        <v>0</v>
      </c>
      <c r="G33" s="735">
        <f>IF(Select2=1,Wood!$K35,"")</f>
        <v>0</v>
      </c>
      <c r="H33" s="744">
        <f>IF(Select2=1,Textiles!$K35,"")</f>
        <v>1.4558508677343604E-2</v>
      </c>
      <c r="I33" s="745">
        <f>Sludge!K35</f>
        <v>0</v>
      </c>
      <c r="J33" s="745" t="str">
        <f>IF(Select2=2,MSW!$K35,"")</f>
        <v/>
      </c>
      <c r="K33" s="745">
        <f>Industry!$K35</f>
        <v>0</v>
      </c>
      <c r="L33" s="746">
        <f t="shared" si="3"/>
        <v>0.63041790211435511</v>
      </c>
      <c r="M33" s="747">
        <f>Recovery_OX!C28</f>
        <v>0</v>
      </c>
      <c r="N33" s="702"/>
      <c r="O33" s="748">
        <f>(L33-M33)*(1-Recovery_OX!F28)</f>
        <v>0.63041790211435511</v>
      </c>
      <c r="P33" s="694"/>
      <c r="Q33" s="704"/>
      <c r="S33" s="742">
        <f t="shared" si="2"/>
        <v>2016</v>
      </c>
      <c r="T33" s="743">
        <f>IF(Select2=1,Food!$W35,"")</f>
        <v>0.28640820027049496</v>
      </c>
      <c r="U33" s="744">
        <f>IF(Select2=1,Paper!$W35,"")</f>
        <v>0.12704533193825979</v>
      </c>
      <c r="V33" s="735">
        <f>IF(Select2=1,Nappies!$W35,"")</f>
        <v>0</v>
      </c>
      <c r="W33" s="744">
        <f>IF(Select2=1,Garden!$W35,"")</f>
        <v>0</v>
      </c>
      <c r="X33" s="735">
        <f>IF(Select2=1,Wood!$W35,"")</f>
        <v>6.4471764997440201E-2</v>
      </c>
      <c r="Y33" s="744">
        <f>IF(Select2=1,Textiles!$W35,"")</f>
        <v>1.5954530057362852E-2</v>
      </c>
      <c r="Z33" s="737">
        <f>Sludge!W35</f>
        <v>0</v>
      </c>
      <c r="AA33" s="737" t="str">
        <f>IF(Select2=2,MSW!$W35,"")</f>
        <v/>
      </c>
      <c r="AB33" s="745">
        <f>Industry!$W35</f>
        <v>0</v>
      </c>
      <c r="AC33" s="746">
        <f t="shared" si="0"/>
        <v>0.49387982726355778</v>
      </c>
      <c r="AD33" s="747">
        <f>Recovery_OX!R28</f>
        <v>0</v>
      </c>
      <c r="AE33" s="702"/>
      <c r="AF33" s="749">
        <f>(AC33-AD33)*(1-Recovery_OX!U28)</f>
        <v>0.49387982726355778</v>
      </c>
    </row>
    <row r="34" spans="2:32">
      <c r="B34" s="742">
        <f t="shared" si="1"/>
        <v>2017</v>
      </c>
      <c r="C34" s="743">
        <f>IF(Select2=1,Food!$K36,"")</f>
        <v>0.4472409230507613</v>
      </c>
      <c r="D34" s="744">
        <f>IF(Select2=1,Paper!$K36,"")</f>
        <v>6.5749943727842375E-2</v>
      </c>
      <c r="E34" s="735">
        <f>IF(Select2=1,Nappies!$K36,"")</f>
        <v>0.13308379875620838</v>
      </c>
      <c r="F34" s="744">
        <f>IF(Select2=1,Garden!$K36,"")</f>
        <v>0</v>
      </c>
      <c r="G34" s="735">
        <f>IF(Select2=1,Wood!$K36,"")</f>
        <v>0</v>
      </c>
      <c r="H34" s="744">
        <f>IF(Select2=1,Textiles!$K36,"")</f>
        <v>1.5567117418746074E-2</v>
      </c>
      <c r="I34" s="745">
        <f>Sludge!K36</f>
        <v>0</v>
      </c>
      <c r="J34" s="745" t="str">
        <f>IF(Select2=2,MSW!$K36,"")</f>
        <v/>
      </c>
      <c r="K34" s="745">
        <f>Industry!$K36</f>
        <v>0</v>
      </c>
      <c r="L34" s="746">
        <f t="shared" si="3"/>
        <v>0.66164178295355802</v>
      </c>
      <c r="M34" s="747">
        <f>Recovery_OX!C29</f>
        <v>0</v>
      </c>
      <c r="N34" s="702"/>
      <c r="O34" s="748">
        <f>(L34-M34)*(1-Recovery_OX!F29)</f>
        <v>0.66164178295355802</v>
      </c>
      <c r="P34" s="694"/>
      <c r="Q34" s="704"/>
      <c r="S34" s="742">
        <f t="shared" si="2"/>
        <v>2017</v>
      </c>
      <c r="T34" s="743">
        <f>IF(Select2=1,Food!$W36,"")</f>
        <v>0.29922452478864492</v>
      </c>
      <c r="U34" s="744">
        <f>IF(Select2=1,Paper!$W36,"")</f>
        <v>0.13584699117322807</v>
      </c>
      <c r="V34" s="735">
        <f>IF(Select2=1,Nappies!$W36,"")</f>
        <v>0</v>
      </c>
      <c r="W34" s="744">
        <f>IF(Select2=1,Garden!$W36,"")</f>
        <v>0</v>
      </c>
      <c r="X34" s="735">
        <f>IF(Select2=1,Wood!$W36,"")</f>
        <v>6.955347923342757E-2</v>
      </c>
      <c r="Y34" s="744">
        <f>IF(Select2=1,Textiles!$W36,"")</f>
        <v>1.705985470547515E-2</v>
      </c>
      <c r="Z34" s="737">
        <f>Sludge!W36</f>
        <v>0</v>
      </c>
      <c r="AA34" s="737" t="str">
        <f>IF(Select2=2,MSW!$W36,"")</f>
        <v/>
      </c>
      <c r="AB34" s="745">
        <f>Industry!$W36</f>
        <v>0</v>
      </c>
      <c r="AC34" s="746">
        <f t="shared" si="0"/>
        <v>0.52168484990077568</v>
      </c>
      <c r="AD34" s="747">
        <f>Recovery_OX!R29</f>
        <v>0</v>
      </c>
      <c r="AE34" s="702"/>
      <c r="AF34" s="749">
        <f>(AC34-AD34)*(1-Recovery_OX!U29)</f>
        <v>0.52168484990077568</v>
      </c>
    </row>
    <row r="35" spans="2:32">
      <c r="B35" s="742">
        <f t="shared" si="1"/>
        <v>2018</v>
      </c>
      <c r="C35" s="743">
        <f>IF(Select2=1,Food!$K37,"")</f>
        <v>0.46081921503594542</v>
      </c>
      <c r="D35" s="744">
        <f>IF(Select2=1,Paper!$K37,"")</f>
        <v>6.9760675083555379E-2</v>
      </c>
      <c r="E35" s="735">
        <f>IF(Select2=1,Nappies!$K37,"")</f>
        <v>0.13894212148004359</v>
      </c>
      <c r="F35" s="744">
        <f>IF(Select2=1,Garden!$K37,"")</f>
        <v>0</v>
      </c>
      <c r="G35" s="735">
        <f>IF(Select2=1,Wood!$K37,"")</f>
        <v>0</v>
      </c>
      <c r="H35" s="744">
        <f>IF(Select2=1,Textiles!$K37,"")</f>
        <v>1.6516707979733765E-2</v>
      </c>
      <c r="I35" s="745">
        <f>Sludge!K37</f>
        <v>0</v>
      </c>
      <c r="J35" s="745" t="str">
        <f>IF(Select2=2,MSW!$K37,"")</f>
        <v/>
      </c>
      <c r="K35" s="745">
        <f>Industry!$K37</f>
        <v>0</v>
      </c>
      <c r="L35" s="746">
        <f t="shared" si="3"/>
        <v>0.6860387195792782</v>
      </c>
      <c r="M35" s="747">
        <f>Recovery_OX!C30</f>
        <v>0</v>
      </c>
      <c r="N35" s="702"/>
      <c r="O35" s="748">
        <f>(L35-M35)*(1-Recovery_OX!F30)</f>
        <v>0.6860387195792782</v>
      </c>
      <c r="P35" s="694"/>
      <c r="Q35" s="704"/>
      <c r="S35" s="742">
        <f t="shared" si="2"/>
        <v>2018</v>
      </c>
      <c r="T35" s="743">
        <f>IF(Select2=1,Food!$W37,"")</f>
        <v>0.30830901987239878</v>
      </c>
      <c r="U35" s="744">
        <f>IF(Select2=1,Paper!$W37,"")</f>
        <v>0.14413362620569292</v>
      </c>
      <c r="V35" s="735">
        <f>IF(Select2=1,Nappies!$W37,"")</f>
        <v>0</v>
      </c>
      <c r="W35" s="744">
        <f>IF(Select2=1,Garden!$W37,"")</f>
        <v>0</v>
      </c>
      <c r="X35" s="735">
        <f>IF(Select2=1,Wood!$W37,"")</f>
        <v>7.4493996848202085E-2</v>
      </c>
      <c r="Y35" s="744">
        <f>IF(Select2=1,Textiles!$W37,"")</f>
        <v>1.8100501895598645E-2</v>
      </c>
      <c r="Z35" s="737">
        <f>Sludge!W37</f>
        <v>0</v>
      </c>
      <c r="AA35" s="737" t="str">
        <f>IF(Select2=2,MSW!$W37,"")</f>
        <v/>
      </c>
      <c r="AB35" s="745">
        <f>Industry!$W37</f>
        <v>0</v>
      </c>
      <c r="AC35" s="746">
        <f t="shared" si="0"/>
        <v>0.54503714482189247</v>
      </c>
      <c r="AD35" s="747">
        <f>Recovery_OX!R30</f>
        <v>0</v>
      </c>
      <c r="AE35" s="702"/>
      <c r="AF35" s="749">
        <f>(AC35-AD35)*(1-Recovery_OX!U30)</f>
        <v>0.54503714482189247</v>
      </c>
    </row>
    <row r="36" spans="2:32">
      <c r="B36" s="742">
        <f t="shared" si="1"/>
        <v>2019</v>
      </c>
      <c r="C36" s="743">
        <f>IF(Select2=1,Food!$K38,"")</f>
        <v>0.47592569865020207</v>
      </c>
      <c r="D36" s="744">
        <f>IF(Select2=1,Paper!$K38,"")</f>
        <v>7.3815578080387606E-2</v>
      </c>
      <c r="E36" s="735">
        <f>IF(Select2=1,Nappies!$K38,"")</f>
        <v>0.14487889496199213</v>
      </c>
      <c r="F36" s="744">
        <f>IF(Select2=1,Garden!$K38,"")</f>
        <v>0</v>
      </c>
      <c r="G36" s="735">
        <f>IF(Select2=1,Wood!$K38,"")</f>
        <v>0</v>
      </c>
      <c r="H36" s="744">
        <f>IF(Select2=1,Textiles!$K38,"")</f>
        <v>1.7476756726461172E-2</v>
      </c>
      <c r="I36" s="745">
        <f>Sludge!K38</f>
        <v>0</v>
      </c>
      <c r="J36" s="745" t="str">
        <f>IF(Select2=2,MSW!$K38,"")</f>
        <v/>
      </c>
      <c r="K36" s="745">
        <f>Industry!$K38</f>
        <v>0</v>
      </c>
      <c r="L36" s="746">
        <f t="shared" si="3"/>
        <v>0.71209692841904304</v>
      </c>
      <c r="M36" s="747">
        <f>Recovery_OX!C31</f>
        <v>0</v>
      </c>
      <c r="N36" s="702"/>
      <c r="O36" s="748">
        <f>(L36-M36)*(1-Recovery_OX!F31)</f>
        <v>0.71209692841904304</v>
      </c>
      <c r="P36" s="694"/>
      <c r="Q36" s="704"/>
      <c r="S36" s="742">
        <f t="shared" si="2"/>
        <v>2019</v>
      </c>
      <c r="T36" s="743">
        <f>IF(Select2=1,Food!$W38,"")</f>
        <v>0.31841594468122347</v>
      </c>
      <c r="U36" s="744">
        <f>IF(Select2=1,Paper!$W38,"")</f>
        <v>0.15251152495947853</v>
      </c>
      <c r="V36" s="735">
        <f>IF(Select2=1,Nappies!$W38,"")</f>
        <v>0</v>
      </c>
      <c r="W36" s="744">
        <f>IF(Select2=1,Garden!$W38,"")</f>
        <v>0</v>
      </c>
      <c r="X36" s="735">
        <f>IF(Select2=1,Wood!$W38,"")</f>
        <v>7.9538030118049927E-2</v>
      </c>
      <c r="Y36" s="744">
        <f>IF(Select2=1,Textiles!$W38,"")</f>
        <v>1.9152610111190325E-2</v>
      </c>
      <c r="Z36" s="737">
        <f>Sludge!W38</f>
        <v>0</v>
      </c>
      <c r="AA36" s="737" t="str">
        <f>IF(Select2=2,MSW!$W38,"")</f>
        <v/>
      </c>
      <c r="AB36" s="745">
        <f>Industry!$W38</f>
        <v>0</v>
      </c>
      <c r="AC36" s="746">
        <f t="shared" si="0"/>
        <v>0.56961810986994221</v>
      </c>
      <c r="AD36" s="747">
        <f>Recovery_OX!R31</f>
        <v>0</v>
      </c>
      <c r="AE36" s="702"/>
      <c r="AF36" s="749">
        <f>(AC36-AD36)*(1-Recovery_OX!U31)</f>
        <v>0.56961810986994221</v>
      </c>
    </row>
    <row r="37" spans="2:32">
      <c r="B37" s="742">
        <f t="shared" si="1"/>
        <v>2020</v>
      </c>
      <c r="C37" s="743">
        <f>IF(Select2=1,Food!$K39,"")</f>
        <v>0.49205655974760976</v>
      </c>
      <c r="D37" s="744">
        <f>IF(Select2=1,Paper!$K39,"")</f>
        <v>7.7911666442414512E-2</v>
      </c>
      <c r="E37" s="735">
        <f>IF(Select2=1,Nappies!$K39,"")</f>
        <v>0.15088185458839626</v>
      </c>
      <c r="F37" s="744">
        <f>IF(Select2=1,Garden!$K39,"")</f>
        <v>0</v>
      </c>
      <c r="G37" s="735">
        <f>IF(Select2=1,Wood!$K39,"")</f>
        <v>0</v>
      </c>
      <c r="H37" s="744">
        <f>IF(Select2=1,Textiles!$K39,"")</f>
        <v>1.8446556620939719E-2</v>
      </c>
      <c r="I37" s="745">
        <f>Sludge!K39</f>
        <v>0</v>
      </c>
      <c r="J37" s="745" t="str">
        <f>IF(Select2=2,MSW!$K39,"")</f>
        <v/>
      </c>
      <c r="K37" s="745">
        <f>Industry!$K39</f>
        <v>0</v>
      </c>
      <c r="L37" s="746">
        <f t="shared" si="3"/>
        <v>0.73929663739936036</v>
      </c>
      <c r="M37" s="747">
        <f>Recovery_OX!C32</f>
        <v>0</v>
      </c>
      <c r="N37" s="702"/>
      <c r="O37" s="748">
        <f>(L37-M37)*(1-Recovery_OX!F32)</f>
        <v>0.73929663739936036</v>
      </c>
      <c r="P37" s="694"/>
      <c r="Q37" s="704"/>
      <c r="S37" s="742">
        <f t="shared" si="2"/>
        <v>2020</v>
      </c>
      <c r="T37" s="743">
        <f>IF(Select2=1,Food!$W39,"")</f>
        <v>0.32920822463042576</v>
      </c>
      <c r="U37" s="744">
        <f>IF(Select2=1,Paper!$W39,"")</f>
        <v>0.1609745174430052</v>
      </c>
      <c r="V37" s="735">
        <f>IF(Select2=1,Nappies!$W39,"")</f>
        <v>0</v>
      </c>
      <c r="W37" s="744">
        <f>IF(Select2=1,Garden!$W39,"")</f>
        <v>0</v>
      </c>
      <c r="X37" s="735">
        <f>IF(Select2=1,Wood!$W39,"")</f>
        <v>8.4682018665104011E-2</v>
      </c>
      <c r="Y37" s="744">
        <f>IF(Select2=1,Textiles!$W39,"")</f>
        <v>2.0215404516098323E-2</v>
      </c>
      <c r="Z37" s="737">
        <f>Sludge!W39</f>
        <v>0</v>
      </c>
      <c r="AA37" s="737" t="str">
        <f>IF(Select2=2,MSW!$W39,"")</f>
        <v/>
      </c>
      <c r="AB37" s="745">
        <f>Industry!$W39</f>
        <v>0</v>
      </c>
      <c r="AC37" s="746">
        <f t="shared" si="0"/>
        <v>0.59508016525463336</v>
      </c>
      <c r="AD37" s="747">
        <f>Recovery_OX!R32</f>
        <v>0</v>
      </c>
      <c r="AE37" s="702"/>
      <c r="AF37" s="749">
        <f>(AC37-AD37)*(1-Recovery_OX!U32)</f>
        <v>0.59508016525463336</v>
      </c>
    </row>
    <row r="38" spans="2:32">
      <c r="B38" s="742">
        <f t="shared" si="1"/>
        <v>2021</v>
      </c>
      <c r="C38" s="743">
        <f>IF(Select2=1,Food!$K40,"")</f>
        <v>0.50887408160668135</v>
      </c>
      <c r="D38" s="744">
        <f>IF(Select2=1,Paper!$K40,"")</f>
        <v>8.2046155784419497E-2</v>
      </c>
      <c r="E38" s="735">
        <f>IF(Select2=1,Nappies!$K40,"")</f>
        <v>0.15694065313622366</v>
      </c>
      <c r="F38" s="744">
        <f>IF(Select2=1,Garden!$K40,"")</f>
        <v>0</v>
      </c>
      <c r="G38" s="735">
        <f>IF(Select2=1,Wood!$K40,"")</f>
        <v>0</v>
      </c>
      <c r="H38" s="744">
        <f>IF(Select2=1,Textiles!$K40,"")</f>
        <v>1.9425448425318424E-2</v>
      </c>
      <c r="I38" s="745">
        <f>Sludge!K40</f>
        <v>0</v>
      </c>
      <c r="J38" s="745" t="str">
        <f>IF(Select2=2,MSW!$K40,"")</f>
        <v/>
      </c>
      <c r="K38" s="745">
        <f>Industry!$K40</f>
        <v>0</v>
      </c>
      <c r="L38" s="746">
        <f t="shared" si="3"/>
        <v>0.76728633895264298</v>
      </c>
      <c r="M38" s="747">
        <f>Recovery_OX!C33</f>
        <v>0</v>
      </c>
      <c r="N38" s="702"/>
      <c r="O38" s="748">
        <f>(L38-M38)*(1-Recovery_OX!F33)</f>
        <v>0.76728633895264298</v>
      </c>
      <c r="P38" s="694"/>
      <c r="Q38" s="704"/>
      <c r="S38" s="742">
        <f t="shared" si="2"/>
        <v>2021</v>
      </c>
      <c r="T38" s="743">
        <f>IF(Select2=1,Food!$W40,"")</f>
        <v>0.34045991186887681</v>
      </c>
      <c r="U38" s="744">
        <f>IF(Select2=1,Paper!$W40,"")</f>
        <v>0.16951685079425516</v>
      </c>
      <c r="V38" s="735">
        <f>IF(Select2=1,Nappies!$W40,"")</f>
        <v>0</v>
      </c>
      <c r="W38" s="744">
        <f>IF(Select2=1,Garden!$W40,"")</f>
        <v>0</v>
      </c>
      <c r="X38" s="735">
        <f>IF(Select2=1,Wood!$W40,"")</f>
        <v>8.9922524569211987E-2</v>
      </c>
      <c r="Y38" s="744">
        <f>IF(Select2=1,Textiles!$W40,"")</f>
        <v>2.1288162657883206E-2</v>
      </c>
      <c r="Z38" s="737">
        <f>Sludge!W40</f>
        <v>0</v>
      </c>
      <c r="AA38" s="737" t="str">
        <f>IF(Select2=2,MSW!$W40,"")</f>
        <v/>
      </c>
      <c r="AB38" s="745">
        <f>Industry!$W40</f>
        <v>0</v>
      </c>
      <c r="AC38" s="746">
        <f t="shared" si="0"/>
        <v>0.62118744989022723</v>
      </c>
      <c r="AD38" s="747">
        <f>Recovery_OX!R33</f>
        <v>0</v>
      </c>
      <c r="AE38" s="702"/>
      <c r="AF38" s="749">
        <f>(AC38-AD38)*(1-Recovery_OX!U33)</f>
        <v>0.62118744989022723</v>
      </c>
    </row>
    <row r="39" spans="2:32">
      <c r="B39" s="742">
        <f t="shared" si="1"/>
        <v>2022</v>
      </c>
      <c r="C39" s="743">
        <f>IF(Select2=1,Food!$K41,"")</f>
        <v>0.5261518859391221</v>
      </c>
      <c r="D39" s="744">
        <f>IF(Select2=1,Paper!$K41,"")</f>
        <v>8.6216449962834396E-2</v>
      </c>
      <c r="E39" s="735">
        <f>IF(Select2=1,Nappies!$K41,"")</f>
        <v>0.16304656101745257</v>
      </c>
      <c r="F39" s="744">
        <f>IF(Select2=1,Garden!$K41,"")</f>
        <v>0</v>
      </c>
      <c r="G39" s="735">
        <f>IF(Select2=1,Wood!$K41,"")</f>
        <v>0</v>
      </c>
      <c r="H39" s="744">
        <f>IF(Select2=1,Textiles!$K41,"")</f>
        <v>2.0412817470299174E-2</v>
      </c>
      <c r="I39" s="745">
        <f>Sludge!K41</f>
        <v>0</v>
      </c>
      <c r="J39" s="745" t="str">
        <f>IF(Select2=2,MSW!$K41,"")</f>
        <v/>
      </c>
      <c r="K39" s="745">
        <f>Industry!$K41</f>
        <v>0</v>
      </c>
      <c r="L39" s="746">
        <f t="shared" si="3"/>
        <v>0.79582771438970823</v>
      </c>
      <c r="M39" s="747">
        <f>Recovery_OX!C34</f>
        <v>0</v>
      </c>
      <c r="N39" s="702"/>
      <c r="O39" s="748">
        <f>(L39-M39)*(1-Recovery_OX!F34)</f>
        <v>0.79582771438970823</v>
      </c>
      <c r="P39" s="694"/>
      <c r="Q39" s="704"/>
      <c r="S39" s="742">
        <f t="shared" si="2"/>
        <v>2022</v>
      </c>
      <c r="T39" s="743">
        <f>IF(Select2=1,Food!$W41,"")</f>
        <v>0.35201954902260618</v>
      </c>
      <c r="U39" s="744">
        <f>IF(Select2=1,Paper!$W41,"")</f>
        <v>0.17813316108023636</v>
      </c>
      <c r="V39" s="735">
        <f>IF(Select2=1,Nappies!$W41,"")</f>
        <v>0</v>
      </c>
      <c r="W39" s="744">
        <f>IF(Select2=1,Garden!$W41,"")</f>
        <v>0</v>
      </c>
      <c r="X39" s="735">
        <f>IF(Select2=1,Wood!$W41,"")</f>
        <v>9.5256228156054071E-2</v>
      </c>
      <c r="Y39" s="744">
        <f>IF(Select2=1,Textiles!$W41,"")</f>
        <v>2.2370210926355261E-2</v>
      </c>
      <c r="Z39" s="737">
        <f>Sludge!W41</f>
        <v>0</v>
      </c>
      <c r="AA39" s="737" t="str">
        <f>IF(Select2=2,MSW!$W41,"")</f>
        <v/>
      </c>
      <c r="AB39" s="745">
        <f>Industry!$W41</f>
        <v>0</v>
      </c>
      <c r="AC39" s="746">
        <f t="shared" si="0"/>
        <v>0.64777914918525181</v>
      </c>
      <c r="AD39" s="747">
        <f>Recovery_OX!R34</f>
        <v>0</v>
      </c>
      <c r="AE39" s="702"/>
      <c r="AF39" s="749">
        <f>(AC39-AD39)*(1-Recovery_OX!U34)</f>
        <v>0.64777914918525181</v>
      </c>
    </row>
    <row r="40" spans="2:32">
      <c r="B40" s="742">
        <f t="shared" si="1"/>
        <v>2023</v>
      </c>
      <c r="C40" s="743">
        <f>IF(Select2=1,Food!$K42,"")</f>
        <v>0.54373822684030126</v>
      </c>
      <c r="D40" s="744">
        <f>IF(Select2=1,Paper!$K42,"")</f>
        <v>9.0420128349440604E-2</v>
      </c>
      <c r="E40" s="735">
        <f>IF(Select2=1,Nappies!$K42,"")</f>
        <v>0.16919221338580573</v>
      </c>
      <c r="F40" s="744">
        <f>IF(Select2=1,Garden!$K42,"")</f>
        <v>0</v>
      </c>
      <c r="G40" s="735">
        <f>IF(Select2=1,Wood!$K42,"")</f>
        <v>0</v>
      </c>
      <c r="H40" s="744">
        <f>IF(Select2=1,Textiles!$K42,"")</f>
        <v>2.1408090642027131E-2</v>
      </c>
      <c r="I40" s="745">
        <f>Sludge!K42</f>
        <v>0</v>
      </c>
      <c r="J40" s="745" t="str">
        <f>IF(Select2=2,MSW!$K42,"")</f>
        <v/>
      </c>
      <c r="K40" s="745">
        <f>Industry!$K42</f>
        <v>0</v>
      </c>
      <c r="L40" s="746">
        <f t="shared" si="3"/>
        <v>0.82475865921757463</v>
      </c>
      <c r="M40" s="747">
        <f>Recovery_OX!C35</f>
        <v>0</v>
      </c>
      <c r="N40" s="702"/>
      <c r="O40" s="748">
        <f>(L40-M40)*(1-Recovery_OX!F35)</f>
        <v>0.82475865921757463</v>
      </c>
      <c r="P40" s="694"/>
      <c r="Q40" s="704"/>
      <c r="S40" s="742">
        <f t="shared" si="2"/>
        <v>2023</v>
      </c>
      <c r="T40" s="743">
        <f>IF(Select2=1,Food!$W42,"")</f>
        <v>0.36378561117772157</v>
      </c>
      <c r="U40" s="744">
        <f>IF(Select2=1,Paper!$W42,"")</f>
        <v>0.18681844700297648</v>
      </c>
      <c r="V40" s="735">
        <f>IF(Select2=1,Nappies!$W42,"")</f>
        <v>0</v>
      </c>
      <c r="W40" s="744">
        <f>IF(Select2=1,Garden!$W42,"")</f>
        <v>0</v>
      </c>
      <c r="X40" s="735">
        <f>IF(Select2=1,Wood!$W42,"")</f>
        <v>0.10067992393012683</v>
      </c>
      <c r="Y40" s="744">
        <f>IF(Select2=1,Textiles!$W42,"")</f>
        <v>2.3460921251536572E-2</v>
      </c>
      <c r="Z40" s="737">
        <f>Sludge!W42</f>
        <v>0</v>
      </c>
      <c r="AA40" s="737" t="str">
        <f>IF(Select2=2,MSW!$W42,"")</f>
        <v/>
      </c>
      <c r="AB40" s="745">
        <f>Industry!$W42</f>
        <v>0</v>
      </c>
      <c r="AC40" s="746">
        <f t="shared" si="0"/>
        <v>0.67474490336236137</v>
      </c>
      <c r="AD40" s="747">
        <f>Recovery_OX!R35</f>
        <v>0</v>
      </c>
      <c r="AE40" s="702"/>
      <c r="AF40" s="749">
        <f>(AC40-AD40)*(1-Recovery_OX!U35)</f>
        <v>0.67474490336236137</v>
      </c>
    </row>
    <row r="41" spans="2:32">
      <c r="B41" s="742">
        <f t="shared" si="1"/>
        <v>2024</v>
      </c>
      <c r="C41" s="743">
        <f>IF(Select2=1,Food!$K43,"")</f>
        <v>0.56153138598844077</v>
      </c>
      <c r="D41" s="744">
        <f>IF(Select2=1,Paper!$K43,"")</f>
        <v>9.4654933965446886E-2</v>
      </c>
      <c r="E41" s="735">
        <f>IF(Select2=1,Nappies!$K43,"")</f>
        <v>0.17537139677959918</v>
      </c>
      <c r="F41" s="744">
        <f>IF(Select2=1,Garden!$K43,"")</f>
        <v>0</v>
      </c>
      <c r="G41" s="735">
        <f>IF(Select2=1,Wood!$K43,"")</f>
        <v>0</v>
      </c>
      <c r="H41" s="744">
        <f>IF(Select2=1,Textiles!$K43,"")</f>
        <v>2.2410733572685932E-2</v>
      </c>
      <c r="I41" s="745">
        <f>Sludge!K43</f>
        <v>0</v>
      </c>
      <c r="J41" s="745" t="str">
        <f>IF(Select2=2,MSW!$K43,"")</f>
        <v/>
      </c>
      <c r="K41" s="745">
        <f>Industry!$K43</f>
        <v>0</v>
      </c>
      <c r="L41" s="746">
        <f t="shared" si="3"/>
        <v>0.85396845030617285</v>
      </c>
      <c r="M41" s="747">
        <f>Recovery_OX!C36</f>
        <v>0</v>
      </c>
      <c r="N41" s="702"/>
      <c r="O41" s="748">
        <f>(L41-M41)*(1-Recovery_OX!F36)</f>
        <v>0.85396845030617285</v>
      </c>
      <c r="P41" s="694"/>
      <c r="Q41" s="704"/>
      <c r="S41" s="742">
        <f t="shared" si="2"/>
        <v>2024</v>
      </c>
      <c r="T41" s="743">
        <f>IF(Select2=1,Food!$W43,"")</f>
        <v>0.37569004414926899</v>
      </c>
      <c r="U41" s="744">
        <f>IF(Select2=1,Paper!$W43,"")</f>
        <v>0.19556804538315475</v>
      </c>
      <c r="V41" s="735">
        <f>IF(Select2=1,Nappies!$W43,"")</f>
        <v>0</v>
      </c>
      <c r="W41" s="744">
        <f>IF(Select2=1,Garden!$W43,"")</f>
        <v>0</v>
      </c>
      <c r="X41" s="735">
        <f>IF(Select2=1,Wood!$W43,"")</f>
        <v>0.10619051664761044</v>
      </c>
      <c r="Y41" s="744">
        <f>IF(Select2=1,Textiles!$W43,"")</f>
        <v>2.4559708024861286E-2</v>
      </c>
      <c r="Z41" s="737">
        <f>Sludge!W43</f>
        <v>0</v>
      </c>
      <c r="AA41" s="737" t="str">
        <f>IF(Select2=2,MSW!$W43,"")</f>
        <v/>
      </c>
      <c r="AB41" s="745">
        <f>Industry!$W43</f>
        <v>0</v>
      </c>
      <c r="AC41" s="746">
        <f t="shared" si="0"/>
        <v>0.70200831420489551</v>
      </c>
      <c r="AD41" s="747">
        <f>Recovery_OX!R36</f>
        <v>0</v>
      </c>
      <c r="AE41" s="702"/>
      <c r="AF41" s="749">
        <f>(AC41-AD41)*(1-Recovery_OX!U36)</f>
        <v>0.70200831420489551</v>
      </c>
    </row>
    <row r="42" spans="2:32">
      <c r="B42" s="742">
        <f t="shared" si="1"/>
        <v>2025</v>
      </c>
      <c r="C42" s="743">
        <f>IF(Select2=1,Food!$K44,"")</f>
        <v>0.57946317955340365</v>
      </c>
      <c r="D42" s="744">
        <f>IF(Select2=1,Paper!$K44,"")</f>
        <v>9.8918762417776557E-2</v>
      </c>
      <c r="E42" s="735">
        <f>IF(Select2=1,Nappies!$K44,"")</f>
        <v>0.18157886911982105</v>
      </c>
      <c r="F42" s="744">
        <f>IF(Select2=1,Garden!$K44,"")</f>
        <v>0</v>
      </c>
      <c r="G42" s="735">
        <f>IF(Select2=1,Wood!$K44,"")</f>
        <v>0</v>
      </c>
      <c r="H42" s="744">
        <f>IF(Select2=1,Textiles!$K44,"")</f>
        <v>2.3420248021026047E-2</v>
      </c>
      <c r="I42" s="745">
        <f>Sludge!K44</f>
        <v>0</v>
      </c>
      <c r="J42" s="745" t="str">
        <f>IF(Select2=2,MSW!$K44,"")</f>
        <v/>
      </c>
      <c r="K42" s="745">
        <f>Industry!$K44</f>
        <v>0</v>
      </c>
      <c r="L42" s="746">
        <f t="shared" si="3"/>
        <v>0.88338105911202724</v>
      </c>
      <c r="M42" s="747">
        <f>Recovery_OX!C37</f>
        <v>0</v>
      </c>
      <c r="N42" s="702"/>
      <c r="O42" s="748">
        <f>(L42-M42)*(1-Recovery_OX!F37)</f>
        <v>0.88338105911202724</v>
      </c>
      <c r="P42" s="694"/>
      <c r="Q42" s="704"/>
      <c r="S42" s="742">
        <f t="shared" si="2"/>
        <v>2025</v>
      </c>
      <c r="T42" s="743">
        <f>IF(Select2=1,Food!$W44,"")</f>
        <v>0.38768722985285697</v>
      </c>
      <c r="U42" s="744">
        <f>IF(Select2=1,Paper!$W44,"")</f>
        <v>0.20437760830119128</v>
      </c>
      <c r="V42" s="735">
        <f>IF(Select2=1,Nappies!$W44,"")</f>
        <v>0</v>
      </c>
      <c r="W42" s="744">
        <f>IF(Select2=1,Garden!$W44,"")</f>
        <v>0</v>
      </c>
      <c r="X42" s="735">
        <f>IF(Select2=1,Wood!$W44,"")</f>
        <v>0.11178501752430778</v>
      </c>
      <c r="Y42" s="744">
        <f>IF(Select2=1,Textiles!$W44,"")</f>
        <v>2.566602522852169E-2</v>
      </c>
      <c r="Z42" s="737">
        <f>Sludge!W44</f>
        <v>0</v>
      </c>
      <c r="AA42" s="737" t="str">
        <f>IF(Select2=2,MSW!$W44,"")</f>
        <v/>
      </c>
      <c r="AB42" s="745">
        <f>Industry!$W44</f>
        <v>0</v>
      </c>
      <c r="AC42" s="746">
        <f t="shared" si="0"/>
        <v>0.7295158809068778</v>
      </c>
      <c r="AD42" s="747">
        <f>Recovery_OX!R37</f>
        <v>0</v>
      </c>
      <c r="AE42" s="702"/>
      <c r="AF42" s="749">
        <f>(AC42-AD42)*(1-Recovery_OX!U37)</f>
        <v>0.7295158809068778</v>
      </c>
    </row>
    <row r="43" spans="2:32">
      <c r="B43" s="742">
        <f t="shared" si="1"/>
        <v>2026</v>
      </c>
      <c r="C43" s="743">
        <f>IF(Select2=1,Food!$K45,"")</f>
        <v>0.59748790254703388</v>
      </c>
      <c r="D43" s="744">
        <f>IF(Select2=1,Paper!$K45,"")</f>
        <v>0.10320965158333034</v>
      </c>
      <c r="E43" s="735">
        <f>IF(Select2=1,Nappies!$K45,"")</f>
        <v>0.1878102078488432</v>
      </c>
      <c r="F43" s="744">
        <f>IF(Select2=1,Garden!$K45,"")</f>
        <v>0</v>
      </c>
      <c r="G43" s="735">
        <f>IF(Select2=1,Wood!$K45,"")</f>
        <v>0</v>
      </c>
      <c r="H43" s="744">
        <f>IF(Select2=1,Textiles!$K45,"")</f>
        <v>2.44361694299856E-2</v>
      </c>
      <c r="I43" s="745">
        <f>Sludge!K45</f>
        <v>0</v>
      </c>
      <c r="J43" s="745" t="str">
        <f>IF(Select2=2,MSW!$K45,"")</f>
        <v/>
      </c>
      <c r="K43" s="745">
        <f>Industry!$K45</f>
        <v>0</v>
      </c>
      <c r="L43" s="746">
        <f t="shared" si="3"/>
        <v>0.91294393140919294</v>
      </c>
      <c r="M43" s="747">
        <f>Recovery_OX!C38</f>
        <v>0</v>
      </c>
      <c r="N43" s="702"/>
      <c r="O43" s="748">
        <f>(L43-M43)*(1-Recovery_OX!F38)</f>
        <v>0.91294393140919294</v>
      </c>
      <c r="P43" s="694"/>
      <c r="Q43" s="704"/>
      <c r="S43" s="742">
        <f t="shared" si="2"/>
        <v>2026</v>
      </c>
      <c r="T43" s="743">
        <f>IF(Select2=1,Food!$W45,"")</f>
        <v>0.3997465895720565</v>
      </c>
      <c r="U43" s="744">
        <f>IF(Select2=1,Paper!$W45,"")</f>
        <v>0.21324308178374041</v>
      </c>
      <c r="V43" s="735">
        <f>IF(Select2=1,Nappies!$W45,"")</f>
        <v>0</v>
      </c>
      <c r="W43" s="744">
        <f>IF(Select2=1,Garden!$W45,"")</f>
        <v>0</v>
      </c>
      <c r="X43" s="735">
        <f>IF(Select2=1,Wood!$W45,"")</f>
        <v>0.11746054057401008</v>
      </c>
      <c r="Y43" s="744">
        <f>IF(Select2=1,Textiles!$W45,"")</f>
        <v>2.6779363758888328E-2</v>
      </c>
      <c r="Z43" s="737">
        <f>Sludge!W45</f>
        <v>0</v>
      </c>
      <c r="AA43" s="737" t="str">
        <f>IF(Select2=2,MSW!$W45,"")</f>
        <v/>
      </c>
      <c r="AB43" s="745">
        <f>Industry!$W45</f>
        <v>0</v>
      </c>
      <c r="AC43" s="746">
        <f t="shared" si="0"/>
        <v>0.75722957568869542</v>
      </c>
      <c r="AD43" s="747">
        <f>Recovery_OX!R38</f>
        <v>0</v>
      </c>
      <c r="AE43" s="702"/>
      <c r="AF43" s="749">
        <f>(AC43-AD43)*(1-Recovery_OX!U38)</f>
        <v>0.75722957568869542</v>
      </c>
    </row>
    <row r="44" spans="2:32">
      <c r="B44" s="742">
        <f t="shared" si="1"/>
        <v>2027</v>
      </c>
      <c r="C44" s="743">
        <f>IF(Select2=1,Food!$K46,"")</f>
        <v>0.61557491799956621</v>
      </c>
      <c r="D44" s="744">
        <f>IF(Select2=1,Paper!$K46,"")</f>
        <v>0.10752577199065649</v>
      </c>
      <c r="E44" s="735">
        <f>IF(Select2=1,Nappies!$K46,"")</f>
        <v>0.19406168181039529</v>
      </c>
      <c r="F44" s="744">
        <f>IF(Select2=1,Garden!$K46,"")</f>
        <v>0</v>
      </c>
      <c r="G44" s="735">
        <f>IF(Select2=1,Wood!$K46,"")</f>
        <v>0</v>
      </c>
      <c r="H44" s="744">
        <f>IF(Select2=1,Textiles!$K46,"")</f>
        <v>2.5458064649431095E-2</v>
      </c>
      <c r="I44" s="745">
        <f>Sludge!K46</f>
        <v>0</v>
      </c>
      <c r="J44" s="745" t="str">
        <f>IF(Select2=2,MSW!$K46,"")</f>
        <v/>
      </c>
      <c r="K44" s="745">
        <f>Industry!$K46</f>
        <v>0</v>
      </c>
      <c r="L44" s="746">
        <f t="shared" si="3"/>
        <v>0.94262043645004912</v>
      </c>
      <c r="M44" s="747">
        <f>Recovery_OX!C39</f>
        <v>0</v>
      </c>
      <c r="N44" s="702"/>
      <c r="O44" s="748">
        <f>(L44-M44)*(1-Recovery_OX!F39)</f>
        <v>0.94262043645004912</v>
      </c>
      <c r="P44" s="694"/>
      <c r="Q44" s="704"/>
      <c r="S44" s="742">
        <f t="shared" si="2"/>
        <v>2027</v>
      </c>
      <c r="T44" s="743">
        <f>IF(Select2=1,Food!$W46,"")</f>
        <v>0.41184762578026285</v>
      </c>
      <c r="U44" s="744">
        <f>IF(Select2=1,Paper!$W46,"")</f>
        <v>0.22216068593110849</v>
      </c>
      <c r="V44" s="735">
        <f>IF(Select2=1,Nappies!$W46,"")</f>
        <v>0</v>
      </c>
      <c r="W44" s="744">
        <f>IF(Select2=1,Garden!$W46,"")</f>
        <v>0</v>
      </c>
      <c r="X44" s="735">
        <f>IF(Select2=1,Wood!$W46,"")</f>
        <v>0.12321429907280293</v>
      </c>
      <c r="Y44" s="744">
        <f>IF(Select2=1,Textiles!$W46,"")</f>
        <v>2.7899248930883393E-2</v>
      </c>
      <c r="Z44" s="737">
        <f>Sludge!W46</f>
        <v>0</v>
      </c>
      <c r="AA44" s="737" t="str">
        <f>IF(Select2=2,MSW!$W46,"")</f>
        <v/>
      </c>
      <c r="AB44" s="745">
        <f>Industry!$W46</f>
        <v>0</v>
      </c>
      <c r="AC44" s="746">
        <f t="shared" si="0"/>
        <v>0.78512185971505755</v>
      </c>
      <c r="AD44" s="747">
        <f>Recovery_OX!R39</f>
        <v>0</v>
      </c>
      <c r="AE44" s="702"/>
      <c r="AF44" s="749">
        <f>(AC44-AD44)*(1-Recovery_OX!U39)</f>
        <v>0.78512185971505755</v>
      </c>
    </row>
    <row r="45" spans="2:32">
      <c r="B45" s="742">
        <f t="shared" si="1"/>
        <v>2028</v>
      </c>
      <c r="C45" s="743">
        <f>IF(Select2=1,Food!$K47,"")</f>
        <v>0.63370368933601773</v>
      </c>
      <c r="D45" s="744">
        <f>IF(Select2=1,Paper!$K47,"")</f>
        <v>0.11186541785187977</v>
      </c>
      <c r="E45" s="735">
        <f>IF(Select2=1,Nappies!$K47,"")</f>
        <v>0.20033014315920689</v>
      </c>
      <c r="F45" s="744">
        <f>IF(Select2=1,Garden!$K47,"")</f>
        <v>0</v>
      </c>
      <c r="G45" s="735">
        <f>IF(Select2=1,Wood!$K47,"")</f>
        <v>0</v>
      </c>
      <c r="H45" s="744">
        <f>IF(Select2=1,Textiles!$K47,"")</f>
        <v>2.6485529812854965E-2</v>
      </c>
      <c r="I45" s="745">
        <f>Sludge!K47</f>
        <v>0</v>
      </c>
      <c r="J45" s="745" t="str">
        <f>IF(Select2=2,MSW!$K47,"")</f>
        <v/>
      </c>
      <c r="K45" s="745">
        <f>Industry!$K47</f>
        <v>0</v>
      </c>
      <c r="L45" s="746">
        <f t="shared" si="3"/>
        <v>0.97238478015995944</v>
      </c>
      <c r="M45" s="747">
        <f>Recovery_OX!C40</f>
        <v>0</v>
      </c>
      <c r="N45" s="702"/>
      <c r="O45" s="748">
        <f>(L45-M45)*(1-Recovery_OX!F40)</f>
        <v>0.97238478015995944</v>
      </c>
      <c r="P45" s="694"/>
      <c r="Q45" s="704"/>
      <c r="S45" s="742">
        <f t="shared" si="2"/>
        <v>2028</v>
      </c>
      <c r="T45" s="743">
        <f>IF(Select2=1,Food!$W47,"")</f>
        <v>0.42397659857449888</v>
      </c>
      <c r="U45" s="744">
        <f>IF(Select2=1,Paper!$W47,"")</f>
        <v>0.23112689638818135</v>
      </c>
      <c r="V45" s="735">
        <f>IF(Select2=1,Nappies!$W47,"")</f>
        <v>0</v>
      </c>
      <c r="W45" s="744">
        <f>IF(Select2=1,Garden!$W47,"")</f>
        <v>0</v>
      </c>
      <c r="X45" s="735">
        <f>IF(Select2=1,Wood!$W47,"")</f>
        <v>0.12904360214498101</v>
      </c>
      <c r="Y45" s="744">
        <f>IF(Select2=1,Textiles!$W47,"")</f>
        <v>2.9025238151073943E-2</v>
      </c>
      <c r="Z45" s="737">
        <f>Sludge!W47</f>
        <v>0</v>
      </c>
      <c r="AA45" s="737" t="str">
        <f>IF(Select2=2,MSW!$W47,"")</f>
        <v/>
      </c>
      <c r="AB45" s="745">
        <f>Industry!$W47</f>
        <v>0</v>
      </c>
      <c r="AC45" s="746">
        <f t="shared" si="0"/>
        <v>0.81317233525873511</v>
      </c>
      <c r="AD45" s="747">
        <f>Recovery_OX!R40</f>
        <v>0</v>
      </c>
      <c r="AE45" s="702"/>
      <c r="AF45" s="749">
        <f>(AC45-AD45)*(1-Recovery_OX!U40)</f>
        <v>0.81317233525873511</v>
      </c>
    </row>
    <row r="46" spans="2:32">
      <c r="B46" s="742">
        <f t="shared" si="1"/>
        <v>2029</v>
      </c>
      <c r="C46" s="743">
        <f>IF(Select2=1,Food!$K48,"")</f>
        <v>0.65186045047850005</v>
      </c>
      <c r="D46" s="744">
        <f>IF(Select2=1,Paper!$K48,"")</f>
        <v>0.1162269987009272</v>
      </c>
      <c r="E46" s="735">
        <f>IF(Select2=1,Nappies!$K48,"")</f>
        <v>0.20661293616897525</v>
      </c>
      <c r="F46" s="744">
        <f>IF(Select2=1,Garden!$K48,"")</f>
        <v>0</v>
      </c>
      <c r="G46" s="735">
        <f>IF(Select2=1,Wood!$K48,"")</f>
        <v>0</v>
      </c>
      <c r="H46" s="744">
        <f>IF(Select2=1,Textiles!$K48,"")</f>
        <v>2.7518188357621504E-2</v>
      </c>
      <c r="I46" s="745">
        <f>Sludge!K48</f>
        <v>0</v>
      </c>
      <c r="J46" s="745" t="str">
        <f>IF(Select2=2,MSW!$K48,"")</f>
        <v/>
      </c>
      <c r="K46" s="745">
        <f>Industry!$K48</f>
        <v>0</v>
      </c>
      <c r="L46" s="746">
        <f t="shared" si="3"/>
        <v>1.0022185737060241</v>
      </c>
      <c r="M46" s="747">
        <f>Recovery_OX!C41</f>
        <v>0</v>
      </c>
      <c r="N46" s="702"/>
      <c r="O46" s="748">
        <f>(L46-M46)*(1-Recovery_OX!F41)</f>
        <v>1.0022185737060241</v>
      </c>
      <c r="P46" s="694"/>
      <c r="Q46" s="704"/>
      <c r="S46" s="742">
        <f t="shared" si="2"/>
        <v>2029</v>
      </c>
      <c r="T46" s="743">
        <f>IF(Select2=1,Food!$W48,"")</f>
        <v>0.43612429782236839</v>
      </c>
      <c r="U46" s="744">
        <f>IF(Select2=1,Paper!$W48,"")</f>
        <v>0.24013842706803146</v>
      </c>
      <c r="V46" s="735">
        <f>IF(Select2=1,Nappies!$W48,"")</f>
        <v>0</v>
      </c>
      <c r="W46" s="744">
        <f>IF(Select2=1,Garden!$W48,"")</f>
        <v>0</v>
      </c>
      <c r="X46" s="735">
        <f>IF(Select2=1,Wood!$W48,"")</f>
        <v>0.13494585146638866</v>
      </c>
      <c r="Y46" s="744">
        <f>IF(Select2=1,Textiles!$W48,"")</f>
        <v>3.0156918748078368E-2</v>
      </c>
      <c r="Z46" s="737">
        <f>Sludge!W48</f>
        <v>0</v>
      </c>
      <c r="AA46" s="737" t="str">
        <f>IF(Select2=2,MSW!$W48,"")</f>
        <v/>
      </c>
      <c r="AB46" s="745">
        <f>Industry!$W48</f>
        <v>0</v>
      </c>
      <c r="AC46" s="746">
        <f t="shared" si="0"/>
        <v>0.8413654951048668</v>
      </c>
      <c r="AD46" s="747">
        <f>Recovery_OX!R41</f>
        <v>0</v>
      </c>
      <c r="AE46" s="702"/>
      <c r="AF46" s="749">
        <f>(AC46-AD46)*(1-Recovery_OX!U41)</f>
        <v>0.8413654951048668</v>
      </c>
    </row>
    <row r="47" spans="2:32">
      <c r="B47" s="742">
        <f t="shared" si="1"/>
        <v>2030</v>
      </c>
      <c r="C47" s="743">
        <f>IF(Select2=1,Food!$K49,"")</f>
        <v>0.67003597374904955</v>
      </c>
      <c r="D47" s="744">
        <f>IF(Select2=1,Paper!$K49,"")</f>
        <v>0.1206090315970616</v>
      </c>
      <c r="E47" s="735">
        <f>IF(Select2=1,Nappies!$K49,"")</f>
        <v>0.21290782029685618</v>
      </c>
      <c r="F47" s="744">
        <f>IF(Select2=1,Garden!$K49,"")</f>
        <v>0</v>
      </c>
      <c r="G47" s="735">
        <f>IF(Select2=1,Wood!$K49,"")</f>
        <v>0</v>
      </c>
      <c r="H47" s="744">
        <f>IF(Select2=1,Textiles!$K49,"")</f>
        <v>2.8555689179056362E-2</v>
      </c>
      <c r="I47" s="745">
        <f>Sludge!K49</f>
        <v>0</v>
      </c>
      <c r="J47" s="745" t="str">
        <f>IF(Select2=2,MSW!$K49,"")</f>
        <v/>
      </c>
      <c r="K47" s="745">
        <f>Industry!$K49</f>
        <v>0</v>
      </c>
      <c r="L47" s="746">
        <f t="shared" si="3"/>
        <v>1.0321085148220237</v>
      </c>
      <c r="M47" s="747">
        <f>Recovery_OX!C42</f>
        <v>0</v>
      </c>
      <c r="N47" s="702"/>
      <c r="O47" s="748">
        <f>(L47-M47)*(1-Recovery_OX!F42)</f>
        <v>1.0321085148220237</v>
      </c>
      <c r="P47" s="694"/>
      <c r="Q47" s="704"/>
      <c r="S47" s="742">
        <f t="shared" si="2"/>
        <v>2030</v>
      </c>
      <c r="T47" s="743">
        <f>IF(Select2=1,Food!$W49,"")</f>
        <v>0.44828454978749965</v>
      </c>
      <c r="U47" s="744">
        <f>IF(Select2=1,Paper!$W49,"")</f>
        <v>0.24919221404351577</v>
      </c>
      <c r="V47" s="735">
        <f>IF(Select2=1,Nappies!$W49,"")</f>
        <v>0</v>
      </c>
      <c r="W47" s="744">
        <f>IF(Select2=1,Garden!$W49,"")</f>
        <v>0</v>
      </c>
      <c r="X47" s="735">
        <f>IF(Select2=1,Wood!$W49,"")</f>
        <v>0.1409185380811481</v>
      </c>
      <c r="Y47" s="744">
        <f>IF(Select2=1,Textiles!$W49,"")</f>
        <v>3.1293905949650813E-2</v>
      </c>
      <c r="Z47" s="737">
        <f>Sludge!W49</f>
        <v>0</v>
      </c>
      <c r="AA47" s="737" t="str">
        <f>IF(Select2=2,MSW!$W49,"")</f>
        <v/>
      </c>
      <c r="AB47" s="745">
        <f>Industry!$W49</f>
        <v>0</v>
      </c>
      <c r="AC47" s="746">
        <f t="shared" si="0"/>
        <v>0.86968920786181436</v>
      </c>
      <c r="AD47" s="747">
        <f>Recovery_OX!R42</f>
        <v>0</v>
      </c>
      <c r="AE47" s="702"/>
      <c r="AF47" s="749">
        <f>(AC47-AD47)*(1-Recovery_OX!U42)</f>
        <v>0.86968920786181436</v>
      </c>
    </row>
    <row r="48" spans="2:32">
      <c r="B48" s="742">
        <f t="shared" si="1"/>
        <v>2031</v>
      </c>
      <c r="C48" s="743">
        <f>IF(Select2=1,Food!$K50,"")</f>
        <v>0.68822407365014882</v>
      </c>
      <c r="D48" s="744">
        <f>IF(Select2=1,Paper!$K50,"")</f>
        <v>0.1250101338555043</v>
      </c>
      <c r="E48" s="735">
        <f>IF(Select2=1,Nappies!$K50,"")</f>
        <v>0.21921290527568205</v>
      </c>
      <c r="F48" s="744">
        <f>IF(Select2=1,Garden!$K50,"")</f>
        <v>0</v>
      </c>
      <c r="G48" s="735">
        <f>IF(Select2=1,Wood!$K50,"")</f>
        <v>0</v>
      </c>
      <c r="H48" s="744">
        <f>IF(Select2=1,Textiles!$K50,"")</f>
        <v>2.959770490933103E-2</v>
      </c>
      <c r="I48" s="745">
        <f>Sludge!K50</f>
        <v>0</v>
      </c>
      <c r="J48" s="745" t="str">
        <f>IF(Select2=2,MSW!$K50,"")</f>
        <v/>
      </c>
      <c r="K48" s="745">
        <f>Industry!$K50</f>
        <v>0</v>
      </c>
      <c r="L48" s="746">
        <f t="shared" si="3"/>
        <v>1.0620448176906663</v>
      </c>
      <c r="M48" s="747">
        <f>Recovery_OX!C43</f>
        <v>0</v>
      </c>
      <c r="N48" s="702"/>
      <c r="O48" s="748">
        <f>(L48-M48)*(1-Recovery_OX!F43)</f>
        <v>1.0620448176906663</v>
      </c>
      <c r="P48" s="694"/>
      <c r="Q48" s="704"/>
      <c r="S48" s="742">
        <f t="shared" si="2"/>
        <v>2031</v>
      </c>
      <c r="T48" s="743">
        <f>IF(Select2=1,Food!$W50,"")</f>
        <v>0.46045321609064366</v>
      </c>
      <c r="U48" s="744">
        <f>IF(Select2=1,Paper!$W50,"")</f>
        <v>0.2582854005279015</v>
      </c>
      <c r="V48" s="735">
        <f>IF(Select2=1,Nappies!$W50,"")</f>
        <v>0</v>
      </c>
      <c r="W48" s="744">
        <f>IF(Select2=1,Garden!$W50,"")</f>
        <v>0</v>
      </c>
      <c r="X48" s="735">
        <f>IF(Select2=1,Wood!$W50,"")</f>
        <v>0.14695923932787452</v>
      </c>
      <c r="Y48" s="744">
        <f>IF(Select2=1,Textiles!$W50,"")</f>
        <v>3.243584099652716E-2</v>
      </c>
      <c r="Z48" s="737">
        <f>Sludge!W50</f>
        <v>0</v>
      </c>
      <c r="AA48" s="737" t="str">
        <f>IF(Select2=2,MSW!$W50,"")</f>
        <v/>
      </c>
      <c r="AB48" s="745">
        <f>Industry!$W50</f>
        <v>0</v>
      </c>
      <c r="AC48" s="746">
        <f t="shared" si="0"/>
        <v>0.89813369694294687</v>
      </c>
      <c r="AD48" s="747">
        <f>Recovery_OX!R43</f>
        <v>0</v>
      </c>
      <c r="AE48" s="702"/>
      <c r="AF48" s="749">
        <f>(AC48-AD48)*(1-Recovery_OX!U43)</f>
        <v>0.89813369694294687</v>
      </c>
    </row>
    <row r="49" spans="2:32">
      <c r="B49" s="742">
        <f t="shared" si="1"/>
        <v>2032</v>
      </c>
      <c r="C49" s="743">
        <f>IF(Select2=1,Food!$K51,"")</f>
        <v>0.46133039273200305</v>
      </c>
      <c r="D49" s="744">
        <f>IF(Select2=1,Paper!$K51,"")</f>
        <v>0.11655867623248756</v>
      </c>
      <c r="E49" s="735">
        <f>IF(Select2=1,Nappies!$K51,"")</f>
        <v>0.18494221552496873</v>
      </c>
      <c r="F49" s="744">
        <f>IF(Select2=1,Garden!$K51,"")</f>
        <v>0</v>
      </c>
      <c r="G49" s="735">
        <f>IF(Select2=1,Wood!$K51,"")</f>
        <v>0</v>
      </c>
      <c r="H49" s="744">
        <f>IF(Select2=1,Textiles!$K51,"")</f>
        <v>2.7596717140860198E-2</v>
      </c>
      <c r="I49" s="745">
        <f>Sludge!K51</f>
        <v>0</v>
      </c>
      <c r="J49" s="745" t="str">
        <f>IF(Select2=2,MSW!$K51,"")</f>
        <v/>
      </c>
      <c r="K49" s="745">
        <f>Industry!$K51</f>
        <v>0</v>
      </c>
      <c r="L49" s="746">
        <f t="shared" si="3"/>
        <v>0.79042800163031957</v>
      </c>
      <c r="M49" s="747">
        <f>Recovery_OX!C44</f>
        <v>0</v>
      </c>
      <c r="N49" s="702"/>
      <c r="O49" s="748">
        <f>(L49-M49)*(1-Recovery_OX!F44)</f>
        <v>0.79042800163031957</v>
      </c>
      <c r="P49" s="694"/>
      <c r="Q49" s="704"/>
      <c r="S49" s="742">
        <f t="shared" si="2"/>
        <v>2032</v>
      </c>
      <c r="T49" s="743">
        <f>IF(Select2=1,Food!$W51,"")</f>
        <v>0.30865102100713848</v>
      </c>
      <c r="U49" s="744">
        <f>IF(Select2=1,Paper!$W51,"")</f>
        <v>0.24082371122414795</v>
      </c>
      <c r="V49" s="735">
        <f>IF(Select2=1,Nappies!$W51,"")</f>
        <v>0</v>
      </c>
      <c r="W49" s="744">
        <f>IF(Select2=1,Garden!$W51,"")</f>
        <v>0</v>
      </c>
      <c r="X49" s="735">
        <f>IF(Select2=1,Wood!$W51,"")</f>
        <v>0.14190463746408763</v>
      </c>
      <c r="Y49" s="744">
        <f>IF(Select2=1,Textiles!$W51,"")</f>
        <v>3.024297768861392E-2</v>
      </c>
      <c r="Z49" s="737">
        <f>Sludge!W51</f>
        <v>0</v>
      </c>
      <c r="AA49" s="737" t="str">
        <f>IF(Select2=2,MSW!$W51,"")</f>
        <v/>
      </c>
      <c r="AB49" s="745">
        <f>Industry!$W51</f>
        <v>0</v>
      </c>
      <c r="AC49" s="746">
        <f t="shared" ref="AC49:AC80" si="4">SUM(T49:AA49)</f>
        <v>0.72162234738398801</v>
      </c>
      <c r="AD49" s="747">
        <f>Recovery_OX!R44</f>
        <v>0</v>
      </c>
      <c r="AE49" s="702"/>
      <c r="AF49" s="749">
        <f>(AC49-AD49)*(1-Recovery_OX!U44)</f>
        <v>0.72162234738398801</v>
      </c>
    </row>
    <row r="50" spans="2:32">
      <c r="B50" s="742">
        <f t="shared" si="1"/>
        <v>2033</v>
      </c>
      <c r="C50" s="743">
        <f>IF(Select2=1,Food!$K52,"")</f>
        <v>0.30923901009375587</v>
      </c>
      <c r="D50" s="744">
        <f>IF(Select2=1,Paper!$K52,"")</f>
        <v>0.10867858937558973</v>
      </c>
      <c r="E50" s="735">
        <f>IF(Select2=1,Nappies!$K52,"")</f>
        <v>0.1560292403418016</v>
      </c>
      <c r="F50" s="744">
        <f>IF(Select2=1,Garden!$K52,"")</f>
        <v>0</v>
      </c>
      <c r="G50" s="735">
        <f>IF(Select2=1,Wood!$K52,"")</f>
        <v>0</v>
      </c>
      <c r="H50" s="744">
        <f>IF(Select2=1,Textiles!$K52,"")</f>
        <v>2.5731008511830598E-2</v>
      </c>
      <c r="I50" s="745">
        <f>Sludge!K52</f>
        <v>0</v>
      </c>
      <c r="J50" s="745" t="str">
        <f>IF(Select2=2,MSW!$K52,"")</f>
        <v/>
      </c>
      <c r="K50" s="745">
        <f>Industry!$K52</f>
        <v>0</v>
      </c>
      <c r="L50" s="746">
        <f t="shared" si="3"/>
        <v>0.59967784832297777</v>
      </c>
      <c r="M50" s="747">
        <f>Recovery_OX!C45</f>
        <v>0</v>
      </c>
      <c r="N50" s="702"/>
      <c r="O50" s="748">
        <f>(L50-M50)*(1-Recovery_OX!F45)</f>
        <v>0.59967784832297777</v>
      </c>
      <c r="P50" s="694"/>
      <c r="Q50" s="704"/>
      <c r="S50" s="742">
        <f t="shared" si="2"/>
        <v>2033</v>
      </c>
      <c r="T50" s="743">
        <f>IF(Select2=1,Food!$W52,"")</f>
        <v>0.20689496661045215</v>
      </c>
      <c r="U50" s="744">
        <f>IF(Select2=1,Paper!$W52,"")</f>
        <v>0.2245425400322103</v>
      </c>
      <c r="V50" s="735">
        <f>IF(Select2=1,Nappies!$W52,"")</f>
        <v>0</v>
      </c>
      <c r="W50" s="744">
        <f>IF(Select2=1,Garden!$W52,"")</f>
        <v>0</v>
      </c>
      <c r="X50" s="735">
        <f>IF(Select2=1,Wood!$W52,"")</f>
        <v>0.13702388652738939</v>
      </c>
      <c r="Y50" s="744">
        <f>IF(Select2=1,Textiles!$W52,"")</f>
        <v>2.81983654924171E-2</v>
      </c>
      <c r="Z50" s="737">
        <f>Sludge!W52</f>
        <v>0</v>
      </c>
      <c r="AA50" s="737" t="str">
        <f>IF(Select2=2,MSW!$W52,"")</f>
        <v/>
      </c>
      <c r="AB50" s="745">
        <f>Industry!$W52</f>
        <v>0</v>
      </c>
      <c r="AC50" s="746">
        <f t="shared" si="4"/>
        <v>0.5966597586624689</v>
      </c>
      <c r="AD50" s="747">
        <f>Recovery_OX!R45</f>
        <v>0</v>
      </c>
      <c r="AE50" s="702"/>
      <c r="AF50" s="749">
        <f>(AC50-AD50)*(1-Recovery_OX!U45)</f>
        <v>0.5966597586624689</v>
      </c>
    </row>
    <row r="51" spans="2:32">
      <c r="B51" s="742">
        <f t="shared" si="1"/>
        <v>2034</v>
      </c>
      <c r="C51" s="743">
        <f>IF(Select2=1,Food!$K53,"")</f>
        <v>0.20728910748206197</v>
      </c>
      <c r="D51" s="744">
        <f>IF(Select2=1,Paper!$K53,"")</f>
        <v>0.10133124508989612</v>
      </c>
      <c r="E51" s="735">
        <f>IF(Select2=1,Nappies!$K53,"")</f>
        <v>0.13163638043663911</v>
      </c>
      <c r="F51" s="744">
        <f>IF(Select2=1,Garden!$K53,"")</f>
        <v>0</v>
      </c>
      <c r="G51" s="735">
        <f>IF(Select2=1,Wood!$K53,"")</f>
        <v>0</v>
      </c>
      <c r="H51" s="744">
        <f>IF(Select2=1,Textiles!$K53,"")</f>
        <v>2.3991433316378201E-2</v>
      </c>
      <c r="I51" s="745">
        <f>Sludge!K53</f>
        <v>0</v>
      </c>
      <c r="J51" s="745" t="str">
        <f>IF(Select2=2,MSW!$K53,"")</f>
        <v/>
      </c>
      <c r="K51" s="745">
        <f>Industry!$K53</f>
        <v>0</v>
      </c>
      <c r="L51" s="746">
        <f t="shared" si="3"/>
        <v>0.4642481663249754</v>
      </c>
      <c r="M51" s="747">
        <f>Recovery_OX!C46</f>
        <v>0</v>
      </c>
      <c r="N51" s="702"/>
      <c r="O51" s="748">
        <f>(L51-M51)*(1-Recovery_OX!F46)</f>
        <v>0.4642481663249754</v>
      </c>
      <c r="P51" s="694"/>
      <c r="Q51" s="704"/>
      <c r="S51" s="742">
        <f t="shared" si="2"/>
        <v>2034</v>
      </c>
      <c r="T51" s="743">
        <f>IF(Select2=1,Food!$W53,"")</f>
        <v>0.13868584354286034</v>
      </c>
      <c r="U51" s="744">
        <f>IF(Select2=1,Paper!$W53,"")</f>
        <v>0.20936207663201684</v>
      </c>
      <c r="V51" s="735">
        <f>IF(Select2=1,Nappies!$W53,"")</f>
        <v>0</v>
      </c>
      <c r="W51" s="744">
        <f>IF(Select2=1,Garden!$W53,"")</f>
        <v>0</v>
      </c>
      <c r="X51" s="735">
        <f>IF(Select2=1,Wood!$W53,"")</f>
        <v>0.13231100698750939</v>
      </c>
      <c r="Y51" s="744">
        <f>IF(Select2=1,Textiles!$W53,"")</f>
        <v>2.6291981716578858E-2</v>
      </c>
      <c r="Z51" s="737">
        <f>Sludge!W53</f>
        <v>0</v>
      </c>
      <c r="AA51" s="737" t="str">
        <f>IF(Select2=2,MSW!$W53,"")</f>
        <v/>
      </c>
      <c r="AB51" s="745">
        <f>Industry!$W53</f>
        <v>0</v>
      </c>
      <c r="AC51" s="746">
        <f t="shared" si="4"/>
        <v>0.50665090887896547</v>
      </c>
      <c r="AD51" s="747">
        <f>Recovery_OX!R46</f>
        <v>0</v>
      </c>
      <c r="AE51" s="702"/>
      <c r="AF51" s="749">
        <f>(AC51-AD51)*(1-Recovery_OX!U46)</f>
        <v>0.50665090887896547</v>
      </c>
    </row>
    <row r="52" spans="2:32">
      <c r="B52" s="742">
        <f t="shared" si="1"/>
        <v>2035</v>
      </c>
      <c r="C52" s="743">
        <f>IF(Select2=1,Food!$K54,"")</f>
        <v>0.1389500440700624</v>
      </c>
      <c r="D52" s="744">
        <f>IF(Select2=1,Paper!$K54,"")</f>
        <v>9.4480626685194108E-2</v>
      </c>
      <c r="E52" s="735">
        <f>IF(Select2=1,Nappies!$K54,"")</f>
        <v>0.11105698275848894</v>
      </c>
      <c r="F52" s="744">
        <f>IF(Select2=1,Garden!$K54,"")</f>
        <v>0</v>
      </c>
      <c r="G52" s="735">
        <f>IF(Select2=1,Wood!$K54,"")</f>
        <v>0</v>
      </c>
      <c r="H52" s="744">
        <f>IF(Select2=1,Textiles!$K54,"")</f>
        <v>2.2369464154876704E-2</v>
      </c>
      <c r="I52" s="745">
        <f>Sludge!K54</f>
        <v>0</v>
      </c>
      <c r="J52" s="745" t="str">
        <f>IF(Select2=2,MSW!$K54,"")</f>
        <v/>
      </c>
      <c r="K52" s="745">
        <f>Industry!$K54</f>
        <v>0</v>
      </c>
      <c r="L52" s="746">
        <f t="shared" si="3"/>
        <v>0.36685711766862217</v>
      </c>
      <c r="M52" s="747">
        <f>Recovery_OX!C47</f>
        <v>0</v>
      </c>
      <c r="N52" s="702"/>
      <c r="O52" s="748">
        <f>(L52-M52)*(1-Recovery_OX!F47)</f>
        <v>0.36685711766862217</v>
      </c>
      <c r="P52" s="694"/>
      <c r="Q52" s="704"/>
      <c r="S52" s="742">
        <f t="shared" si="2"/>
        <v>2035</v>
      </c>
      <c r="T52" s="743">
        <f>IF(Select2=1,Food!$W54,"")</f>
        <v>9.2963901028141616E-2</v>
      </c>
      <c r="U52" s="744">
        <f>IF(Select2=1,Paper!$W54,"")</f>
        <v>0.19520790637436805</v>
      </c>
      <c r="V52" s="735">
        <f>IF(Select2=1,Nappies!$W54,"")</f>
        <v>0</v>
      </c>
      <c r="W52" s="744">
        <f>IF(Select2=1,Garden!$W54,"")</f>
        <v>0</v>
      </c>
      <c r="X52" s="735">
        <f>IF(Select2=1,Wood!$W54,"")</f>
        <v>0.12776022497763179</v>
      </c>
      <c r="Y52" s="744">
        <f>IF(Select2=1,Textiles!$W54,"")</f>
        <v>2.451448126561831E-2</v>
      </c>
      <c r="Z52" s="737">
        <f>Sludge!W54</f>
        <v>0</v>
      </c>
      <c r="AA52" s="737" t="str">
        <f>IF(Select2=2,MSW!$W54,"")</f>
        <v/>
      </c>
      <c r="AB52" s="745">
        <f>Industry!$W54</f>
        <v>0</v>
      </c>
      <c r="AC52" s="746">
        <f t="shared" si="4"/>
        <v>0.44044651364575982</v>
      </c>
      <c r="AD52" s="747">
        <f>Recovery_OX!R47</f>
        <v>0</v>
      </c>
      <c r="AE52" s="702"/>
      <c r="AF52" s="749">
        <f>(AC52-AD52)*(1-Recovery_OX!U47)</f>
        <v>0.44044651364575982</v>
      </c>
    </row>
    <row r="53" spans="2:32">
      <c r="B53" s="742">
        <f t="shared" si="1"/>
        <v>2036</v>
      </c>
      <c r="C53" s="743">
        <f>IF(Select2=1,Food!$K55,"")</f>
        <v>9.3140999937698324E-2</v>
      </c>
      <c r="D53" s="744">
        <f>IF(Select2=1,Paper!$K55,"")</f>
        <v>8.8093152422116017E-2</v>
      </c>
      <c r="E53" s="735">
        <f>IF(Select2=1,Nappies!$K55,"")</f>
        <v>9.369486899068831E-2</v>
      </c>
      <c r="F53" s="744">
        <f>IF(Select2=1,Garden!$K55,"")</f>
        <v>0</v>
      </c>
      <c r="G53" s="735">
        <f>IF(Select2=1,Wood!$K55,"")</f>
        <v>0</v>
      </c>
      <c r="H53" s="744">
        <f>IF(Select2=1,Textiles!$K55,"")</f>
        <v>2.0857150132614678E-2</v>
      </c>
      <c r="I53" s="745">
        <f>Sludge!K55</f>
        <v>0</v>
      </c>
      <c r="J53" s="745" t="str">
        <f>IF(Select2=2,MSW!$K55,"")</f>
        <v/>
      </c>
      <c r="K53" s="745">
        <f>Industry!$K55</f>
        <v>0</v>
      </c>
      <c r="L53" s="746">
        <f t="shared" si="3"/>
        <v>0.29578617148311731</v>
      </c>
      <c r="M53" s="747">
        <f>Recovery_OX!C48</f>
        <v>0</v>
      </c>
      <c r="N53" s="702"/>
      <c r="O53" s="748">
        <f>(L53-M53)*(1-Recovery_OX!F48)</f>
        <v>0.29578617148311731</v>
      </c>
      <c r="P53" s="694"/>
      <c r="Q53" s="704"/>
      <c r="S53" s="742">
        <f t="shared" si="2"/>
        <v>2036</v>
      </c>
      <c r="T53" s="743">
        <f>IF(Select2=1,Food!$W55,"")</f>
        <v>6.2315566416836499E-2</v>
      </c>
      <c r="U53" s="744">
        <f>IF(Select2=1,Paper!$W55,"")</f>
        <v>0.18201064550023974</v>
      </c>
      <c r="V53" s="735">
        <f>IF(Select2=1,Nappies!$W55,"")</f>
        <v>0</v>
      </c>
      <c r="W53" s="744">
        <f>IF(Select2=1,Garden!$W55,"")</f>
        <v>0</v>
      </c>
      <c r="X53" s="735">
        <f>IF(Select2=1,Wood!$W55,"")</f>
        <v>0.1233659652206865</v>
      </c>
      <c r="Y53" s="744">
        <f>IF(Select2=1,Textiles!$W55,"")</f>
        <v>2.285715083026266E-2</v>
      </c>
      <c r="Z53" s="737">
        <f>Sludge!W55</f>
        <v>0</v>
      </c>
      <c r="AA53" s="737" t="str">
        <f>IF(Select2=2,MSW!$W55,"")</f>
        <v/>
      </c>
      <c r="AB53" s="745">
        <f>Industry!$W55</f>
        <v>0</v>
      </c>
      <c r="AC53" s="746">
        <f t="shared" si="4"/>
        <v>0.39054932796802544</v>
      </c>
      <c r="AD53" s="747">
        <f>Recovery_OX!R48</f>
        <v>0</v>
      </c>
      <c r="AE53" s="702"/>
      <c r="AF53" s="749">
        <f>(AC53-AD53)*(1-Recovery_OX!U48)</f>
        <v>0.39054932796802544</v>
      </c>
    </row>
    <row r="54" spans="2:32">
      <c r="B54" s="742">
        <f t="shared" si="1"/>
        <v>2037</v>
      </c>
      <c r="C54" s="743">
        <f>IF(Select2=1,Food!$K56,"")</f>
        <v>6.2434279366043413E-2</v>
      </c>
      <c r="D54" s="744">
        <f>IF(Select2=1,Paper!$K56,"")</f>
        <v>8.2137510894413679E-2</v>
      </c>
      <c r="E54" s="735">
        <f>IF(Select2=1,Nappies!$K56,"")</f>
        <v>7.9047064463051264E-2</v>
      </c>
      <c r="F54" s="744">
        <f>IF(Select2=1,Garden!$K56,"")</f>
        <v>0</v>
      </c>
      <c r="G54" s="735">
        <f>IF(Select2=1,Wood!$K56,"")</f>
        <v>0</v>
      </c>
      <c r="H54" s="744">
        <f>IF(Select2=1,Textiles!$K56,"")</f>
        <v>1.9447077884500452E-2</v>
      </c>
      <c r="I54" s="745">
        <f>Sludge!K56</f>
        <v>0</v>
      </c>
      <c r="J54" s="745" t="str">
        <f>IF(Select2=2,MSW!$K56,"")</f>
        <v/>
      </c>
      <c r="K54" s="745">
        <f>Industry!$K56</f>
        <v>0</v>
      </c>
      <c r="L54" s="746">
        <f t="shared" si="3"/>
        <v>0.24306593260800879</v>
      </c>
      <c r="M54" s="747">
        <f>Recovery_OX!C49</f>
        <v>0</v>
      </c>
      <c r="N54" s="702"/>
      <c r="O54" s="748">
        <f>(L54-M54)*(1-Recovery_OX!F49)</f>
        <v>0.24306593260800879</v>
      </c>
      <c r="P54" s="694"/>
      <c r="Q54" s="704"/>
      <c r="S54" s="742">
        <f t="shared" si="2"/>
        <v>2037</v>
      </c>
      <c r="T54" s="743">
        <f>IF(Select2=1,Food!$W56,"")</f>
        <v>4.1771373349270786E-2</v>
      </c>
      <c r="U54" s="744">
        <f>IF(Select2=1,Paper!$W56,"")</f>
        <v>0.16970560102151591</v>
      </c>
      <c r="V54" s="735">
        <f>IF(Select2=1,Nappies!$W56,"")</f>
        <v>0</v>
      </c>
      <c r="W54" s="744">
        <f>IF(Select2=1,Garden!$W56,"")</f>
        <v>0</v>
      </c>
      <c r="X54" s="735">
        <f>IF(Select2=1,Wood!$W56,"")</f>
        <v>0.11912284419893746</v>
      </c>
      <c r="Y54" s="744">
        <f>IF(Select2=1,Textiles!$W56,"")</f>
        <v>2.1311866174795017E-2</v>
      </c>
      <c r="Z54" s="737">
        <f>Sludge!W56</f>
        <v>0</v>
      </c>
      <c r="AA54" s="737" t="str">
        <f>IF(Select2=2,MSW!$W56,"")</f>
        <v/>
      </c>
      <c r="AB54" s="745">
        <f>Industry!$W56</f>
        <v>0</v>
      </c>
      <c r="AC54" s="746">
        <f t="shared" si="4"/>
        <v>0.35191168474451917</v>
      </c>
      <c r="AD54" s="747">
        <f>Recovery_OX!R49</f>
        <v>0</v>
      </c>
      <c r="AE54" s="702"/>
      <c r="AF54" s="749">
        <f>(AC54-AD54)*(1-Recovery_OX!U49)</f>
        <v>0.35191168474451917</v>
      </c>
    </row>
    <row r="55" spans="2:32">
      <c r="B55" s="742">
        <f t="shared" si="1"/>
        <v>2038</v>
      </c>
      <c r="C55" s="743">
        <f>IF(Select2=1,Food!$K57,"")</f>
        <v>4.1850949018848185E-2</v>
      </c>
      <c r="D55" s="744">
        <f>IF(Select2=1,Paper!$K57,"")</f>
        <v>7.6584507540408811E-2</v>
      </c>
      <c r="E55" s="735">
        <f>IF(Select2=1,Nappies!$K57,"")</f>
        <v>6.6689227142702659E-2</v>
      </c>
      <c r="F55" s="744">
        <f>IF(Select2=1,Garden!$K57,"")</f>
        <v>0</v>
      </c>
      <c r="G55" s="735">
        <f>IF(Select2=1,Wood!$K57,"")</f>
        <v>0</v>
      </c>
      <c r="H55" s="744">
        <f>IF(Select2=1,Textiles!$K57,"")</f>
        <v>1.8132335234737864E-2</v>
      </c>
      <c r="I55" s="745">
        <f>Sludge!K57</f>
        <v>0</v>
      </c>
      <c r="J55" s="745" t="str">
        <f>IF(Select2=2,MSW!$K57,"")</f>
        <v/>
      </c>
      <c r="K55" s="745">
        <f>Industry!$K57</f>
        <v>0</v>
      </c>
      <c r="L55" s="746">
        <f t="shared" si="3"/>
        <v>0.20325701893669754</v>
      </c>
      <c r="M55" s="747">
        <f>Recovery_OX!C50</f>
        <v>0</v>
      </c>
      <c r="N55" s="702"/>
      <c r="O55" s="748">
        <f>(L55-M55)*(1-Recovery_OX!F50)</f>
        <v>0.20325701893669754</v>
      </c>
      <c r="P55" s="694"/>
      <c r="Q55" s="704"/>
      <c r="S55" s="742">
        <f t="shared" si="2"/>
        <v>2038</v>
      </c>
      <c r="T55" s="743">
        <f>IF(Select2=1,Food!$W57,"")</f>
        <v>2.8000188906455073E-2</v>
      </c>
      <c r="U55" s="744">
        <f>IF(Select2=1,Paper!$W57,"")</f>
        <v>0.15823245359588603</v>
      </c>
      <c r="V55" s="735">
        <f>IF(Select2=1,Nappies!$W57,"")</f>
        <v>0</v>
      </c>
      <c r="W55" s="744">
        <f>IF(Select2=1,Garden!$W57,"")</f>
        <v>0</v>
      </c>
      <c r="X55" s="735">
        <f>IF(Select2=1,Wood!$W57,"")</f>
        <v>0.11502566355850025</v>
      </c>
      <c r="Y55" s="744">
        <f>IF(Select2=1,Textiles!$W57,"")</f>
        <v>1.98710523120415E-2</v>
      </c>
      <c r="Z55" s="737">
        <f>Sludge!W57</f>
        <v>0</v>
      </c>
      <c r="AA55" s="737" t="str">
        <f>IF(Select2=2,MSW!$W57,"")</f>
        <v/>
      </c>
      <c r="AB55" s="745">
        <f>Industry!$W57</f>
        <v>0</v>
      </c>
      <c r="AC55" s="746">
        <f t="shared" si="4"/>
        <v>0.32112935837288287</v>
      </c>
      <c r="AD55" s="747">
        <f>Recovery_OX!R50</f>
        <v>0</v>
      </c>
      <c r="AE55" s="702"/>
      <c r="AF55" s="749">
        <f>(AC55-AD55)*(1-Recovery_OX!U50)</f>
        <v>0.32112935837288287</v>
      </c>
    </row>
    <row r="56" spans="2:32">
      <c r="B56" s="742">
        <f t="shared" si="1"/>
        <v>2039</v>
      </c>
      <c r="C56" s="743">
        <f>IF(Select2=1,Food!$K58,"")</f>
        <v>2.8053530072949515E-2</v>
      </c>
      <c r="D56" s="744">
        <f>IF(Select2=1,Paper!$K58,"")</f>
        <v>7.1406921531217679E-2</v>
      </c>
      <c r="E56" s="735">
        <f>IF(Select2=1,Nappies!$K58,"")</f>
        <v>5.6263354586302813E-2</v>
      </c>
      <c r="F56" s="744">
        <f>IF(Select2=1,Garden!$K58,"")</f>
        <v>0</v>
      </c>
      <c r="G56" s="735">
        <f>IF(Select2=1,Wood!$K58,"")</f>
        <v>0</v>
      </c>
      <c r="H56" s="744">
        <f>IF(Select2=1,Textiles!$K58,"")</f>
        <v>1.6906477313332457E-2</v>
      </c>
      <c r="I56" s="745">
        <f>Sludge!K58</f>
        <v>0</v>
      </c>
      <c r="J56" s="745" t="str">
        <f>IF(Select2=2,MSW!$K58,"")</f>
        <v/>
      </c>
      <c r="K56" s="745">
        <f>Industry!$K58</f>
        <v>0</v>
      </c>
      <c r="L56" s="746">
        <f t="shared" si="3"/>
        <v>0.17263028350380244</v>
      </c>
      <c r="M56" s="747">
        <f>Recovery_OX!C51</f>
        <v>0</v>
      </c>
      <c r="N56" s="702"/>
      <c r="O56" s="748">
        <f>(L56-M56)*(1-Recovery_OX!F51)</f>
        <v>0.17263028350380244</v>
      </c>
      <c r="P56" s="694"/>
      <c r="Q56" s="704"/>
      <c r="S56" s="742">
        <f t="shared" si="2"/>
        <v>2039</v>
      </c>
      <c r="T56" s="743">
        <f>IF(Select2=1,Food!$W58,"")</f>
        <v>1.8769087916781561E-2</v>
      </c>
      <c r="U56" s="744">
        <f>IF(Select2=1,Paper!$W58,"")</f>
        <v>0.14753496184135886</v>
      </c>
      <c r="V56" s="735">
        <f>IF(Select2=1,Nappies!$W58,"")</f>
        <v>0</v>
      </c>
      <c r="W56" s="744">
        <f>IF(Select2=1,Garden!$W58,"")</f>
        <v>0</v>
      </c>
      <c r="X56" s="735">
        <f>IF(Select2=1,Wood!$W58,"")</f>
        <v>0.11106940374070841</v>
      </c>
      <c r="Y56" s="744">
        <f>IF(Select2=1,Textiles!$W58,"")</f>
        <v>1.8527646370775301E-2</v>
      </c>
      <c r="Z56" s="737">
        <f>Sludge!W58</f>
        <v>0</v>
      </c>
      <c r="AA56" s="737" t="str">
        <f>IF(Select2=2,MSW!$W58,"")</f>
        <v/>
      </c>
      <c r="AB56" s="745">
        <f>Industry!$W58</f>
        <v>0</v>
      </c>
      <c r="AC56" s="746">
        <f t="shared" si="4"/>
        <v>0.29590109986962415</v>
      </c>
      <c r="AD56" s="747">
        <f>Recovery_OX!R51</f>
        <v>0</v>
      </c>
      <c r="AE56" s="702"/>
      <c r="AF56" s="749">
        <f>(AC56-AD56)*(1-Recovery_OX!U51)</f>
        <v>0.29590109986962415</v>
      </c>
    </row>
    <row r="57" spans="2:32">
      <c r="B57" s="742">
        <f t="shared" si="1"/>
        <v>2040</v>
      </c>
      <c r="C57" s="743">
        <f>IF(Select2=1,Food!$K59,"")</f>
        <v>1.8804843569961711E-2</v>
      </c>
      <c r="D57" s="744">
        <f>IF(Select2=1,Paper!$K59,"")</f>
        <v>6.6579372334216347E-2</v>
      </c>
      <c r="E57" s="735">
        <f>IF(Select2=1,Nappies!$K59,"")</f>
        <v>4.7467412728150471E-2</v>
      </c>
      <c r="F57" s="744">
        <f>IF(Select2=1,Garden!$K59,"")</f>
        <v>0</v>
      </c>
      <c r="G57" s="735">
        <f>IF(Select2=1,Wood!$K59,"")</f>
        <v>0</v>
      </c>
      <c r="H57" s="744">
        <f>IF(Select2=1,Textiles!$K59,"")</f>
        <v>1.57634949633313E-2</v>
      </c>
      <c r="I57" s="745">
        <f>Sludge!K59</f>
        <v>0</v>
      </c>
      <c r="J57" s="745" t="str">
        <f>IF(Select2=2,MSW!$K59,"")</f>
        <v/>
      </c>
      <c r="K57" s="745">
        <f>Industry!$K59</f>
        <v>0</v>
      </c>
      <c r="L57" s="746">
        <f t="shared" si="3"/>
        <v>0.14861512359565981</v>
      </c>
      <c r="M57" s="747">
        <f>Recovery_OX!C52</f>
        <v>0</v>
      </c>
      <c r="N57" s="702"/>
      <c r="O57" s="748">
        <f>(L57-M57)*(1-Recovery_OX!F52)</f>
        <v>0.14861512359565981</v>
      </c>
      <c r="P57" s="694"/>
      <c r="Q57" s="704"/>
      <c r="S57" s="742">
        <f t="shared" si="2"/>
        <v>2040</v>
      </c>
      <c r="T57" s="743">
        <f>IF(Select2=1,Food!$W59,"")</f>
        <v>1.2581295876423976E-2</v>
      </c>
      <c r="U57" s="744">
        <f>IF(Select2=1,Paper!$W59,"")</f>
        <v>0.1375606866409429</v>
      </c>
      <c r="V57" s="735">
        <f>IF(Select2=1,Nappies!$W59,"")</f>
        <v>0</v>
      </c>
      <c r="W57" s="744">
        <f>IF(Select2=1,Garden!$W59,"")</f>
        <v>0</v>
      </c>
      <c r="X57" s="735">
        <f>IF(Select2=1,Wood!$W59,"")</f>
        <v>0.10724921783252646</v>
      </c>
      <c r="Y57" s="744">
        <f>IF(Select2=1,Textiles!$W59,"")</f>
        <v>1.727506297351376E-2</v>
      </c>
      <c r="Z57" s="737">
        <f>Sludge!W59</f>
        <v>0</v>
      </c>
      <c r="AA57" s="737" t="str">
        <f>IF(Select2=2,MSW!$W59,"")</f>
        <v/>
      </c>
      <c r="AB57" s="745">
        <f>Industry!$W59</f>
        <v>0</v>
      </c>
      <c r="AC57" s="746">
        <f t="shared" si="4"/>
        <v>0.2746662633234071</v>
      </c>
      <c r="AD57" s="747">
        <f>Recovery_OX!R52</f>
        <v>0</v>
      </c>
      <c r="AE57" s="702"/>
      <c r="AF57" s="749">
        <f>(AC57-AD57)*(1-Recovery_OX!U52)</f>
        <v>0.2746662633234071</v>
      </c>
    </row>
    <row r="58" spans="2:32">
      <c r="B58" s="742">
        <f t="shared" si="1"/>
        <v>2041</v>
      </c>
      <c r="C58" s="743">
        <f>IF(Select2=1,Food!$K60,"")</f>
        <v>1.260526360750973E-2</v>
      </c>
      <c r="D58" s="744">
        <f>IF(Select2=1,Paper!$K60,"")</f>
        <v>6.2078195297640401E-2</v>
      </c>
      <c r="E58" s="735">
        <f>IF(Select2=1,Nappies!$K60,"")</f>
        <v>4.0046586053599911E-2</v>
      </c>
      <c r="F58" s="744">
        <f>IF(Select2=1,Garden!$K60,"")</f>
        <v>0</v>
      </c>
      <c r="G58" s="735">
        <f>IF(Select2=1,Wood!$K60,"")</f>
        <v>0</v>
      </c>
      <c r="H58" s="744">
        <f>IF(Select2=1,Textiles!$K60,"")</f>
        <v>1.4697785283928649E-2</v>
      </c>
      <c r="I58" s="745">
        <f>Sludge!K60</f>
        <v>0</v>
      </c>
      <c r="J58" s="745" t="str">
        <f>IF(Select2=2,MSW!$K60,"")</f>
        <v/>
      </c>
      <c r="K58" s="745">
        <f>Industry!$K60</f>
        <v>0</v>
      </c>
      <c r="L58" s="746">
        <f t="shared" si="3"/>
        <v>0.12942783024267868</v>
      </c>
      <c r="M58" s="747">
        <f>Recovery_OX!C53</f>
        <v>0</v>
      </c>
      <c r="N58" s="702"/>
      <c r="O58" s="748">
        <f>(L58-M58)*(1-Recovery_OX!F53)</f>
        <v>0.12942783024267868</v>
      </c>
      <c r="P58" s="694"/>
      <c r="Q58" s="704"/>
      <c r="S58" s="742">
        <f t="shared" si="2"/>
        <v>2041</v>
      </c>
      <c r="T58" s="743">
        <f>IF(Select2=1,Food!$W60,"")</f>
        <v>8.4334948310725195E-3</v>
      </c>
      <c r="U58" s="744">
        <f>IF(Select2=1,Paper!$W60,"")</f>
        <v>0.12826073408603392</v>
      </c>
      <c r="V58" s="735">
        <f>IF(Select2=1,Nappies!$W60,"")</f>
        <v>0</v>
      </c>
      <c r="W58" s="744">
        <f>IF(Select2=1,Garden!$W60,"")</f>
        <v>0</v>
      </c>
      <c r="X58" s="735">
        <f>IF(Select2=1,Wood!$W60,"")</f>
        <v>0.10356042562847513</v>
      </c>
      <c r="Y58" s="744">
        <f>IF(Select2=1,Textiles!$W60,"")</f>
        <v>1.6107161954990304E-2</v>
      </c>
      <c r="Z58" s="737">
        <f>Sludge!W60</f>
        <v>0</v>
      </c>
      <c r="AA58" s="737" t="str">
        <f>IF(Select2=2,MSW!$W60,"")</f>
        <v/>
      </c>
      <c r="AB58" s="745">
        <f>Industry!$W60</f>
        <v>0</v>
      </c>
      <c r="AC58" s="746">
        <f t="shared" si="4"/>
        <v>0.25636181650057188</v>
      </c>
      <c r="AD58" s="747">
        <f>Recovery_OX!R53</f>
        <v>0</v>
      </c>
      <c r="AE58" s="702"/>
      <c r="AF58" s="749">
        <f>(AC58-AD58)*(1-Recovery_OX!U53)</f>
        <v>0.25636181650057188</v>
      </c>
    </row>
    <row r="59" spans="2:32">
      <c r="B59" s="742">
        <f t="shared" si="1"/>
        <v>2042</v>
      </c>
      <c r="C59" s="743">
        <f>IF(Select2=1,Food!$K61,"")</f>
        <v>8.449560881677292E-3</v>
      </c>
      <c r="D59" s="744">
        <f>IF(Select2=1,Paper!$K61,"")</f>
        <v>5.7881325646434417E-2</v>
      </c>
      <c r="E59" s="735">
        <f>IF(Select2=1,Nappies!$K61,"")</f>
        <v>3.378589567822167E-2</v>
      </c>
      <c r="F59" s="744">
        <f>IF(Select2=1,Garden!$K61,"")</f>
        <v>0</v>
      </c>
      <c r="G59" s="735">
        <f>IF(Select2=1,Wood!$K61,"")</f>
        <v>0</v>
      </c>
      <c r="H59" s="744">
        <f>IF(Select2=1,Textiles!$K61,"")</f>
        <v>1.3704124165039664E-2</v>
      </c>
      <c r="I59" s="745">
        <f>Sludge!K61</f>
        <v>0</v>
      </c>
      <c r="J59" s="745" t="str">
        <f>IF(Select2=2,MSW!$K61,"")</f>
        <v/>
      </c>
      <c r="K59" s="745">
        <f>Industry!$K61</f>
        <v>0</v>
      </c>
      <c r="L59" s="746">
        <f t="shared" si="3"/>
        <v>0.11382090637137304</v>
      </c>
      <c r="M59" s="747">
        <f>Recovery_OX!C54</f>
        <v>0</v>
      </c>
      <c r="N59" s="702"/>
      <c r="O59" s="748">
        <f>(L59-M59)*(1-Recovery_OX!F54)</f>
        <v>0.11382090637137304</v>
      </c>
      <c r="P59" s="694"/>
      <c r="Q59" s="704"/>
      <c r="S59" s="742">
        <f t="shared" si="2"/>
        <v>2042</v>
      </c>
      <c r="T59" s="743">
        <f>IF(Select2=1,Food!$W61,"")</f>
        <v>5.6531406434058573E-3</v>
      </c>
      <c r="U59" s="744">
        <f>IF(Select2=1,Paper!$W61,"")</f>
        <v>0.11958951579841823</v>
      </c>
      <c r="V59" s="735">
        <f>IF(Select2=1,Nappies!$W61,"")</f>
        <v>0</v>
      </c>
      <c r="W59" s="744">
        <f>IF(Select2=1,Garden!$W61,"")</f>
        <v>0</v>
      </c>
      <c r="X59" s="735">
        <f>IF(Select2=1,Wood!$W61,"")</f>
        <v>9.9998507896794486E-2</v>
      </c>
      <c r="Y59" s="744">
        <f>IF(Select2=1,Textiles!$W61,"")</f>
        <v>1.5018218263057173E-2</v>
      </c>
      <c r="Z59" s="737">
        <f>Sludge!W61</f>
        <v>0</v>
      </c>
      <c r="AA59" s="737" t="str">
        <f>IF(Select2=2,MSW!$W61,"")</f>
        <v/>
      </c>
      <c r="AB59" s="745">
        <f>Industry!$W61</f>
        <v>0</v>
      </c>
      <c r="AC59" s="746">
        <f t="shared" si="4"/>
        <v>0.24025938260167573</v>
      </c>
      <c r="AD59" s="747">
        <f>Recovery_OX!R54</f>
        <v>0</v>
      </c>
      <c r="AE59" s="702"/>
      <c r="AF59" s="749">
        <f>(AC59-AD59)*(1-Recovery_OX!U54)</f>
        <v>0.24025938260167573</v>
      </c>
    </row>
    <row r="60" spans="2:32">
      <c r="B60" s="742">
        <f t="shared" si="1"/>
        <v>2043</v>
      </c>
      <c r="C60" s="743">
        <f>IF(Select2=1,Food!$K62,"")</f>
        <v>5.6639100391868598E-3</v>
      </c>
      <c r="D60" s="744">
        <f>IF(Select2=1,Paper!$K62,"")</f>
        <v>5.3968190320699112E-2</v>
      </c>
      <c r="E60" s="735">
        <f>IF(Select2=1,Nappies!$K62,"")</f>
        <v>2.8503971480911442E-2</v>
      </c>
      <c r="F60" s="744">
        <f>IF(Select2=1,Garden!$K62,"")</f>
        <v>0</v>
      </c>
      <c r="G60" s="735">
        <f>IF(Select2=1,Wood!$K62,"")</f>
        <v>0</v>
      </c>
      <c r="H60" s="744">
        <f>IF(Select2=1,Textiles!$K62,"")</f>
        <v>1.2777640678706747E-2</v>
      </c>
      <c r="I60" s="745">
        <f>Sludge!K62</f>
        <v>0</v>
      </c>
      <c r="J60" s="745" t="str">
        <f>IF(Select2=2,MSW!$K62,"")</f>
        <v/>
      </c>
      <c r="K60" s="745">
        <f>Industry!$K62</f>
        <v>0</v>
      </c>
      <c r="L60" s="746">
        <f t="shared" si="3"/>
        <v>0.10091371251950416</v>
      </c>
      <c r="M60" s="747">
        <f>Recovery_OX!C55</f>
        <v>0</v>
      </c>
      <c r="N60" s="702"/>
      <c r="O60" s="748">
        <f>(L60-M60)*(1-Recovery_OX!F55)</f>
        <v>0.10091371251950416</v>
      </c>
      <c r="P60" s="694"/>
      <c r="Q60" s="704"/>
      <c r="S60" s="742">
        <f t="shared" si="2"/>
        <v>2043</v>
      </c>
      <c r="T60" s="743">
        <f>IF(Select2=1,Food!$W62,"")</f>
        <v>3.7894134963337581E-3</v>
      </c>
      <c r="U60" s="744">
        <f>IF(Select2=1,Paper!$W62,"")</f>
        <v>0.11150452545598993</v>
      </c>
      <c r="V60" s="735">
        <f>IF(Select2=1,Nappies!$W62,"")</f>
        <v>0</v>
      </c>
      <c r="W60" s="744">
        <f>IF(Select2=1,Garden!$W62,"")</f>
        <v>0</v>
      </c>
      <c r="X60" s="735">
        <f>IF(Select2=1,Wood!$W62,"")</f>
        <v>9.6559100842819781E-2</v>
      </c>
      <c r="Y60" s="744">
        <f>IF(Select2=1,Textiles!$W62,"")</f>
        <v>1.4002893894473152E-2</v>
      </c>
      <c r="Z60" s="737">
        <f>Sludge!W62</f>
        <v>0</v>
      </c>
      <c r="AA60" s="737" t="str">
        <f>IF(Select2=2,MSW!$W62,"")</f>
        <v/>
      </c>
      <c r="AB60" s="745">
        <f>Industry!$W62</f>
        <v>0</v>
      </c>
      <c r="AC60" s="746">
        <f t="shared" si="4"/>
        <v>0.22585593368961662</v>
      </c>
      <c r="AD60" s="747">
        <f>Recovery_OX!R55</f>
        <v>0</v>
      </c>
      <c r="AE60" s="702"/>
      <c r="AF60" s="749">
        <f>(AC60-AD60)*(1-Recovery_OX!U55)</f>
        <v>0.22585593368961662</v>
      </c>
    </row>
    <row r="61" spans="2:32">
      <c r="B61" s="742">
        <f t="shared" si="1"/>
        <v>2044</v>
      </c>
      <c r="C61" s="743">
        <f>IF(Select2=1,Food!$K63,"")</f>
        <v>3.796632438209456E-3</v>
      </c>
      <c r="D61" s="744">
        <f>IF(Select2=1,Paper!$K63,"")</f>
        <v>5.0319607126527867E-2</v>
      </c>
      <c r="E61" s="735">
        <f>IF(Select2=1,Nappies!$K63,"")</f>
        <v>2.4047797871711702E-2</v>
      </c>
      <c r="F61" s="744">
        <f>IF(Select2=1,Garden!$K63,"")</f>
        <v>0</v>
      </c>
      <c r="G61" s="735">
        <f>IF(Select2=1,Wood!$K63,"")</f>
        <v>0</v>
      </c>
      <c r="H61" s="744">
        <f>IF(Select2=1,Textiles!$K63,"")</f>
        <v>1.1913793201805018E-2</v>
      </c>
      <c r="I61" s="745">
        <f>Sludge!K63</f>
        <v>0</v>
      </c>
      <c r="J61" s="745" t="str">
        <f>IF(Select2=2,MSW!$K63,"")</f>
        <v/>
      </c>
      <c r="K61" s="745">
        <f>Industry!$K63</f>
        <v>0</v>
      </c>
      <c r="L61" s="746">
        <f t="shared" si="3"/>
        <v>9.0077830638254044E-2</v>
      </c>
      <c r="M61" s="747">
        <f>Recovery_OX!C56</f>
        <v>0</v>
      </c>
      <c r="N61" s="702"/>
      <c r="O61" s="748">
        <f>(L61-M61)*(1-Recovery_OX!F56)</f>
        <v>9.0077830638254044E-2</v>
      </c>
      <c r="P61" s="694"/>
      <c r="Q61" s="704"/>
      <c r="S61" s="742">
        <f t="shared" si="2"/>
        <v>2044</v>
      </c>
      <c r="T61" s="743">
        <f>IF(Select2=1,Food!$W63,"")</f>
        <v>2.5401198293105178E-3</v>
      </c>
      <c r="U61" s="744">
        <f>IF(Select2=1,Paper!$W63,"")</f>
        <v>0.1039661304267105</v>
      </c>
      <c r="V61" s="735">
        <f>IF(Select2=1,Nappies!$W63,"")</f>
        <v>0</v>
      </c>
      <c r="W61" s="744">
        <f>IF(Select2=1,Garden!$W63,"")</f>
        <v>0</v>
      </c>
      <c r="X61" s="735">
        <f>IF(Select2=1,Wood!$W63,"")</f>
        <v>9.3237990762787326E-2</v>
      </c>
      <c r="Y61" s="744">
        <f>IF(Select2=1,Textiles!$W63,"")</f>
        <v>1.3056211728005505E-2</v>
      </c>
      <c r="Z61" s="737">
        <f>Sludge!W63</f>
        <v>0</v>
      </c>
      <c r="AA61" s="737" t="str">
        <f>IF(Select2=2,MSW!$W63,"")</f>
        <v/>
      </c>
      <c r="AB61" s="745">
        <f>Industry!$W63</f>
        <v>0</v>
      </c>
      <c r="AC61" s="746">
        <f t="shared" si="4"/>
        <v>0.21280045274681383</v>
      </c>
      <c r="AD61" s="747">
        <f>Recovery_OX!R56</f>
        <v>0</v>
      </c>
      <c r="AE61" s="702"/>
      <c r="AF61" s="749">
        <f>(AC61-AD61)*(1-Recovery_OX!U56)</f>
        <v>0.21280045274681383</v>
      </c>
    </row>
    <row r="62" spans="2:32">
      <c r="B62" s="742">
        <f t="shared" si="1"/>
        <v>2045</v>
      </c>
      <c r="C62" s="743">
        <f>IF(Select2=1,Food!$K64,"")</f>
        <v>2.5449588307609639E-3</v>
      </c>
      <c r="D62" s="744">
        <f>IF(Select2=1,Paper!$K64,"")</f>
        <v>4.6917690704869897E-2</v>
      </c>
      <c r="E62" s="735">
        <f>IF(Select2=1,Nappies!$K64,"")</f>
        <v>2.028828098098456E-2</v>
      </c>
      <c r="F62" s="744">
        <f>IF(Select2=1,Garden!$K64,"")</f>
        <v>0</v>
      </c>
      <c r="G62" s="735">
        <f>IF(Select2=1,Wood!$K64,"")</f>
        <v>0</v>
      </c>
      <c r="H62" s="744">
        <f>IF(Select2=1,Textiles!$K64,"")</f>
        <v>1.1108347153000499E-2</v>
      </c>
      <c r="I62" s="745">
        <f>Sludge!K64</f>
        <v>0</v>
      </c>
      <c r="J62" s="745" t="str">
        <f>IF(Select2=2,MSW!$K64,"")</f>
        <v/>
      </c>
      <c r="K62" s="745">
        <f>Industry!$K64</f>
        <v>0</v>
      </c>
      <c r="L62" s="746">
        <f t="shared" si="3"/>
        <v>8.0859277669615925E-2</v>
      </c>
      <c r="M62" s="747">
        <f>Recovery_OX!C57</f>
        <v>0</v>
      </c>
      <c r="N62" s="702"/>
      <c r="O62" s="748">
        <f>(L62-M62)*(1-Recovery_OX!F57)</f>
        <v>8.0859277669615925E-2</v>
      </c>
      <c r="P62" s="694"/>
      <c r="Q62" s="704"/>
      <c r="S62" s="742">
        <f t="shared" si="2"/>
        <v>2045</v>
      </c>
      <c r="T62" s="743">
        <f>IF(Select2=1,Food!$W64,"")</f>
        <v>1.7026932409194668E-3</v>
      </c>
      <c r="U62" s="744">
        <f>IF(Select2=1,Paper!$W64,"")</f>
        <v>9.693737748940065E-2</v>
      </c>
      <c r="V62" s="735">
        <f>IF(Select2=1,Nappies!$W64,"")</f>
        <v>0</v>
      </c>
      <c r="W62" s="744">
        <f>IF(Select2=1,Garden!$W64,"")</f>
        <v>0</v>
      </c>
      <c r="X62" s="735">
        <f>IF(Select2=1,Wood!$W64,"")</f>
        <v>9.0031108881520397E-2</v>
      </c>
      <c r="Y62" s="744">
        <f>IF(Select2=1,Textiles!$W64,"")</f>
        <v>1.2173531126575893E-2</v>
      </c>
      <c r="Z62" s="737">
        <f>Sludge!W64</f>
        <v>0</v>
      </c>
      <c r="AA62" s="737" t="str">
        <f>IF(Select2=2,MSW!$W64,"")</f>
        <v/>
      </c>
      <c r="AB62" s="745">
        <f>Industry!$W64</f>
        <v>0</v>
      </c>
      <c r="AC62" s="746">
        <f t="shared" si="4"/>
        <v>0.20084471073841642</v>
      </c>
      <c r="AD62" s="747">
        <f>Recovery_OX!R57</f>
        <v>0</v>
      </c>
      <c r="AE62" s="702"/>
      <c r="AF62" s="749">
        <f>(AC62-AD62)*(1-Recovery_OX!U57)</f>
        <v>0.20084471073841642</v>
      </c>
    </row>
    <row r="63" spans="2:32">
      <c r="B63" s="742">
        <f t="shared" si="1"/>
        <v>2046</v>
      </c>
      <c r="C63" s="743">
        <f>IF(Select2=1,Food!$K65,"")</f>
        <v>1.7059369205944959E-3</v>
      </c>
      <c r="D63" s="744">
        <f>IF(Select2=1,Paper!$K65,"")</f>
        <v>4.3745764857479441E-2</v>
      </c>
      <c r="E63" s="735">
        <f>IF(Select2=1,Nappies!$K65,"")</f>
        <v>1.7116508852878236E-2</v>
      </c>
      <c r="F63" s="744">
        <f>IF(Select2=1,Garden!$K65,"")</f>
        <v>0</v>
      </c>
      <c r="G63" s="735">
        <f>IF(Select2=1,Wood!$K65,"")</f>
        <v>0</v>
      </c>
      <c r="H63" s="744">
        <f>IF(Select2=1,Textiles!$K65,"")</f>
        <v>1.0357354234827499E-2</v>
      </c>
      <c r="I63" s="745">
        <f>Sludge!K65</f>
        <v>0</v>
      </c>
      <c r="J63" s="745" t="str">
        <f>IF(Select2=2,MSW!$K65,"")</f>
        <v/>
      </c>
      <c r="K63" s="745">
        <f>Industry!$K65</f>
        <v>0</v>
      </c>
      <c r="L63" s="746">
        <f t="shared" si="3"/>
        <v>7.2925564865779668E-2</v>
      </c>
      <c r="M63" s="747">
        <f>Recovery_OX!C58</f>
        <v>0</v>
      </c>
      <c r="N63" s="702"/>
      <c r="O63" s="748">
        <f>(L63-M63)*(1-Recovery_OX!F58)</f>
        <v>7.2925564865779668E-2</v>
      </c>
      <c r="P63" s="694"/>
      <c r="Q63" s="704"/>
      <c r="S63" s="742">
        <f t="shared" si="2"/>
        <v>2046</v>
      </c>
      <c r="T63" s="743">
        <f>IF(Select2=1,Food!$W65,"")</f>
        <v>1.141349411637709E-3</v>
      </c>
      <c r="U63" s="744">
        <f>IF(Select2=1,Paper!$W65,"")</f>
        <v>9.0383811689007165E-2</v>
      </c>
      <c r="V63" s="735">
        <f>IF(Select2=1,Nappies!$W65,"")</f>
        <v>0</v>
      </c>
      <c r="W63" s="744">
        <f>IF(Select2=1,Garden!$W65,"")</f>
        <v>0</v>
      </c>
      <c r="X63" s="735">
        <f>IF(Select2=1,Wood!$W65,"")</f>
        <v>8.6934526367670795E-2</v>
      </c>
      <c r="Y63" s="744">
        <f>IF(Select2=1,Textiles!$W65,"")</f>
        <v>1.1350525188852061E-2</v>
      </c>
      <c r="Z63" s="737">
        <f>Sludge!W65</f>
        <v>0</v>
      </c>
      <c r="AA63" s="737" t="str">
        <f>IF(Select2=2,MSW!$W65,"")</f>
        <v/>
      </c>
      <c r="AB63" s="745">
        <f>Industry!$W65</f>
        <v>0</v>
      </c>
      <c r="AC63" s="746">
        <f t="shared" si="4"/>
        <v>0.18981021265716774</v>
      </c>
      <c r="AD63" s="747">
        <f>Recovery_OX!R58</f>
        <v>0</v>
      </c>
      <c r="AE63" s="702"/>
      <c r="AF63" s="749">
        <f>(AC63-AD63)*(1-Recovery_OX!U58)</f>
        <v>0.18981021265716774</v>
      </c>
    </row>
    <row r="64" spans="2:32">
      <c r="B64" s="742">
        <f t="shared" si="1"/>
        <v>2047</v>
      </c>
      <c r="C64" s="743">
        <f>IF(Select2=1,Food!$K66,"")</f>
        <v>1.1435237151467992E-3</v>
      </c>
      <c r="D64" s="744">
        <f>IF(Select2=1,Paper!$K66,"")</f>
        <v>4.0788280800172647E-2</v>
      </c>
      <c r="E64" s="735">
        <f>IF(Select2=1,Nappies!$K66,"")</f>
        <v>1.4440596302133896E-2</v>
      </c>
      <c r="F64" s="744">
        <f>IF(Select2=1,Garden!$K66,"")</f>
        <v>0</v>
      </c>
      <c r="G64" s="735">
        <f>IF(Select2=1,Wood!$K66,"")</f>
        <v>0</v>
      </c>
      <c r="H64" s="744">
        <f>IF(Select2=1,Textiles!$K66,"")</f>
        <v>9.6571330791298624E-3</v>
      </c>
      <c r="I64" s="745">
        <f>Sludge!K66</f>
        <v>0</v>
      </c>
      <c r="J64" s="745" t="str">
        <f>IF(Select2=2,MSW!$K66,"")</f>
        <v/>
      </c>
      <c r="K64" s="745">
        <f>Industry!$K66</f>
        <v>0</v>
      </c>
      <c r="L64" s="746">
        <f t="shared" si="3"/>
        <v>6.6029533896583198E-2</v>
      </c>
      <c r="M64" s="747">
        <f>Recovery_OX!C59</f>
        <v>0</v>
      </c>
      <c r="N64" s="702"/>
      <c r="O64" s="748">
        <f>(L64-M64)*(1-Recovery_OX!F59)</f>
        <v>6.6029533896583198E-2</v>
      </c>
      <c r="P64" s="694"/>
      <c r="Q64" s="704"/>
      <c r="S64" s="742">
        <f t="shared" si="2"/>
        <v>2047</v>
      </c>
      <c r="T64" s="743">
        <f>IF(Select2=1,Food!$W66,"")</f>
        <v>7.6506939015173888E-4</v>
      </c>
      <c r="U64" s="744">
        <f>IF(Select2=1,Paper!$W66,"")</f>
        <v>8.4273307438373274E-2</v>
      </c>
      <c r="V64" s="735">
        <f>IF(Select2=1,Nappies!$W66,"")</f>
        <v>0</v>
      </c>
      <c r="W64" s="744">
        <f>IF(Select2=1,Garden!$W66,"")</f>
        <v>0</v>
      </c>
      <c r="X64" s="735">
        <f>IF(Select2=1,Wood!$W66,"")</f>
        <v>8.3944449520409137E-2</v>
      </c>
      <c r="Y64" s="744">
        <f>IF(Select2=1,Textiles!$W66,"")</f>
        <v>1.0583159538772459E-2</v>
      </c>
      <c r="Z64" s="737">
        <f>Sludge!W66</f>
        <v>0</v>
      </c>
      <c r="AA64" s="737" t="str">
        <f>IF(Select2=2,MSW!$W66,"")</f>
        <v/>
      </c>
      <c r="AB64" s="745">
        <f>Industry!$W66</f>
        <v>0</v>
      </c>
      <c r="AC64" s="746">
        <f t="shared" si="4"/>
        <v>0.17956598588770659</v>
      </c>
      <c r="AD64" s="747">
        <f>Recovery_OX!R59</f>
        <v>0</v>
      </c>
      <c r="AE64" s="702"/>
      <c r="AF64" s="749">
        <f>(AC64-AD64)*(1-Recovery_OX!U59)</f>
        <v>0.17956598588770659</v>
      </c>
    </row>
    <row r="65" spans="2:32">
      <c r="B65" s="742">
        <f t="shared" si="1"/>
        <v>2048</v>
      </c>
      <c r="C65" s="743">
        <f>IF(Select2=1,Food!$K67,"")</f>
        <v>7.6652686938004778E-4</v>
      </c>
      <c r="D65" s="744">
        <f>IF(Select2=1,Paper!$K67,"")</f>
        <v>3.8030740942669422E-2</v>
      </c>
      <c r="E65" s="735">
        <f>IF(Select2=1,Nappies!$K67,"")</f>
        <v>1.2183023030782211E-2</v>
      </c>
      <c r="F65" s="744">
        <f>IF(Select2=1,Garden!$K67,"")</f>
        <v>0</v>
      </c>
      <c r="G65" s="735">
        <f>IF(Select2=1,Wood!$K67,"")</f>
        <v>0</v>
      </c>
      <c r="H65" s="744">
        <f>IF(Select2=1,Textiles!$K67,"")</f>
        <v>9.0042512009899846E-3</v>
      </c>
      <c r="I65" s="745">
        <f>Sludge!K67</f>
        <v>0</v>
      </c>
      <c r="J65" s="745" t="str">
        <f>IF(Select2=2,MSW!$K67,"")</f>
        <v/>
      </c>
      <c r="K65" s="745">
        <f>Industry!$K67</f>
        <v>0</v>
      </c>
      <c r="L65" s="746">
        <f t="shared" si="3"/>
        <v>5.998454204382167E-2</v>
      </c>
      <c r="M65" s="747">
        <f>Recovery_OX!C60</f>
        <v>0</v>
      </c>
      <c r="N65" s="702"/>
      <c r="O65" s="748">
        <f>(L65-M65)*(1-Recovery_OX!F60)</f>
        <v>5.998454204382167E-2</v>
      </c>
      <c r="P65" s="694"/>
      <c r="Q65" s="704"/>
      <c r="S65" s="742">
        <f t="shared" si="2"/>
        <v>2048</v>
      </c>
      <c r="T65" s="743">
        <f>IF(Select2=1,Food!$W67,"")</f>
        <v>5.1284134882697207E-4</v>
      </c>
      <c r="U65" s="744">
        <f>IF(Select2=1,Paper!$W67,"")</f>
        <v>7.8575911038573226E-2</v>
      </c>
      <c r="V65" s="735">
        <f>IF(Select2=1,Nappies!$W67,"")</f>
        <v>0</v>
      </c>
      <c r="W65" s="744">
        <f>IF(Select2=1,Garden!$W67,"")</f>
        <v>0</v>
      </c>
      <c r="X65" s="735">
        <f>IF(Select2=1,Wood!$W67,"")</f>
        <v>8.1057215121666942E-2</v>
      </c>
      <c r="Y65" s="744">
        <f>IF(Select2=1,Textiles!$W67,"")</f>
        <v>9.8676725490301244E-3</v>
      </c>
      <c r="Z65" s="737">
        <f>Sludge!W67</f>
        <v>0</v>
      </c>
      <c r="AA65" s="737" t="str">
        <f>IF(Select2=2,MSW!$W67,"")</f>
        <v/>
      </c>
      <c r="AB65" s="745">
        <f>Industry!$W67</f>
        <v>0</v>
      </c>
      <c r="AC65" s="746">
        <f t="shared" si="4"/>
        <v>0.17001364005809724</v>
      </c>
      <c r="AD65" s="747">
        <f>Recovery_OX!R60</f>
        <v>0</v>
      </c>
      <c r="AE65" s="702"/>
      <c r="AF65" s="749">
        <f>(AC65-AD65)*(1-Recovery_OX!U60)</f>
        <v>0.17001364005809724</v>
      </c>
    </row>
    <row r="66" spans="2:32">
      <c r="B66" s="742">
        <f t="shared" si="1"/>
        <v>2049</v>
      </c>
      <c r="C66" s="743">
        <f>IF(Select2=1,Food!$K68,"")</f>
        <v>5.1381832637038816E-4</v>
      </c>
      <c r="D66" s="744">
        <f>IF(Select2=1,Paper!$K68,"")</f>
        <v>3.5459627821389089E-2</v>
      </c>
      <c r="E66" s="735">
        <f>IF(Select2=1,Nappies!$K68,"")</f>
        <v>1.0278387890854394E-2</v>
      </c>
      <c r="F66" s="744">
        <f>IF(Select2=1,Garden!$K68,"")</f>
        <v>0</v>
      </c>
      <c r="G66" s="735">
        <f>IF(Select2=1,Wood!$K68,"")</f>
        <v>0</v>
      </c>
      <c r="H66" s="744">
        <f>IF(Select2=1,Textiles!$K68,"")</f>
        <v>8.3955081726837747E-3</v>
      </c>
      <c r="I66" s="745">
        <f>Sludge!K68</f>
        <v>0</v>
      </c>
      <c r="J66" s="745" t="str">
        <f>IF(Select2=2,MSW!$K68,"")</f>
        <v/>
      </c>
      <c r="K66" s="745">
        <f>Industry!$K68</f>
        <v>0</v>
      </c>
      <c r="L66" s="746">
        <f t="shared" si="3"/>
        <v>5.4647342211297641E-2</v>
      </c>
      <c r="M66" s="747">
        <f>Recovery_OX!C61</f>
        <v>0</v>
      </c>
      <c r="N66" s="702"/>
      <c r="O66" s="748">
        <f>(L66-M66)*(1-Recovery_OX!F61)</f>
        <v>5.4647342211297641E-2</v>
      </c>
      <c r="P66" s="694"/>
      <c r="Q66" s="704"/>
      <c r="S66" s="742">
        <f t="shared" si="2"/>
        <v>2049</v>
      </c>
      <c r="T66" s="743">
        <f>IF(Select2=1,Food!$W68,"")</f>
        <v>3.4376783655467528E-4</v>
      </c>
      <c r="U66" s="744">
        <f>IF(Select2=1,Paper!$W68,"")</f>
        <v>7.326369384584526E-2</v>
      </c>
      <c r="V66" s="735">
        <f>IF(Select2=1,Nappies!$W68,"")</f>
        <v>0</v>
      </c>
      <c r="W66" s="744">
        <f>IF(Select2=1,Garden!$W68,"")</f>
        <v>0</v>
      </c>
      <c r="X66" s="735">
        <f>IF(Select2=1,Wood!$W68,"")</f>
        <v>7.8269285948236317E-2</v>
      </c>
      <c r="Y66" s="744">
        <f>IF(Select2=1,Textiles!$W68,"")</f>
        <v>9.2005569015712642E-3</v>
      </c>
      <c r="Z66" s="737">
        <f>Sludge!W68</f>
        <v>0</v>
      </c>
      <c r="AA66" s="737" t="str">
        <f>IF(Select2=2,MSW!$W68,"")</f>
        <v/>
      </c>
      <c r="AB66" s="745">
        <f>Industry!$W68</f>
        <v>0</v>
      </c>
      <c r="AC66" s="746">
        <f t="shared" si="4"/>
        <v>0.1610773045322075</v>
      </c>
      <c r="AD66" s="747">
        <f>Recovery_OX!R61</f>
        <v>0</v>
      </c>
      <c r="AE66" s="702"/>
      <c r="AF66" s="749">
        <f>(AC66-AD66)*(1-Recovery_OX!U61)</f>
        <v>0.1610773045322075</v>
      </c>
    </row>
    <row r="67" spans="2:32">
      <c r="B67" s="742">
        <f t="shared" si="1"/>
        <v>2050</v>
      </c>
      <c r="C67" s="743">
        <f>IF(Select2=1,Food!$K69,"")</f>
        <v>3.444227241865537E-4</v>
      </c>
      <c r="D67" s="744">
        <f>IF(Select2=1,Paper!$K69,"")</f>
        <v>3.3062337836828215E-2</v>
      </c>
      <c r="E67" s="735">
        <f>IF(Select2=1,Nappies!$K69,"")</f>
        <v>8.6715142348441632E-3</v>
      </c>
      <c r="F67" s="744">
        <f>IF(Select2=1,Garden!$K69,"")</f>
        <v>0</v>
      </c>
      <c r="G67" s="735">
        <f>IF(Select2=1,Wood!$K69,"")</f>
        <v>0</v>
      </c>
      <c r="H67" s="744">
        <f>IF(Select2=1,Textiles!$K69,"")</f>
        <v>7.8279199351802328E-3</v>
      </c>
      <c r="I67" s="745">
        <f>Sludge!K69</f>
        <v>0</v>
      </c>
      <c r="J67" s="745" t="str">
        <f>IF(Select2=2,MSW!$K69,"")</f>
        <v/>
      </c>
      <c r="K67" s="745">
        <f>Industry!$K69</f>
        <v>0</v>
      </c>
      <c r="L67" s="746">
        <f t="shared" si="3"/>
        <v>4.9906194731039168E-2</v>
      </c>
      <c r="M67" s="747">
        <f>Recovery_OX!C62</f>
        <v>0</v>
      </c>
      <c r="N67" s="702"/>
      <c r="O67" s="748">
        <f>(L67-M67)*(1-Recovery_OX!F62)</f>
        <v>4.9906194731039168E-2</v>
      </c>
      <c r="P67" s="694"/>
      <c r="Q67" s="704"/>
      <c r="S67" s="742">
        <f t="shared" si="2"/>
        <v>2050</v>
      </c>
      <c r="T67" s="743">
        <f>IF(Select2=1,Food!$W69,"")</f>
        <v>2.3043447202490209E-4</v>
      </c>
      <c r="U67" s="744">
        <f>IF(Select2=1,Paper!$W69,"")</f>
        <v>6.8310615365347577E-2</v>
      </c>
      <c r="V67" s="735">
        <f>IF(Select2=1,Nappies!$W69,"")</f>
        <v>0</v>
      </c>
      <c r="W67" s="744">
        <f>IF(Select2=1,Garden!$W69,"")</f>
        <v>0</v>
      </c>
      <c r="X67" s="735">
        <f>IF(Select2=1,Wood!$W69,"")</f>
        <v>7.5577246438229218E-2</v>
      </c>
      <c r="Y67" s="744">
        <f>IF(Select2=1,Textiles!$W69,"")</f>
        <v>8.5785423947180653E-3</v>
      </c>
      <c r="Z67" s="737">
        <f>Sludge!W69</f>
        <v>0</v>
      </c>
      <c r="AA67" s="737" t="str">
        <f>IF(Select2=2,MSW!$W69,"")</f>
        <v/>
      </c>
      <c r="AB67" s="745">
        <f>Industry!$W69</f>
        <v>0</v>
      </c>
      <c r="AC67" s="746">
        <f t="shared" si="4"/>
        <v>0.15269683867031975</v>
      </c>
      <c r="AD67" s="747">
        <f>Recovery_OX!R62</f>
        <v>0</v>
      </c>
      <c r="AE67" s="702"/>
      <c r="AF67" s="749">
        <f>(AC67-AD67)*(1-Recovery_OX!U62)</f>
        <v>0.15269683867031975</v>
      </c>
    </row>
    <row r="68" spans="2:32">
      <c r="B68" s="742">
        <f t="shared" si="1"/>
        <v>2051</v>
      </c>
      <c r="C68" s="743">
        <f>IF(Select2=1,Food!$K70,"")</f>
        <v>2.3087345633245098E-4</v>
      </c>
      <c r="D68" s="744">
        <f>IF(Select2=1,Paper!$K70,"")</f>
        <v>3.0827119470701221E-2</v>
      </c>
      <c r="E68" s="735">
        <f>IF(Select2=1,Nappies!$K70,"")</f>
        <v>7.3158514665527322E-3</v>
      </c>
      <c r="F68" s="744">
        <f>IF(Select2=1,Garden!$K70,"")</f>
        <v>0</v>
      </c>
      <c r="G68" s="735">
        <f>IF(Select2=1,Wood!$K70,"")</f>
        <v>0</v>
      </c>
      <c r="H68" s="744">
        <f>IF(Select2=1,Textiles!$K70,"")</f>
        <v>7.2987041702806208E-3</v>
      </c>
      <c r="I68" s="745">
        <f>Sludge!K70</f>
        <v>0</v>
      </c>
      <c r="J68" s="745" t="str">
        <f>IF(Select2=2,MSW!$K70,"")</f>
        <v/>
      </c>
      <c r="K68" s="745">
        <f>Industry!$K70</f>
        <v>0</v>
      </c>
      <c r="L68" s="746">
        <f t="shared" si="3"/>
        <v>4.5672548563867023E-2</v>
      </c>
      <c r="M68" s="747">
        <f>Recovery_OX!C63</f>
        <v>0</v>
      </c>
      <c r="N68" s="702"/>
      <c r="O68" s="748">
        <f>(L68-M68)*(1-Recovery_OX!F63)</f>
        <v>4.5672548563867023E-2</v>
      </c>
      <c r="P68" s="694"/>
      <c r="Q68" s="704"/>
      <c r="S68" s="742">
        <f t="shared" si="2"/>
        <v>2051</v>
      </c>
      <c r="T68" s="743">
        <f>IF(Select2=1,Food!$W70,"")</f>
        <v>1.544648458959306E-4</v>
      </c>
      <c r="U68" s="744">
        <f>IF(Select2=1,Paper!$W70,"")</f>
        <v>6.3692395600622398E-2</v>
      </c>
      <c r="V68" s="735">
        <f>IF(Select2=1,Nappies!$W70,"")</f>
        <v>0</v>
      </c>
      <c r="W68" s="744">
        <f>IF(Select2=1,Garden!$W70,"")</f>
        <v>0</v>
      </c>
      <c r="X68" s="735">
        <f>IF(Select2=1,Wood!$W70,"")</f>
        <v>7.2977798506587005E-2</v>
      </c>
      <c r="Y68" s="744">
        <f>IF(Select2=1,Textiles!$W70,"")</f>
        <v>7.9985799126362986E-3</v>
      </c>
      <c r="Z68" s="737">
        <f>Sludge!W70</f>
        <v>0</v>
      </c>
      <c r="AA68" s="737" t="str">
        <f>IF(Select2=2,MSW!$W70,"")</f>
        <v/>
      </c>
      <c r="AB68" s="745">
        <f>Industry!$W70</f>
        <v>0</v>
      </c>
      <c r="AC68" s="746">
        <f t="shared" si="4"/>
        <v>0.14482323886574164</v>
      </c>
      <c r="AD68" s="747">
        <f>Recovery_OX!R63</f>
        <v>0</v>
      </c>
      <c r="AE68" s="702"/>
      <c r="AF68" s="749">
        <f>(AC68-AD68)*(1-Recovery_OX!U63)</f>
        <v>0.14482323886574164</v>
      </c>
    </row>
    <row r="69" spans="2:32">
      <c r="B69" s="742">
        <f t="shared" si="1"/>
        <v>2052</v>
      </c>
      <c r="C69" s="743">
        <f>IF(Select2=1,Food!$K71,"")</f>
        <v>1.5475910587717571E-4</v>
      </c>
      <c r="D69" s="744">
        <f>IF(Select2=1,Paper!$K71,"")</f>
        <v>2.8743015679984149E-2</v>
      </c>
      <c r="E69" s="735">
        <f>IF(Select2=1,Nappies!$K71,"")</f>
        <v>6.1721264857755951E-3</v>
      </c>
      <c r="F69" s="744">
        <f>IF(Select2=1,Garden!$K71,"")</f>
        <v>0</v>
      </c>
      <c r="G69" s="735">
        <f>IF(Select2=1,Wood!$K71,"")</f>
        <v>0</v>
      </c>
      <c r="H69" s="744">
        <f>IF(Select2=1,Textiles!$K71,"")</f>
        <v>6.8052666616914229E-3</v>
      </c>
      <c r="I69" s="745">
        <f>Sludge!K71</f>
        <v>0</v>
      </c>
      <c r="J69" s="745" t="str">
        <f>IF(Select2=2,MSW!$K71,"")</f>
        <v/>
      </c>
      <c r="K69" s="745">
        <f>Industry!$K71</f>
        <v>0</v>
      </c>
      <c r="L69" s="746">
        <f t="shared" si="3"/>
        <v>4.1875167933328343E-2</v>
      </c>
      <c r="M69" s="747">
        <f>Recovery_OX!C64</f>
        <v>0</v>
      </c>
      <c r="N69" s="702"/>
      <c r="O69" s="748">
        <f>(L69-M69)*(1-Recovery_OX!F64)</f>
        <v>4.1875167933328343E-2</v>
      </c>
      <c r="P69" s="694"/>
      <c r="Q69" s="704"/>
      <c r="S69" s="742">
        <f t="shared" si="2"/>
        <v>2052</v>
      </c>
      <c r="T69" s="743">
        <f>IF(Select2=1,Food!$W71,"")</f>
        <v>1.0354088261184814E-4</v>
      </c>
      <c r="U69" s="744">
        <f>IF(Select2=1,Paper!$W71,"")</f>
        <v>5.9386396033025125E-2</v>
      </c>
      <c r="V69" s="735">
        <f>IF(Select2=1,Nappies!$W71,"")</f>
        <v>0</v>
      </c>
      <c r="W69" s="744">
        <f>IF(Select2=1,Garden!$W71,"")</f>
        <v>0</v>
      </c>
      <c r="X69" s="735">
        <f>IF(Select2=1,Wood!$W71,"")</f>
        <v>7.0467757504513756E-2</v>
      </c>
      <c r="Y69" s="744">
        <f>IF(Select2=1,Textiles!$W71,"")</f>
        <v>7.4578264785659446E-3</v>
      </c>
      <c r="Z69" s="737">
        <f>Sludge!W71</f>
        <v>0</v>
      </c>
      <c r="AA69" s="737" t="str">
        <f>IF(Select2=2,MSW!$W71,"")</f>
        <v/>
      </c>
      <c r="AB69" s="745">
        <f>Industry!$W71</f>
        <v>0</v>
      </c>
      <c r="AC69" s="746">
        <f t="shared" si="4"/>
        <v>0.13741552089871667</v>
      </c>
      <c r="AD69" s="747">
        <f>Recovery_OX!R64</f>
        <v>0</v>
      </c>
      <c r="AE69" s="702"/>
      <c r="AF69" s="749">
        <f>(AC69-AD69)*(1-Recovery_OX!U64)</f>
        <v>0.13741552089871667</v>
      </c>
    </row>
    <row r="70" spans="2:32">
      <c r="B70" s="742">
        <f t="shared" si="1"/>
        <v>2053</v>
      </c>
      <c r="C70" s="743">
        <f>IF(Select2=1,Food!$K72,"")</f>
        <v>1.0373813097602281E-4</v>
      </c>
      <c r="D70" s="744">
        <f>IF(Select2=1,Paper!$K72,"")</f>
        <v>2.6799810185476988E-2</v>
      </c>
      <c r="E70" s="735">
        <f>IF(Select2=1,Nappies!$K72,"")</f>
        <v>5.207205959631549E-3</v>
      </c>
      <c r="F70" s="744">
        <f>IF(Select2=1,Garden!$K72,"")</f>
        <v>0</v>
      </c>
      <c r="G70" s="735">
        <f>IF(Select2=1,Wood!$K72,"")</f>
        <v>0</v>
      </c>
      <c r="H70" s="744">
        <f>IF(Select2=1,Textiles!$K72,"")</f>
        <v>6.3451885781730675E-3</v>
      </c>
      <c r="I70" s="745">
        <f>Sludge!K72</f>
        <v>0</v>
      </c>
      <c r="J70" s="745" t="str">
        <f>IF(Select2=2,MSW!$K72,"")</f>
        <v/>
      </c>
      <c r="K70" s="745">
        <f>Industry!$K72</f>
        <v>0</v>
      </c>
      <c r="L70" s="746">
        <f t="shared" si="3"/>
        <v>3.845594285425763E-2</v>
      </c>
      <c r="M70" s="747">
        <f>Recovery_OX!C65</f>
        <v>0</v>
      </c>
      <c r="N70" s="702"/>
      <c r="O70" s="748">
        <f>(L70-M70)*(1-Recovery_OX!F65)</f>
        <v>3.845594285425763E-2</v>
      </c>
      <c r="P70" s="694"/>
      <c r="Q70" s="704"/>
      <c r="S70" s="742">
        <f t="shared" si="2"/>
        <v>2053</v>
      </c>
      <c r="T70" s="743">
        <f>IF(Select2=1,Food!$W72,"")</f>
        <v>6.940552919894476E-5</v>
      </c>
      <c r="U70" s="744">
        <f>IF(Select2=1,Paper!$W72,"")</f>
        <v>5.5371508647679757E-2</v>
      </c>
      <c r="V70" s="735">
        <f>IF(Select2=1,Nappies!$W72,"")</f>
        <v>0</v>
      </c>
      <c r="W70" s="744">
        <f>IF(Select2=1,Garden!$W72,"")</f>
        <v>0</v>
      </c>
      <c r="X70" s="735">
        <f>IF(Select2=1,Wood!$W72,"")</f>
        <v>6.8044048317883271E-2</v>
      </c>
      <c r="Y70" s="744">
        <f>IF(Select2=1,Textiles!$W72,"")</f>
        <v>6.9536313185458278E-3</v>
      </c>
      <c r="Z70" s="737">
        <f>Sludge!W72</f>
        <v>0</v>
      </c>
      <c r="AA70" s="737" t="str">
        <f>IF(Select2=2,MSW!$W72,"")</f>
        <v/>
      </c>
      <c r="AB70" s="745">
        <f>Industry!$W72</f>
        <v>0</v>
      </c>
      <c r="AC70" s="746">
        <f t="shared" si="4"/>
        <v>0.1304385938133078</v>
      </c>
      <c r="AD70" s="747">
        <f>Recovery_OX!R65</f>
        <v>0</v>
      </c>
      <c r="AE70" s="702"/>
      <c r="AF70" s="749">
        <f>(AC70-AD70)*(1-Recovery_OX!U65)</f>
        <v>0.1304385938133078</v>
      </c>
    </row>
    <row r="71" spans="2:32">
      <c r="B71" s="742">
        <f t="shared" si="1"/>
        <v>2054</v>
      </c>
      <c r="C71" s="743">
        <f>IF(Select2=1,Food!$K73,"")</f>
        <v>6.9537748731498793E-5</v>
      </c>
      <c r="D71" s="744">
        <f>IF(Select2=1,Paper!$K73,"")</f>
        <v>2.4987977391591226E-2</v>
      </c>
      <c r="E71" s="735">
        <f>IF(Select2=1,Nappies!$K73,"")</f>
        <v>4.3931364609121476E-3</v>
      </c>
      <c r="F71" s="744">
        <f>IF(Select2=1,Garden!$K73,"")</f>
        <v>0</v>
      </c>
      <c r="G71" s="735">
        <f>IF(Select2=1,Wood!$K73,"")</f>
        <v>0</v>
      </c>
      <c r="H71" s="744">
        <f>IF(Select2=1,Textiles!$K73,"")</f>
        <v>5.9162146164263791E-3</v>
      </c>
      <c r="I71" s="745">
        <f>Sludge!K73</f>
        <v>0</v>
      </c>
      <c r="J71" s="745" t="str">
        <f>IF(Select2=2,MSW!$K73,"")</f>
        <v/>
      </c>
      <c r="K71" s="745">
        <f>Industry!$K73</f>
        <v>0</v>
      </c>
      <c r="L71" s="746">
        <f t="shared" si="3"/>
        <v>3.5366866217661254E-2</v>
      </c>
      <c r="M71" s="747">
        <f>Recovery_OX!C66</f>
        <v>0</v>
      </c>
      <c r="N71" s="702"/>
      <c r="O71" s="748">
        <f>(L71-M71)*(1-Recovery_OX!F66)</f>
        <v>3.5366866217661254E-2</v>
      </c>
      <c r="P71" s="694"/>
      <c r="Q71" s="704"/>
      <c r="S71" s="742">
        <f t="shared" si="2"/>
        <v>2054</v>
      </c>
      <c r="T71" s="743">
        <f>IF(Select2=1,Food!$W73,"")</f>
        <v>4.6523917527764569E-5</v>
      </c>
      <c r="U71" s="744">
        <f>IF(Select2=1,Paper!$W73,"")</f>
        <v>5.1628052461965369E-2</v>
      </c>
      <c r="V71" s="735">
        <f>IF(Select2=1,Nappies!$W73,"")</f>
        <v>0</v>
      </c>
      <c r="W71" s="744">
        <f>IF(Select2=1,Garden!$W73,"")</f>
        <v>0</v>
      </c>
      <c r="X71" s="735">
        <f>IF(Select2=1,Wood!$W73,"")</f>
        <v>6.570370159983964E-2</v>
      </c>
      <c r="Y71" s="744">
        <f>IF(Select2=1,Textiles!$W73,"")</f>
        <v>6.483522867316579E-3</v>
      </c>
      <c r="Z71" s="737">
        <f>Sludge!W73</f>
        <v>0</v>
      </c>
      <c r="AA71" s="737" t="str">
        <f>IF(Select2=2,MSW!$W73,"")</f>
        <v/>
      </c>
      <c r="AB71" s="745">
        <f>Industry!$W73</f>
        <v>0</v>
      </c>
      <c r="AC71" s="746">
        <f t="shared" si="4"/>
        <v>0.12386180084664936</v>
      </c>
      <c r="AD71" s="747">
        <f>Recovery_OX!R66</f>
        <v>0</v>
      </c>
      <c r="AE71" s="702"/>
      <c r="AF71" s="749">
        <f>(AC71-AD71)*(1-Recovery_OX!U66)</f>
        <v>0.12386180084664936</v>
      </c>
    </row>
    <row r="72" spans="2:32">
      <c r="B72" s="742">
        <f t="shared" si="1"/>
        <v>2055</v>
      </c>
      <c r="C72" s="743">
        <f>IF(Select2=1,Food!$K74,"")</f>
        <v>4.6612546930912994E-5</v>
      </c>
      <c r="D72" s="744">
        <f>IF(Select2=1,Paper!$K74,"")</f>
        <v>2.3298635691869216E-2</v>
      </c>
      <c r="E72" s="735">
        <f>IF(Select2=1,Nappies!$K74,"")</f>
        <v>3.7063346665783328E-3</v>
      </c>
      <c r="F72" s="744">
        <f>IF(Select2=1,Garden!$K74,"")</f>
        <v>0</v>
      </c>
      <c r="G72" s="735">
        <f>IF(Select2=1,Wood!$K74,"")</f>
        <v>0</v>
      </c>
      <c r="H72" s="744">
        <f>IF(Select2=1,Textiles!$K74,"")</f>
        <v>5.5162419455931956E-3</v>
      </c>
      <c r="I72" s="745">
        <f>Sludge!K74</f>
        <v>0</v>
      </c>
      <c r="J72" s="745" t="str">
        <f>IF(Select2=2,MSW!$K74,"")</f>
        <v/>
      </c>
      <c r="K72" s="745">
        <f>Industry!$K74</f>
        <v>0</v>
      </c>
      <c r="L72" s="746">
        <f t="shared" si="3"/>
        <v>3.2567824850971656E-2</v>
      </c>
      <c r="M72" s="747">
        <f>Recovery_OX!C67</f>
        <v>0</v>
      </c>
      <c r="N72" s="702"/>
      <c r="O72" s="748">
        <f>(L72-M72)*(1-Recovery_OX!F67)</f>
        <v>3.2567824850971656E-2</v>
      </c>
      <c r="P72" s="694"/>
      <c r="Q72" s="704"/>
      <c r="S72" s="742">
        <f t="shared" si="2"/>
        <v>2055</v>
      </c>
      <c r="T72" s="743">
        <f>IF(Select2=1,Food!$W74,"")</f>
        <v>3.118591453896943E-5</v>
      </c>
      <c r="U72" s="744">
        <f>IF(Select2=1,Paper!$W74,"")</f>
        <v>4.8137677049316582E-2</v>
      </c>
      <c r="V72" s="735">
        <f>IF(Select2=1,Nappies!$W74,"")</f>
        <v>0</v>
      </c>
      <c r="W72" s="744">
        <f>IF(Select2=1,Garden!$W74,"")</f>
        <v>0</v>
      </c>
      <c r="X72" s="735">
        <f>IF(Select2=1,Wood!$W74,"")</f>
        <v>6.3443850132976085E-2</v>
      </c>
      <c r="Y72" s="744">
        <f>IF(Select2=1,Textiles!$W74,"")</f>
        <v>6.0451966527048729E-3</v>
      </c>
      <c r="Z72" s="737">
        <f>Sludge!W74</f>
        <v>0</v>
      </c>
      <c r="AA72" s="737" t="str">
        <f>IF(Select2=2,MSW!$W74,"")</f>
        <v/>
      </c>
      <c r="AB72" s="745">
        <f>Industry!$W74</f>
        <v>0</v>
      </c>
      <c r="AC72" s="746">
        <f t="shared" si="4"/>
        <v>0.11765790974953651</v>
      </c>
      <c r="AD72" s="747">
        <f>Recovery_OX!R67</f>
        <v>0</v>
      </c>
      <c r="AE72" s="702"/>
      <c r="AF72" s="749">
        <f>(AC72-AD72)*(1-Recovery_OX!U67)</f>
        <v>0.11765790974953651</v>
      </c>
    </row>
    <row r="73" spans="2:32">
      <c r="B73" s="742">
        <f t="shared" si="1"/>
        <v>2056</v>
      </c>
      <c r="C73" s="743">
        <f>IF(Select2=1,Food!$K75,"")</f>
        <v>3.1245324604567994E-5</v>
      </c>
      <c r="D73" s="744">
        <f>IF(Select2=1,Paper!$K75,"")</f>
        <v>2.1723503931339004E-2</v>
      </c>
      <c r="E73" s="735">
        <f>IF(Select2=1,Nappies!$K75,"")</f>
        <v>3.1269041567236278E-3</v>
      </c>
      <c r="F73" s="744">
        <f>IF(Select2=1,Garden!$K75,"")</f>
        <v>0</v>
      </c>
      <c r="G73" s="735">
        <f>IF(Select2=1,Wood!$K75,"")</f>
        <v>0</v>
      </c>
      <c r="H73" s="744">
        <f>IF(Select2=1,Textiles!$K75,"")</f>
        <v>5.1433098991770605E-3</v>
      </c>
      <c r="I73" s="745">
        <f>Sludge!K75</f>
        <v>0</v>
      </c>
      <c r="J73" s="745" t="str">
        <f>IF(Select2=2,MSW!$K75,"")</f>
        <v/>
      </c>
      <c r="K73" s="745">
        <f>Industry!$K75</f>
        <v>0</v>
      </c>
      <c r="L73" s="746">
        <f t="shared" si="3"/>
        <v>3.002496331184426E-2</v>
      </c>
      <c r="M73" s="747">
        <f>Recovery_OX!C68</f>
        <v>0</v>
      </c>
      <c r="N73" s="702"/>
      <c r="O73" s="748">
        <f>(L73-M73)*(1-Recovery_OX!F68)</f>
        <v>3.002496331184426E-2</v>
      </c>
      <c r="P73" s="694"/>
      <c r="Q73" s="704"/>
      <c r="S73" s="742">
        <f t="shared" si="2"/>
        <v>2056</v>
      </c>
      <c r="T73" s="743">
        <f>IF(Select2=1,Food!$W75,"")</f>
        <v>2.09045436694255E-5</v>
      </c>
      <c r="U73" s="744">
        <f>IF(Select2=1,Paper!$W75,"")</f>
        <v>4.4883272585411194E-2</v>
      </c>
      <c r="V73" s="735">
        <f>IF(Select2=1,Nappies!$W75,"")</f>
        <v>0</v>
      </c>
      <c r="W73" s="744">
        <f>IF(Select2=1,Garden!$W75,"")</f>
        <v>0</v>
      </c>
      <c r="X73" s="735">
        <f>IF(Select2=1,Wood!$W75,"")</f>
        <v>6.1261725316635041E-2</v>
      </c>
      <c r="Y73" s="744">
        <f>IF(Select2=1,Textiles!$W75,"")</f>
        <v>5.636503999098149E-3</v>
      </c>
      <c r="Z73" s="737">
        <f>Sludge!W75</f>
        <v>0</v>
      </c>
      <c r="AA73" s="737" t="str">
        <f>IF(Select2=2,MSW!$W75,"")</f>
        <v/>
      </c>
      <c r="AB73" s="745">
        <f>Industry!$W75</f>
        <v>0</v>
      </c>
      <c r="AC73" s="746">
        <f t="shared" si="4"/>
        <v>0.11180240644481382</v>
      </c>
      <c r="AD73" s="747">
        <f>Recovery_OX!R68</f>
        <v>0</v>
      </c>
      <c r="AE73" s="702"/>
      <c r="AF73" s="749">
        <f>(AC73-AD73)*(1-Recovery_OX!U68)</f>
        <v>0.11180240644481382</v>
      </c>
    </row>
    <row r="74" spans="2:32">
      <c r="B74" s="742">
        <f t="shared" si="1"/>
        <v>2057</v>
      </c>
      <c r="C74" s="743">
        <f>IF(Select2=1,Food!$K76,"")</f>
        <v>2.0944367427332512E-5</v>
      </c>
      <c r="D74" s="744">
        <f>IF(Select2=1,Paper!$K76,"")</f>
        <v>2.025486081228306E-2</v>
      </c>
      <c r="E74" s="735">
        <f>IF(Select2=1,Nappies!$K76,"")</f>
        <v>2.6380590218967092E-3</v>
      </c>
      <c r="F74" s="744">
        <f>IF(Select2=1,Garden!$K76,"")</f>
        <v>0</v>
      </c>
      <c r="G74" s="735">
        <f>IF(Select2=1,Wood!$K76,"")</f>
        <v>0</v>
      </c>
      <c r="H74" s="744">
        <f>IF(Select2=1,Textiles!$K76,"")</f>
        <v>4.7955903638537767E-3</v>
      </c>
      <c r="I74" s="745">
        <f>Sludge!K76</f>
        <v>0</v>
      </c>
      <c r="J74" s="745" t="str">
        <f>IF(Select2=2,MSW!$K76,"")</f>
        <v/>
      </c>
      <c r="K74" s="745">
        <f>Industry!$K76</f>
        <v>0</v>
      </c>
      <c r="L74" s="746">
        <f t="shared" si="3"/>
        <v>2.7709454565460877E-2</v>
      </c>
      <c r="M74" s="747">
        <f>Recovery_OX!C69</f>
        <v>0</v>
      </c>
      <c r="N74" s="702"/>
      <c r="O74" s="748">
        <f>(L74-M74)*(1-Recovery_OX!F69)</f>
        <v>2.7709454565460877E-2</v>
      </c>
      <c r="P74" s="694"/>
      <c r="Q74" s="704"/>
      <c r="S74" s="742">
        <f t="shared" si="2"/>
        <v>2057</v>
      </c>
      <c r="T74" s="743">
        <f>IF(Select2=1,Food!$W76,"")</f>
        <v>1.4012734674843336E-5</v>
      </c>
      <c r="U74" s="744">
        <f>IF(Select2=1,Paper!$W76,"")</f>
        <v>4.1848885975791464E-2</v>
      </c>
      <c r="V74" s="735">
        <f>IF(Select2=1,Nappies!$W76,"")</f>
        <v>0</v>
      </c>
      <c r="W74" s="744">
        <f>IF(Select2=1,Garden!$W76,"")</f>
        <v>0</v>
      </c>
      <c r="X74" s="735">
        <f>IF(Select2=1,Wood!$W76,"")</f>
        <v>5.915465377502608E-2</v>
      </c>
      <c r="Y74" s="744">
        <f>IF(Select2=1,Textiles!$W76,"")</f>
        <v>5.2554414946342758E-3</v>
      </c>
      <c r="Z74" s="737">
        <f>Sludge!W76</f>
        <v>0</v>
      </c>
      <c r="AA74" s="737" t="str">
        <f>IF(Select2=2,MSW!$W76,"")</f>
        <v/>
      </c>
      <c r="AB74" s="745">
        <f>Industry!$W76</f>
        <v>0</v>
      </c>
      <c r="AC74" s="746">
        <f t="shared" si="4"/>
        <v>0.10627299398012666</v>
      </c>
      <c r="AD74" s="747">
        <f>Recovery_OX!R69</f>
        <v>0</v>
      </c>
      <c r="AE74" s="702"/>
      <c r="AF74" s="749">
        <f>(AC74-AD74)*(1-Recovery_OX!U69)</f>
        <v>0.10627299398012666</v>
      </c>
    </row>
    <row r="75" spans="2:32">
      <c r="B75" s="742">
        <f t="shared" si="1"/>
        <v>2058</v>
      </c>
      <c r="C75" s="743">
        <f>IF(Select2=1,Food!$K77,"")</f>
        <v>1.4039429338076876E-5</v>
      </c>
      <c r="D75" s="744">
        <f>IF(Select2=1,Paper!$K77,"")</f>
        <v>1.8885507044427898E-2</v>
      </c>
      <c r="E75" s="735">
        <f>IF(Select2=1,Nappies!$K77,"")</f>
        <v>2.2256375808789226E-3</v>
      </c>
      <c r="F75" s="744">
        <f>IF(Select2=1,Garden!$K77,"")</f>
        <v>0</v>
      </c>
      <c r="G75" s="735">
        <f>IF(Select2=1,Wood!$K77,"")</f>
        <v>0</v>
      </c>
      <c r="H75" s="744">
        <f>IF(Select2=1,Textiles!$K77,"")</f>
        <v>4.4713788180577793E-3</v>
      </c>
      <c r="I75" s="745">
        <f>Sludge!K77</f>
        <v>0</v>
      </c>
      <c r="J75" s="745" t="str">
        <f>IF(Select2=2,MSW!$K77,"")</f>
        <v/>
      </c>
      <c r="K75" s="745">
        <f>Industry!$K77</f>
        <v>0</v>
      </c>
      <c r="L75" s="746">
        <f t="shared" si="3"/>
        <v>2.5596562872702677E-2</v>
      </c>
      <c r="M75" s="747">
        <f>Recovery_OX!C70</f>
        <v>0</v>
      </c>
      <c r="N75" s="702"/>
      <c r="O75" s="748">
        <f>(L75-M75)*(1-Recovery_OX!F70)</f>
        <v>2.5596562872702677E-2</v>
      </c>
      <c r="P75" s="694"/>
      <c r="Q75" s="704"/>
      <c r="S75" s="742">
        <f t="shared" si="2"/>
        <v>2058</v>
      </c>
      <c r="T75" s="743">
        <f>IF(Select2=1,Food!$W77,"")</f>
        <v>9.3930169523261833E-6</v>
      </c>
      <c r="U75" s="744">
        <f>IF(Select2=1,Paper!$W77,"")</f>
        <v>3.9019642653776672E-2</v>
      </c>
      <c r="V75" s="735">
        <f>IF(Select2=1,Nappies!$W77,"")</f>
        <v>0</v>
      </c>
      <c r="W75" s="744">
        <f>IF(Select2=1,Garden!$W77,"")</f>
        <v>0</v>
      </c>
      <c r="X75" s="735">
        <f>IF(Select2=1,Wood!$W77,"")</f>
        <v>5.7120054082006273E-2</v>
      </c>
      <c r="Y75" s="744">
        <f>IF(Select2=1,Textiles!$W77,"")</f>
        <v>4.900141170474279E-3</v>
      </c>
      <c r="Z75" s="737">
        <f>Sludge!W77</f>
        <v>0</v>
      </c>
      <c r="AA75" s="737" t="str">
        <f>IF(Select2=2,MSW!$W77,"")</f>
        <v/>
      </c>
      <c r="AB75" s="745">
        <f>Industry!$W77</f>
        <v>0</v>
      </c>
      <c r="AC75" s="746">
        <f t="shared" si="4"/>
        <v>0.10104923092320955</v>
      </c>
      <c r="AD75" s="747">
        <f>Recovery_OX!R70</f>
        <v>0</v>
      </c>
      <c r="AE75" s="702"/>
      <c r="AF75" s="749">
        <f>(AC75-AD75)*(1-Recovery_OX!U70)</f>
        <v>0.10104923092320955</v>
      </c>
    </row>
    <row r="76" spans="2:32">
      <c r="B76" s="742">
        <f t="shared" si="1"/>
        <v>2059</v>
      </c>
      <c r="C76" s="743">
        <f>IF(Select2=1,Food!$K78,"")</f>
        <v>9.410910920213796E-6</v>
      </c>
      <c r="D76" s="744">
        <f>IF(Select2=1,Paper!$K78,"")</f>
        <v>1.7608730054014823E-2</v>
      </c>
      <c r="E76" s="735">
        <f>IF(Select2=1,Nappies!$K78,"")</f>
        <v>1.8776921214822353E-3</v>
      </c>
      <c r="F76" s="744">
        <f>IF(Select2=1,Garden!$K78,"")</f>
        <v>0</v>
      </c>
      <c r="G76" s="735">
        <f>IF(Select2=1,Wood!$K78,"")</f>
        <v>0</v>
      </c>
      <c r="H76" s="744">
        <f>IF(Select2=1,Textiles!$K78,"")</f>
        <v>4.1690859764154375E-3</v>
      </c>
      <c r="I76" s="745">
        <f>Sludge!K78</f>
        <v>0</v>
      </c>
      <c r="J76" s="745" t="str">
        <f>IF(Select2=2,MSW!$K78,"")</f>
        <v/>
      </c>
      <c r="K76" s="745">
        <f>Industry!$K78</f>
        <v>0</v>
      </c>
      <c r="L76" s="746">
        <f t="shared" si="3"/>
        <v>2.3664919062832707E-2</v>
      </c>
      <c r="M76" s="747">
        <f>Recovery_OX!C71</f>
        <v>0</v>
      </c>
      <c r="N76" s="702"/>
      <c r="O76" s="748">
        <f>(L76-M76)*(1-Recovery_OX!F71)</f>
        <v>2.3664919062832707E-2</v>
      </c>
      <c r="P76" s="694"/>
      <c r="Q76" s="704"/>
      <c r="S76" s="742">
        <f t="shared" si="2"/>
        <v>2059</v>
      </c>
      <c r="T76" s="743">
        <f>IF(Select2=1,Food!$W78,"")</f>
        <v>6.2963275558968286E-6</v>
      </c>
      <c r="U76" s="744">
        <f>IF(Select2=1,Paper!$W78,"")</f>
        <v>3.63816736653199E-2</v>
      </c>
      <c r="V76" s="735">
        <f>IF(Select2=1,Nappies!$W78,"")</f>
        <v>0</v>
      </c>
      <c r="W76" s="744">
        <f>IF(Select2=1,Garden!$W78,"")</f>
        <v>0</v>
      </c>
      <c r="X76" s="735">
        <f>IF(Select2=1,Wood!$W78,"")</f>
        <v>5.515543359851037E-2</v>
      </c>
      <c r="Y76" s="744">
        <f>IF(Select2=1,Textiles!$W78,"")</f>
        <v>4.5688613440169178E-3</v>
      </c>
      <c r="Z76" s="737">
        <f>Sludge!W78</f>
        <v>0</v>
      </c>
      <c r="AA76" s="737" t="str">
        <f>IF(Select2=2,MSW!$W78,"")</f>
        <v/>
      </c>
      <c r="AB76" s="745">
        <f>Industry!$W78</f>
        <v>0</v>
      </c>
      <c r="AC76" s="746">
        <f t="shared" si="4"/>
        <v>9.6112264935403077E-2</v>
      </c>
      <c r="AD76" s="747">
        <f>Recovery_OX!R71</f>
        <v>0</v>
      </c>
      <c r="AE76" s="702"/>
      <c r="AF76" s="749">
        <f>(AC76-AD76)*(1-Recovery_OX!U71)</f>
        <v>9.6112264935403077E-2</v>
      </c>
    </row>
    <row r="77" spans="2:32">
      <c r="B77" s="742">
        <f t="shared" si="1"/>
        <v>2060</v>
      </c>
      <c r="C77" s="743">
        <f>IF(Select2=1,Food!$K79,"")</f>
        <v>6.3083222412750129E-6</v>
      </c>
      <c r="D77" s="744">
        <f>IF(Select2=1,Paper!$K79,"")</f>
        <v>1.6418271078755556E-2</v>
      </c>
      <c r="E77" s="735">
        <f>IF(Select2=1,Nappies!$K79,"")</f>
        <v>1.5841427792947847E-3</v>
      </c>
      <c r="F77" s="744">
        <f>IF(Select2=1,Garden!$K79,"")</f>
        <v>0</v>
      </c>
      <c r="G77" s="735">
        <f>IF(Select2=1,Wood!$K79,"")</f>
        <v>0</v>
      </c>
      <c r="H77" s="744">
        <f>IF(Select2=1,Textiles!$K79,"")</f>
        <v>3.8872299990663096E-3</v>
      </c>
      <c r="I77" s="745">
        <f>Sludge!K79</f>
        <v>0</v>
      </c>
      <c r="J77" s="745" t="str">
        <f>IF(Select2=2,MSW!$K79,"")</f>
        <v/>
      </c>
      <c r="K77" s="745">
        <f>Industry!$K79</f>
        <v>0</v>
      </c>
      <c r="L77" s="746">
        <f t="shared" si="3"/>
        <v>2.1895952179357928E-2</v>
      </c>
      <c r="M77" s="747">
        <f>Recovery_OX!C72</f>
        <v>0</v>
      </c>
      <c r="N77" s="702"/>
      <c r="O77" s="748">
        <f>(L77-M77)*(1-Recovery_OX!F72)</f>
        <v>2.1895952179357928E-2</v>
      </c>
      <c r="P77" s="694"/>
      <c r="Q77" s="704"/>
      <c r="S77" s="742">
        <f t="shared" si="2"/>
        <v>2060</v>
      </c>
      <c r="T77" s="743">
        <f>IF(Select2=1,Food!$W79,"")</f>
        <v>4.2205545771242264E-6</v>
      </c>
      <c r="U77" s="744">
        <f>IF(Select2=1,Paper!$W79,"")</f>
        <v>3.3922047683379267E-2</v>
      </c>
      <c r="V77" s="735">
        <f>IF(Select2=1,Nappies!$W79,"")</f>
        <v>0</v>
      </c>
      <c r="W77" s="744">
        <f>IF(Select2=1,Garden!$W79,"")</f>
        <v>0</v>
      </c>
      <c r="X77" s="735">
        <f>IF(Select2=1,Wood!$W79,"")</f>
        <v>5.3258385418756174E-2</v>
      </c>
      <c r="Y77" s="744">
        <f>IF(Select2=1,Textiles!$W79,"")</f>
        <v>4.2599780811685591E-3</v>
      </c>
      <c r="Z77" s="737">
        <f>Sludge!W79</f>
        <v>0</v>
      </c>
      <c r="AA77" s="737" t="str">
        <f>IF(Select2=2,MSW!$W79,"")</f>
        <v/>
      </c>
      <c r="AB77" s="745">
        <f>Industry!$W79</f>
        <v>0</v>
      </c>
      <c r="AC77" s="746">
        <f t="shared" si="4"/>
        <v>9.144463173788113E-2</v>
      </c>
      <c r="AD77" s="747">
        <f>Recovery_OX!R72</f>
        <v>0</v>
      </c>
      <c r="AE77" s="702"/>
      <c r="AF77" s="749">
        <f>(AC77-AD77)*(1-Recovery_OX!U72)</f>
        <v>9.144463173788113E-2</v>
      </c>
    </row>
    <row r="78" spans="2:32">
      <c r="B78" s="742">
        <f t="shared" si="1"/>
        <v>2061</v>
      </c>
      <c r="C78" s="743">
        <f>IF(Select2=1,Food!$K80,"")</f>
        <v>4.2285948551791146E-6</v>
      </c>
      <c r="D78" s="744">
        <f>IF(Select2=1,Paper!$K80,"")</f>
        <v>1.5308294487372249E-2</v>
      </c>
      <c r="E78" s="735">
        <f>IF(Select2=1,Nappies!$K80,"")</f>
        <v>1.33648552735622E-3</v>
      </c>
      <c r="F78" s="744">
        <f>IF(Select2=1,Garden!$K80,"")</f>
        <v>0</v>
      </c>
      <c r="G78" s="735">
        <f>IF(Select2=1,Wood!$K80,"")</f>
        <v>0</v>
      </c>
      <c r="H78" s="744">
        <f>IF(Select2=1,Textiles!$K80,"")</f>
        <v>3.6244292276824321E-3</v>
      </c>
      <c r="I78" s="745">
        <f>Sludge!K80</f>
        <v>0</v>
      </c>
      <c r="J78" s="745" t="str">
        <f>IF(Select2=2,MSW!$K80,"")</f>
        <v/>
      </c>
      <c r="K78" s="745">
        <f>Industry!$K80</f>
        <v>0</v>
      </c>
      <c r="L78" s="746">
        <f t="shared" si="3"/>
        <v>2.0273437837266081E-2</v>
      </c>
      <c r="M78" s="747">
        <f>Recovery_OX!C73</f>
        <v>0</v>
      </c>
      <c r="N78" s="702"/>
      <c r="O78" s="748">
        <f>(L78-M78)*(1-Recovery_OX!F73)</f>
        <v>2.0273437837266081E-2</v>
      </c>
      <c r="P78" s="694"/>
      <c r="Q78" s="704"/>
      <c r="S78" s="742">
        <f t="shared" si="2"/>
        <v>2061</v>
      </c>
      <c r="T78" s="743">
        <f>IF(Select2=1,Food!$W80,"")</f>
        <v>2.8291223384338393E-6</v>
      </c>
      <c r="U78" s="744">
        <f>IF(Select2=1,Paper!$W80,"")</f>
        <v>3.162870761853772E-2</v>
      </c>
      <c r="V78" s="735">
        <f>IF(Select2=1,Nappies!$W80,"")</f>
        <v>0</v>
      </c>
      <c r="W78" s="744">
        <f>IF(Select2=1,Garden!$W80,"")</f>
        <v>0</v>
      </c>
      <c r="X78" s="735">
        <f>IF(Select2=1,Wood!$W80,"")</f>
        <v>5.142658542148397E-2</v>
      </c>
      <c r="Y78" s="744">
        <f>IF(Select2=1,Textiles!$W80,"")</f>
        <v>3.9719772358163645E-3</v>
      </c>
      <c r="Z78" s="737">
        <f>Sludge!W80</f>
        <v>0</v>
      </c>
      <c r="AA78" s="737" t="str">
        <f>IF(Select2=2,MSW!$W80,"")</f>
        <v/>
      </c>
      <c r="AB78" s="745">
        <f>Industry!$W80</f>
        <v>0</v>
      </c>
      <c r="AC78" s="746">
        <f t="shared" si="4"/>
        <v>8.7030099398176491E-2</v>
      </c>
      <c r="AD78" s="747">
        <f>Recovery_OX!R73</f>
        <v>0</v>
      </c>
      <c r="AE78" s="702"/>
      <c r="AF78" s="749">
        <f>(AC78-AD78)*(1-Recovery_OX!U73)</f>
        <v>8.7030099398176491E-2</v>
      </c>
    </row>
    <row r="79" spans="2:32">
      <c r="B79" s="742">
        <f t="shared" si="1"/>
        <v>2062</v>
      </c>
      <c r="C79" s="743">
        <f>IF(Select2=1,Food!$K81,"")</f>
        <v>2.8345118979897317E-6</v>
      </c>
      <c r="D79" s="744">
        <f>IF(Select2=1,Paper!$K81,"")</f>
        <v>1.4273359173326181E-2</v>
      </c>
      <c r="E79" s="735">
        <f>IF(Select2=1,Nappies!$K81,"")</f>
        <v>1.1275458173207065E-3</v>
      </c>
      <c r="F79" s="744">
        <f>IF(Select2=1,Garden!$K81,"")</f>
        <v>0</v>
      </c>
      <c r="G79" s="735">
        <f>IF(Select2=1,Wood!$K81,"")</f>
        <v>0</v>
      </c>
      <c r="H79" s="744">
        <f>IF(Select2=1,Textiles!$K81,"")</f>
        <v>3.3793954125775887E-3</v>
      </c>
      <c r="I79" s="745">
        <f>Sludge!K81</f>
        <v>0</v>
      </c>
      <c r="J79" s="745" t="str">
        <f>IF(Select2=2,MSW!$K81,"")</f>
        <v/>
      </c>
      <c r="K79" s="745">
        <f>Industry!$K81</f>
        <v>0</v>
      </c>
      <c r="L79" s="746">
        <f t="shared" si="3"/>
        <v>1.8783134915122464E-2</v>
      </c>
      <c r="M79" s="747">
        <f>Recovery_OX!C74</f>
        <v>0</v>
      </c>
      <c r="N79" s="702"/>
      <c r="O79" s="748">
        <f>(L79-M79)*(1-Recovery_OX!F74)</f>
        <v>1.8783134915122464E-2</v>
      </c>
      <c r="P79" s="694"/>
      <c r="Q79" s="704"/>
      <c r="S79" s="742">
        <f t="shared" si="2"/>
        <v>2062</v>
      </c>
      <c r="T79" s="743">
        <f>IF(Select2=1,Food!$W81,"")</f>
        <v>1.896417416139427E-6</v>
      </c>
      <c r="U79" s="744">
        <f>IF(Select2=1,Paper!$W81,"")</f>
        <v>2.949041151513675E-2</v>
      </c>
      <c r="V79" s="735">
        <f>IF(Select2=1,Nappies!$W81,"")</f>
        <v>0</v>
      </c>
      <c r="W79" s="744">
        <f>IF(Select2=1,Garden!$W81,"")</f>
        <v>0</v>
      </c>
      <c r="X79" s="735">
        <f>IF(Select2=1,Wood!$W81,"")</f>
        <v>4.9657789422617338E-2</v>
      </c>
      <c r="Y79" s="744">
        <f>IF(Select2=1,Textiles!$W81,"")</f>
        <v>3.7034470274822898E-3</v>
      </c>
      <c r="Z79" s="737">
        <f>Sludge!W81</f>
        <v>0</v>
      </c>
      <c r="AA79" s="737" t="str">
        <f>IF(Select2=2,MSW!$W81,"")</f>
        <v/>
      </c>
      <c r="AB79" s="745">
        <f>Industry!$W81</f>
        <v>0</v>
      </c>
      <c r="AC79" s="746">
        <f t="shared" si="4"/>
        <v>8.2853544382652522E-2</v>
      </c>
      <c r="AD79" s="747">
        <f>Recovery_OX!R74</f>
        <v>0</v>
      </c>
      <c r="AE79" s="702"/>
      <c r="AF79" s="749">
        <f>(AC79-AD79)*(1-Recovery_OX!U74)</f>
        <v>8.2853544382652522E-2</v>
      </c>
    </row>
    <row r="80" spans="2:32">
      <c r="B80" s="742">
        <f t="shared" si="1"/>
        <v>2063</v>
      </c>
      <c r="C80" s="743">
        <f>IF(Select2=1,Food!$K82,"")</f>
        <v>1.9000301459490445E-6</v>
      </c>
      <c r="D80" s="744">
        <f>IF(Select2=1,Paper!$K82,"")</f>
        <v>1.3308391882507205E-2</v>
      </c>
      <c r="E80" s="735">
        <f>IF(Select2=1,Nappies!$K82,"")</f>
        <v>9.5127073517389338E-4</v>
      </c>
      <c r="F80" s="744">
        <f>IF(Select2=1,Garden!$K82,"")</f>
        <v>0</v>
      </c>
      <c r="G80" s="735">
        <f>IF(Select2=1,Wood!$K82,"")</f>
        <v>0</v>
      </c>
      <c r="H80" s="744">
        <f>IF(Select2=1,Textiles!$K82,"")</f>
        <v>3.1509273977058561E-3</v>
      </c>
      <c r="I80" s="745">
        <f>Sludge!K82</f>
        <v>0</v>
      </c>
      <c r="J80" s="745" t="str">
        <f>IF(Select2=2,MSW!$K82,"")</f>
        <v/>
      </c>
      <c r="K80" s="745">
        <f>Industry!$K82</f>
        <v>0</v>
      </c>
      <c r="L80" s="746">
        <f t="shared" si="3"/>
        <v>1.7412490045532903E-2</v>
      </c>
      <c r="M80" s="747">
        <f>Recovery_OX!C75</f>
        <v>0</v>
      </c>
      <c r="N80" s="702"/>
      <c r="O80" s="748">
        <f>(L80-M80)*(1-Recovery_OX!F75)</f>
        <v>1.7412490045532903E-2</v>
      </c>
      <c r="P80" s="694"/>
      <c r="Q80" s="704"/>
      <c r="S80" s="742">
        <f t="shared" si="2"/>
        <v>2063</v>
      </c>
      <c r="T80" s="743">
        <f>IF(Select2=1,Food!$W82,"")</f>
        <v>1.2712066096893689E-6</v>
      </c>
      <c r="U80" s="744">
        <f>IF(Select2=1,Paper!$W82,"")</f>
        <v>2.749667744319672E-2</v>
      </c>
      <c r="V80" s="735">
        <f>IF(Select2=1,Nappies!$W82,"")</f>
        <v>0</v>
      </c>
      <c r="W80" s="744">
        <f>IF(Select2=1,Garden!$W82,"")</f>
        <v>0</v>
      </c>
      <c r="X80" s="735">
        <f>IF(Select2=1,Wood!$W82,"")</f>
        <v>4.7949830425856994E-2</v>
      </c>
      <c r="Y80" s="744">
        <f>IF(Select2=1,Textiles!$W82,"")</f>
        <v>3.4530711207735412E-3</v>
      </c>
      <c r="Z80" s="737">
        <f>Sludge!W82</f>
        <v>0</v>
      </c>
      <c r="AA80" s="737" t="str">
        <f>IF(Select2=2,MSW!$W82,"")</f>
        <v/>
      </c>
      <c r="AB80" s="745">
        <f>Industry!$W82</f>
        <v>0</v>
      </c>
      <c r="AC80" s="746">
        <f t="shared" si="4"/>
        <v>7.8900850196436945E-2</v>
      </c>
      <c r="AD80" s="747">
        <f>Recovery_OX!R75</f>
        <v>0</v>
      </c>
      <c r="AE80" s="702"/>
      <c r="AF80" s="749">
        <f>(AC80-AD80)*(1-Recovery_OX!U75)</f>
        <v>7.8900850196436945E-2</v>
      </c>
    </row>
    <row r="81" spans="2:32">
      <c r="B81" s="742">
        <f t="shared" si="1"/>
        <v>2064</v>
      </c>
      <c r="C81" s="743">
        <f>IF(Select2=1,Food!$K83,"")</f>
        <v>1.2736282949016661E-6</v>
      </c>
      <c r="D81" s="744">
        <f>IF(Select2=1,Paper!$K83,"")</f>
        <v>1.2408662344136207E-2</v>
      </c>
      <c r="E81" s="735">
        <f>IF(Select2=1,Nappies!$K83,"")</f>
        <v>8.0255365032398988E-4</v>
      </c>
      <c r="F81" s="744">
        <f>IF(Select2=1,Garden!$K83,"")</f>
        <v>0</v>
      </c>
      <c r="G81" s="735">
        <f>IF(Select2=1,Wood!$K83,"")</f>
        <v>0</v>
      </c>
      <c r="H81" s="744">
        <f>IF(Select2=1,Textiles!$K83,"")</f>
        <v>2.9379052325932721E-3</v>
      </c>
      <c r="I81" s="745">
        <f>Sludge!K83</f>
        <v>0</v>
      </c>
      <c r="J81" s="745" t="str">
        <f>IF(Select2=2,MSW!$K83,"")</f>
        <v/>
      </c>
      <c r="K81" s="745">
        <f>Industry!$K83</f>
        <v>0</v>
      </c>
      <c r="L81" s="746">
        <f t="shared" si="3"/>
        <v>1.615039485534837E-2</v>
      </c>
      <c r="M81" s="747">
        <f>Recovery_OX!C76</f>
        <v>0</v>
      </c>
      <c r="N81" s="702"/>
      <c r="O81" s="748">
        <f>(L81-M81)*(1-Recovery_OX!F76)</f>
        <v>1.615039485534837E-2</v>
      </c>
      <c r="P81" s="694"/>
      <c r="Q81" s="704"/>
      <c r="S81" s="742">
        <f t="shared" si="2"/>
        <v>2064</v>
      </c>
      <c r="T81" s="743">
        <f>IF(Select2=1,Food!$W83,"")</f>
        <v>8.5211527312778666E-7</v>
      </c>
      <c r="U81" s="744">
        <f>IF(Select2=1,Paper!$W83,"")</f>
        <v>2.5637732115983917E-2</v>
      </c>
      <c r="V81" s="735">
        <f>IF(Select2=1,Nappies!$W83,"")</f>
        <v>0</v>
      </c>
      <c r="W81" s="744">
        <f>IF(Select2=1,Garden!$W83,"")</f>
        <v>0</v>
      </c>
      <c r="X81" s="735">
        <f>IF(Select2=1,Wood!$W83,"")</f>
        <v>4.6300615967839368E-2</v>
      </c>
      <c r="Y81" s="744">
        <f>IF(Select2=1,Textiles!$W83,"")</f>
        <v>3.2196221727049563E-3</v>
      </c>
      <c r="Z81" s="737">
        <f>Sludge!W83</f>
        <v>0</v>
      </c>
      <c r="AA81" s="737" t="str">
        <f>IF(Select2=2,MSW!$W83,"")</f>
        <v/>
      </c>
      <c r="AB81" s="745">
        <f>Industry!$W83</f>
        <v>0</v>
      </c>
      <c r="AC81" s="746">
        <f t="shared" ref="AC81:AC97" si="5">SUM(T81:AA81)</f>
        <v>7.5158822371801368E-2</v>
      </c>
      <c r="AD81" s="747">
        <f>Recovery_OX!R76</f>
        <v>0</v>
      </c>
      <c r="AE81" s="702"/>
      <c r="AF81" s="749">
        <f>(AC81-AD81)*(1-Recovery_OX!U76)</f>
        <v>7.5158822371801368E-2</v>
      </c>
    </row>
    <row r="82" spans="2:32">
      <c r="B82" s="742">
        <f t="shared" ref="B82:B97" si="6">B81+1</f>
        <v>2065</v>
      </c>
      <c r="C82" s="743">
        <f>IF(Select2=1,Food!$K84,"")</f>
        <v>8.5373857727077763E-7</v>
      </c>
      <c r="D82" s="744">
        <f>IF(Select2=1,Paper!$K84,"")</f>
        <v>1.1569760082972256E-2</v>
      </c>
      <c r="E82" s="735">
        <f>IF(Select2=1,Nappies!$K84,"")</f>
        <v>6.7708627820934708E-4</v>
      </c>
      <c r="F82" s="744">
        <f>IF(Select2=1,Garden!$K84,"")</f>
        <v>0</v>
      </c>
      <c r="G82" s="735">
        <f>IF(Select2=1,Wood!$K84,"")</f>
        <v>0</v>
      </c>
      <c r="H82" s="744">
        <f>IF(Select2=1,Textiles!$K84,"")</f>
        <v>2.7392846823393142E-3</v>
      </c>
      <c r="I82" s="745">
        <f>Sludge!K84</f>
        <v>0</v>
      </c>
      <c r="J82" s="745" t="str">
        <f>IF(Select2=2,MSW!$K84,"")</f>
        <v/>
      </c>
      <c r="K82" s="745">
        <f>Industry!$K84</f>
        <v>0</v>
      </c>
      <c r="L82" s="746">
        <f t="shared" si="3"/>
        <v>1.4986984782098187E-2</v>
      </c>
      <c r="M82" s="747">
        <f>Recovery_OX!C77</f>
        <v>0</v>
      </c>
      <c r="N82" s="702"/>
      <c r="O82" s="748">
        <f>(L82-M82)*(1-Recovery_OX!F77)</f>
        <v>1.4986984782098187E-2</v>
      </c>
      <c r="P82" s="694"/>
      <c r="Q82" s="704"/>
      <c r="S82" s="742">
        <f t="shared" ref="S82:S97" si="7">S81+1</f>
        <v>2065</v>
      </c>
      <c r="T82" s="743">
        <f>IF(Select2=1,Food!$W84,"")</f>
        <v>5.7118994911068931E-7</v>
      </c>
      <c r="U82" s="744">
        <f>IF(Select2=1,Paper!$W84,"")</f>
        <v>2.3904462981347657E-2</v>
      </c>
      <c r="V82" s="735">
        <f>IF(Select2=1,Nappies!$W84,"")</f>
        <v>0</v>
      </c>
      <c r="W82" s="744">
        <f>IF(Select2=1,Garden!$W84,"")</f>
        <v>0</v>
      </c>
      <c r="X82" s="735">
        <f>IF(Select2=1,Wood!$W84,"")</f>
        <v>4.4708125554607264E-2</v>
      </c>
      <c r="Y82" s="744">
        <f>IF(Select2=1,Textiles!$W84,"")</f>
        <v>3.0019558162622624E-3</v>
      </c>
      <c r="Z82" s="737">
        <f>Sludge!W84</f>
        <v>0</v>
      </c>
      <c r="AA82" s="737" t="str">
        <f>IF(Select2=2,MSW!$W84,"")</f>
        <v/>
      </c>
      <c r="AB82" s="745">
        <f>Industry!$W84</f>
        <v>0</v>
      </c>
      <c r="AC82" s="746">
        <f t="shared" si="5"/>
        <v>7.1615115542166305E-2</v>
      </c>
      <c r="AD82" s="747">
        <f>Recovery_OX!R77</f>
        <v>0</v>
      </c>
      <c r="AE82" s="702"/>
      <c r="AF82" s="749">
        <f>(AC82-AD82)*(1-Recovery_OX!U77)</f>
        <v>7.1615115542166305E-2</v>
      </c>
    </row>
    <row r="83" spans="2:32">
      <c r="B83" s="742">
        <f t="shared" si="6"/>
        <v>2066</v>
      </c>
      <c r="C83" s="743">
        <f>IF(Select2=1,Food!$K85,"")</f>
        <v>5.7227808241854885E-7</v>
      </c>
      <c r="D83" s="744">
        <f>IF(Select2=1,Paper!$K85,"")</f>
        <v>1.0787572799157862E-2</v>
      </c>
      <c r="E83" s="735">
        <f>IF(Select2=1,Nappies!$K85,"")</f>
        <v>5.7123387072541688E-4</v>
      </c>
      <c r="F83" s="744">
        <f>IF(Select2=1,Garden!$K85,"")</f>
        <v>0</v>
      </c>
      <c r="G83" s="735">
        <f>IF(Select2=1,Wood!$K85,"")</f>
        <v>0</v>
      </c>
      <c r="H83" s="744">
        <f>IF(Select2=1,Textiles!$K85,"")</f>
        <v>2.5540921087762051E-3</v>
      </c>
      <c r="I83" s="745">
        <f>Sludge!K85</f>
        <v>0</v>
      </c>
      <c r="J83" s="745" t="str">
        <f>IF(Select2=2,MSW!$K85,"")</f>
        <v/>
      </c>
      <c r="K83" s="745">
        <f>Industry!$K85</f>
        <v>0</v>
      </c>
      <c r="L83" s="746">
        <f t="shared" ref="L83:L97" si="8">SUM(C83:K83)</f>
        <v>1.3913471056741903E-2</v>
      </c>
      <c r="M83" s="747">
        <f>Recovery_OX!C78</f>
        <v>0</v>
      </c>
      <c r="N83" s="702"/>
      <c r="O83" s="748">
        <f>(L83-M83)*(1-Recovery_OX!F78)</f>
        <v>1.3913471056741903E-2</v>
      </c>
      <c r="P83" s="694"/>
      <c r="Q83" s="704"/>
      <c r="S83" s="742">
        <f t="shared" si="7"/>
        <v>2066</v>
      </c>
      <c r="T83" s="743">
        <f>IF(Select2=1,Food!$W85,"")</f>
        <v>3.8288007298297172E-7</v>
      </c>
      <c r="U83" s="744">
        <f>IF(Select2=1,Paper!$W85,"")</f>
        <v>2.2288373551979074E-2</v>
      </c>
      <c r="V83" s="735">
        <f>IF(Select2=1,Nappies!$W85,"")</f>
        <v>0</v>
      </c>
      <c r="W83" s="744">
        <f>IF(Select2=1,Garden!$W85,"")</f>
        <v>0</v>
      </c>
      <c r="X83" s="735">
        <f>IF(Select2=1,Wood!$W85,"")</f>
        <v>4.3170408186252091E-2</v>
      </c>
      <c r="Y83" s="744">
        <f>IF(Select2=1,Textiles!$W85,"")</f>
        <v>2.7990050507136505E-3</v>
      </c>
      <c r="Z83" s="737">
        <f>Sludge!W85</f>
        <v>0</v>
      </c>
      <c r="AA83" s="737" t="str">
        <f>IF(Select2=2,MSW!$W85,"")</f>
        <v/>
      </c>
      <c r="AB83" s="745">
        <f>Industry!$W85</f>
        <v>0</v>
      </c>
      <c r="AC83" s="746">
        <f t="shared" si="5"/>
        <v>6.8258169669017793E-2</v>
      </c>
      <c r="AD83" s="747">
        <f>Recovery_OX!R78</f>
        <v>0</v>
      </c>
      <c r="AE83" s="702"/>
      <c r="AF83" s="749">
        <f>(AC83-AD83)*(1-Recovery_OX!U78)</f>
        <v>6.8258169669017793E-2</v>
      </c>
    </row>
    <row r="84" spans="2:32">
      <c r="B84" s="742">
        <f t="shared" si="6"/>
        <v>2067</v>
      </c>
      <c r="C84" s="743">
        <f>IF(Select2=1,Food!$K86,"")</f>
        <v>3.8360947055198905E-7</v>
      </c>
      <c r="D84" s="744">
        <f>IF(Select2=1,Paper!$K86,"")</f>
        <v>1.0058266209720303E-2</v>
      </c>
      <c r="E84" s="735">
        <f>IF(Select2=1,Nappies!$K86,"")</f>
        <v>4.8192991877920124E-4</v>
      </c>
      <c r="F84" s="744">
        <f>IF(Select2=1,Garden!$K86,"")</f>
        <v>0</v>
      </c>
      <c r="G84" s="735">
        <f>IF(Select2=1,Wood!$K86,"")</f>
        <v>0</v>
      </c>
      <c r="H84" s="744">
        <f>IF(Select2=1,Textiles!$K86,"")</f>
        <v>2.3814196976934847E-3</v>
      </c>
      <c r="I84" s="745">
        <f>Sludge!K86</f>
        <v>0</v>
      </c>
      <c r="J84" s="745" t="str">
        <f>IF(Select2=2,MSW!$K86,"")</f>
        <v/>
      </c>
      <c r="K84" s="745">
        <f>Industry!$K86</f>
        <v>0</v>
      </c>
      <c r="L84" s="746">
        <f t="shared" si="8"/>
        <v>1.292199943566354E-2</v>
      </c>
      <c r="M84" s="747">
        <f>Recovery_OX!C79</f>
        <v>0</v>
      </c>
      <c r="N84" s="702"/>
      <c r="O84" s="748">
        <f>(L84-M84)*(1-Recovery_OX!F79)</f>
        <v>1.292199943566354E-2</v>
      </c>
      <c r="P84" s="694"/>
      <c r="Q84" s="704"/>
      <c r="S84" s="742">
        <f t="shared" si="7"/>
        <v>2067</v>
      </c>
      <c r="T84" s="743">
        <f>IF(Select2=1,Food!$W86,"")</f>
        <v>2.5665218814807455E-7</v>
      </c>
      <c r="U84" s="744">
        <f>IF(Select2=1,Paper!$W86,"")</f>
        <v>2.0781541755620477E-2</v>
      </c>
      <c r="V84" s="735">
        <f>IF(Select2=1,Nappies!$W86,"")</f>
        <v>0</v>
      </c>
      <c r="W84" s="744">
        <f>IF(Select2=1,Garden!$W86,"")</f>
        <v>0</v>
      </c>
      <c r="X84" s="735">
        <f>IF(Select2=1,Wood!$W86,"")</f>
        <v>4.1685579966695002E-2</v>
      </c>
      <c r="Y84" s="744">
        <f>IF(Select2=1,Textiles!$W86,"")</f>
        <v>2.609775011170943E-3</v>
      </c>
      <c r="Z84" s="737">
        <f>Sludge!W86</f>
        <v>0</v>
      </c>
      <c r="AA84" s="737" t="str">
        <f>IF(Select2=2,MSW!$W86,"")</f>
        <v/>
      </c>
      <c r="AB84" s="745">
        <f>Industry!$W86</f>
        <v>0</v>
      </c>
      <c r="AC84" s="746">
        <f t="shared" si="5"/>
        <v>6.5077153385674574E-2</v>
      </c>
      <c r="AD84" s="747">
        <f>Recovery_OX!R79</f>
        <v>0</v>
      </c>
      <c r="AE84" s="702"/>
      <c r="AF84" s="749">
        <f>(AC84-AD84)*(1-Recovery_OX!U79)</f>
        <v>6.5077153385674574E-2</v>
      </c>
    </row>
    <row r="85" spans="2:32">
      <c r="B85" s="742">
        <f t="shared" si="6"/>
        <v>2068</v>
      </c>
      <c r="C85" s="743">
        <f>IF(Select2=1,Food!$K87,"")</f>
        <v>2.5714111796011652E-7</v>
      </c>
      <c r="D85" s="744">
        <f>IF(Select2=1,Paper!$K87,"")</f>
        <v>9.378265252912037E-3</v>
      </c>
      <c r="E85" s="735">
        <f>IF(Select2=1,Nappies!$K87,"")</f>
        <v>4.0658731653916486E-4</v>
      </c>
      <c r="F85" s="744">
        <f>IF(Select2=1,Garden!$K87,"")</f>
        <v>0</v>
      </c>
      <c r="G85" s="735">
        <f>IF(Select2=1,Wood!$K87,"")</f>
        <v>0</v>
      </c>
      <c r="H85" s="744">
        <f>IF(Select2=1,Textiles!$K87,"")</f>
        <v>2.220421008731697E-3</v>
      </c>
      <c r="I85" s="745">
        <f>Sludge!K87</f>
        <v>0</v>
      </c>
      <c r="J85" s="745" t="str">
        <f>IF(Select2=2,MSW!$K87,"")</f>
        <v/>
      </c>
      <c r="K85" s="745">
        <f>Industry!$K87</f>
        <v>0</v>
      </c>
      <c r="L85" s="746">
        <f t="shared" si="8"/>
        <v>1.2005530719300859E-2</v>
      </c>
      <c r="M85" s="747">
        <f>Recovery_OX!C80</f>
        <v>0</v>
      </c>
      <c r="N85" s="702"/>
      <c r="O85" s="748">
        <f>(L85-M85)*(1-Recovery_OX!F80)</f>
        <v>1.2005530719300859E-2</v>
      </c>
      <c r="P85" s="694"/>
      <c r="Q85" s="704"/>
      <c r="S85" s="742">
        <f t="shared" si="7"/>
        <v>2068</v>
      </c>
      <c r="T85" s="743">
        <f>IF(Select2=1,Food!$W87,"")</f>
        <v>1.720391065745649E-7</v>
      </c>
      <c r="U85" s="744">
        <f>IF(Select2=1,Paper!$W87,"")</f>
        <v>1.9376581101057944E-2</v>
      </c>
      <c r="V85" s="735">
        <f>IF(Select2=1,Nappies!$W87,"")</f>
        <v>0</v>
      </c>
      <c r="W85" s="744">
        <f>IF(Select2=1,Garden!$W87,"")</f>
        <v>0</v>
      </c>
      <c r="X85" s="735">
        <f>IF(Select2=1,Wood!$W87,"")</f>
        <v>4.02518217956786E-2</v>
      </c>
      <c r="Y85" s="744">
        <f>IF(Select2=1,Textiles!$W87,"")</f>
        <v>2.4333380917607641E-3</v>
      </c>
      <c r="Z85" s="737">
        <f>Sludge!W87</f>
        <v>0</v>
      </c>
      <c r="AA85" s="737" t="str">
        <f>IF(Select2=2,MSW!$W87,"")</f>
        <v/>
      </c>
      <c r="AB85" s="745">
        <f>Industry!$W87</f>
        <v>0</v>
      </c>
      <c r="AC85" s="746">
        <f t="shared" si="5"/>
        <v>6.2061913027603881E-2</v>
      </c>
      <c r="AD85" s="747">
        <f>Recovery_OX!R80</f>
        <v>0</v>
      </c>
      <c r="AE85" s="702"/>
      <c r="AF85" s="749">
        <f>(AC85-AD85)*(1-Recovery_OX!U80)</f>
        <v>6.2061913027603881E-2</v>
      </c>
    </row>
    <row r="86" spans="2:32">
      <c r="B86" s="742">
        <f t="shared" si="6"/>
        <v>2069</v>
      </c>
      <c r="C86" s="743">
        <f>IF(Select2=1,Food!$K88,"")</f>
        <v>1.7236684602868106E-7</v>
      </c>
      <c r="D86" s="744">
        <f>IF(Select2=1,Paper!$K88,"")</f>
        <v>8.7442365632538783E-3</v>
      </c>
      <c r="E86" s="735">
        <f>IF(Select2=1,Nappies!$K88,"")</f>
        <v>3.4302341383843035E-4</v>
      </c>
      <c r="F86" s="744">
        <f>IF(Select2=1,Garden!$K88,"")</f>
        <v>0</v>
      </c>
      <c r="G86" s="735">
        <f>IF(Select2=1,Wood!$K88,"")</f>
        <v>0</v>
      </c>
      <c r="H86" s="744">
        <f>IF(Select2=1,Textiles!$K88,"")</f>
        <v>2.0703068261307658E-3</v>
      </c>
      <c r="I86" s="745">
        <f>Sludge!K88</f>
        <v>0</v>
      </c>
      <c r="J86" s="745" t="str">
        <f>IF(Select2=2,MSW!$K88,"")</f>
        <v/>
      </c>
      <c r="K86" s="745">
        <f>Industry!$K88</f>
        <v>0</v>
      </c>
      <c r="L86" s="746">
        <f t="shared" si="8"/>
        <v>1.1157739170069103E-2</v>
      </c>
      <c r="M86" s="747">
        <f>Recovery_OX!C81</f>
        <v>0</v>
      </c>
      <c r="N86" s="702"/>
      <c r="O86" s="748">
        <f>(L86-M86)*(1-Recovery_OX!F81)</f>
        <v>1.1157739170069103E-2</v>
      </c>
      <c r="P86" s="694"/>
      <c r="Q86" s="704"/>
      <c r="S86" s="742">
        <f t="shared" si="7"/>
        <v>2069</v>
      </c>
      <c r="T86" s="743">
        <f>IF(Select2=1,Food!$W88,"")</f>
        <v>1.1532126183899262E-7</v>
      </c>
      <c r="U86" s="744">
        <f>IF(Select2=1,Paper!$W88,"")</f>
        <v>1.8066604469532822E-2</v>
      </c>
      <c r="V86" s="735">
        <f>IF(Select2=1,Nappies!$W88,"")</f>
        <v>0</v>
      </c>
      <c r="W86" s="744">
        <f>IF(Select2=1,Garden!$W88,"")</f>
        <v>0</v>
      </c>
      <c r="X86" s="735">
        <f>IF(Select2=1,Wood!$W88,"")</f>
        <v>3.8867377140141615E-2</v>
      </c>
      <c r="Y86" s="744">
        <f>IF(Select2=1,Textiles!$W88,"")</f>
        <v>2.26882939849947E-3</v>
      </c>
      <c r="Z86" s="737">
        <f>Sludge!W88</f>
        <v>0</v>
      </c>
      <c r="AA86" s="737" t="str">
        <f>IF(Select2=2,MSW!$W88,"")</f>
        <v/>
      </c>
      <c r="AB86" s="745">
        <f>Industry!$W88</f>
        <v>0</v>
      </c>
      <c r="AC86" s="746">
        <f t="shared" si="5"/>
        <v>5.9202926329435746E-2</v>
      </c>
      <c r="AD86" s="747">
        <f>Recovery_OX!R81</f>
        <v>0</v>
      </c>
      <c r="AE86" s="702"/>
      <c r="AF86" s="749">
        <f>(AC86-AD86)*(1-Recovery_OX!U81)</f>
        <v>5.9202926329435746E-2</v>
      </c>
    </row>
    <row r="87" spans="2:32">
      <c r="B87" s="742">
        <f t="shared" si="6"/>
        <v>2070</v>
      </c>
      <c r="C87" s="743">
        <f>IF(Select2=1,Food!$K89,"")</f>
        <v>1.1554095216496345E-7</v>
      </c>
      <c r="D87" s="744">
        <f>IF(Select2=1,Paper!$K89,"")</f>
        <v>8.1530721313735448E-3</v>
      </c>
      <c r="E87" s="735">
        <f>IF(Select2=1,Nappies!$K89,"")</f>
        <v>2.8939678552426475E-4</v>
      </c>
      <c r="F87" s="744">
        <f>IF(Select2=1,Garden!$K89,"")</f>
        <v>0</v>
      </c>
      <c r="G87" s="735">
        <f>IF(Select2=1,Wood!$K89,"")</f>
        <v>0</v>
      </c>
      <c r="H87" s="744">
        <f>IF(Select2=1,Textiles!$K89,"")</f>
        <v>1.9303412899934248E-3</v>
      </c>
      <c r="I87" s="745">
        <f>Sludge!K89</f>
        <v>0</v>
      </c>
      <c r="J87" s="745" t="str">
        <f>IF(Select2=2,MSW!$K89,"")</f>
        <v/>
      </c>
      <c r="K87" s="745">
        <f>Industry!$K89</f>
        <v>0</v>
      </c>
      <c r="L87" s="746">
        <f t="shared" si="8"/>
        <v>1.03729257478434E-2</v>
      </c>
      <c r="M87" s="747">
        <f>Recovery_OX!C82</f>
        <v>0</v>
      </c>
      <c r="N87" s="702"/>
      <c r="O87" s="748">
        <f>(L87-M87)*(1-Recovery_OX!F82)</f>
        <v>1.03729257478434E-2</v>
      </c>
      <c r="P87" s="694"/>
      <c r="Q87" s="704"/>
      <c r="S87" s="742">
        <f t="shared" si="7"/>
        <v>2070</v>
      </c>
      <c r="T87" s="743">
        <f>IF(Select2=1,Food!$W89,"")</f>
        <v>7.7302153544801545E-8</v>
      </c>
      <c r="U87" s="744">
        <f>IF(Select2=1,Paper!$W89,"")</f>
        <v>1.6845190354077583E-2</v>
      </c>
      <c r="V87" s="735">
        <f>IF(Select2=1,Nappies!$W89,"")</f>
        <v>0</v>
      </c>
      <c r="W87" s="744">
        <f>IF(Select2=1,Garden!$W89,"")</f>
        <v>0</v>
      </c>
      <c r="X87" s="735">
        <f>IF(Select2=1,Wood!$W89,"")</f>
        <v>3.7530549882246272E-2</v>
      </c>
      <c r="Y87" s="744">
        <f>IF(Select2=1,Textiles!$W89,"")</f>
        <v>2.1154425095818354E-3</v>
      </c>
      <c r="Z87" s="737">
        <f>Sludge!W89</f>
        <v>0</v>
      </c>
      <c r="AA87" s="737" t="str">
        <f>IF(Select2=2,MSW!$W89,"")</f>
        <v/>
      </c>
      <c r="AB87" s="745">
        <f>Industry!$W89</f>
        <v>0</v>
      </c>
      <c r="AC87" s="746">
        <f t="shared" si="5"/>
        <v>5.6491260048059239E-2</v>
      </c>
      <c r="AD87" s="747">
        <f>Recovery_OX!R82</f>
        <v>0</v>
      </c>
      <c r="AE87" s="702"/>
      <c r="AF87" s="749">
        <f>(AC87-AD87)*(1-Recovery_OX!U82)</f>
        <v>5.6491260048059239E-2</v>
      </c>
    </row>
    <row r="88" spans="2:32">
      <c r="B88" s="742">
        <f t="shared" si="6"/>
        <v>2071</v>
      </c>
      <c r="C88" s="743">
        <f>IF(Select2=1,Food!$K90,"")</f>
        <v>7.7449416374219892E-8</v>
      </c>
      <c r="D88" s="744">
        <f>IF(Select2=1,Paper!$K90,"")</f>
        <v>7.60187406854011E-3</v>
      </c>
      <c r="E88" s="735">
        <f>IF(Select2=1,Nappies!$K90,"")</f>
        <v>2.4415388598291181E-4</v>
      </c>
      <c r="F88" s="744">
        <f>IF(Select2=1,Garden!$K90,"")</f>
        <v>0</v>
      </c>
      <c r="G88" s="735">
        <f>IF(Select2=1,Wood!$K90,"")</f>
        <v>0</v>
      </c>
      <c r="H88" s="744">
        <f>IF(Select2=1,Textiles!$K90,"")</f>
        <v>1.799838289099145E-3</v>
      </c>
      <c r="I88" s="745">
        <f>Sludge!K90</f>
        <v>0</v>
      </c>
      <c r="J88" s="745" t="str">
        <f>IF(Select2=2,MSW!$K90,"")</f>
        <v/>
      </c>
      <c r="K88" s="745">
        <f>Industry!$K90</f>
        <v>0</v>
      </c>
      <c r="L88" s="746">
        <f t="shared" si="8"/>
        <v>9.6459436930385421E-3</v>
      </c>
      <c r="M88" s="747">
        <f>Recovery_OX!C83</f>
        <v>0</v>
      </c>
      <c r="N88" s="702"/>
      <c r="O88" s="748">
        <f>(L88-M88)*(1-Recovery_OX!F83)</f>
        <v>9.6459436930385421E-3</v>
      </c>
      <c r="P88" s="694"/>
      <c r="Q88" s="704"/>
      <c r="S88" s="742">
        <f t="shared" si="7"/>
        <v>2071</v>
      </c>
      <c r="T88" s="743">
        <f>IF(Select2=1,Food!$W90,"")</f>
        <v>5.1817183122805433E-8</v>
      </c>
      <c r="U88" s="744">
        <f>IF(Select2=1,Paper!$W90,"")</f>
        <v>1.5706351381281233E-2</v>
      </c>
      <c r="V88" s="735">
        <f>IF(Select2=1,Nappies!$W90,"")</f>
        <v>0</v>
      </c>
      <c r="W88" s="744">
        <f>IF(Select2=1,Garden!$W90,"")</f>
        <v>0</v>
      </c>
      <c r="X88" s="735">
        <f>IF(Select2=1,Wood!$W90,"")</f>
        <v>3.623970224142177E-2</v>
      </c>
      <c r="Y88" s="744">
        <f>IF(Select2=1,Textiles!$W90,"")</f>
        <v>1.9724255223004332E-3</v>
      </c>
      <c r="Z88" s="737">
        <f>Sludge!W90</f>
        <v>0</v>
      </c>
      <c r="AA88" s="737" t="str">
        <f>IF(Select2=2,MSW!$W90,"")</f>
        <v/>
      </c>
      <c r="AB88" s="745">
        <f>Industry!$W90</f>
        <v>0</v>
      </c>
      <c r="AC88" s="746">
        <f t="shared" si="5"/>
        <v>5.3918530962186559E-2</v>
      </c>
      <c r="AD88" s="747">
        <f>Recovery_OX!R83</f>
        <v>0</v>
      </c>
      <c r="AE88" s="702"/>
      <c r="AF88" s="749">
        <f>(AC88-AD88)*(1-Recovery_OX!U83)</f>
        <v>5.3918530962186559E-2</v>
      </c>
    </row>
    <row r="89" spans="2:32">
      <c r="B89" s="742">
        <f t="shared" si="6"/>
        <v>2072</v>
      </c>
      <c r="C89" s="743">
        <f>IF(Select2=1,Food!$K91,"")</f>
        <v>5.1915896349400482E-8</v>
      </c>
      <c r="D89" s="744">
        <f>IF(Select2=1,Paper!$K91,"")</f>
        <v>7.0879404012100869E-3</v>
      </c>
      <c r="E89" s="735">
        <f>IF(Select2=1,Nappies!$K91,"")</f>
        <v>2.0598404343906768E-4</v>
      </c>
      <c r="F89" s="744">
        <f>IF(Select2=1,Garden!$K91,"")</f>
        <v>0</v>
      </c>
      <c r="G89" s="735">
        <f>IF(Select2=1,Wood!$K91,"")</f>
        <v>0</v>
      </c>
      <c r="H89" s="744">
        <f>IF(Select2=1,Textiles!$K91,"")</f>
        <v>1.6781580975861383E-3</v>
      </c>
      <c r="I89" s="745">
        <f>Sludge!K91</f>
        <v>0</v>
      </c>
      <c r="J89" s="745" t="str">
        <f>IF(Select2=2,MSW!$K91,"")</f>
        <v/>
      </c>
      <c r="K89" s="745">
        <f>Industry!$K91</f>
        <v>0</v>
      </c>
      <c r="L89" s="746">
        <f t="shared" si="8"/>
        <v>8.9721344581316417E-3</v>
      </c>
      <c r="M89" s="747">
        <f>Recovery_OX!C84</f>
        <v>0</v>
      </c>
      <c r="N89" s="702"/>
      <c r="O89" s="748">
        <f>(L89-M89)*(1-Recovery_OX!F84)</f>
        <v>8.9721344581316417E-3</v>
      </c>
      <c r="P89" s="694"/>
      <c r="Q89" s="704"/>
      <c r="S89" s="742">
        <f t="shared" si="7"/>
        <v>2072</v>
      </c>
      <c r="T89" s="743">
        <f>IF(Select2=1,Food!$W91,"")</f>
        <v>3.4734096576316091E-8</v>
      </c>
      <c r="U89" s="744">
        <f>IF(Select2=1,Paper!$W91,"")</f>
        <v>1.4644504961177878E-2</v>
      </c>
      <c r="V89" s="735">
        <f>IF(Select2=1,Nappies!$W91,"")</f>
        <v>0</v>
      </c>
      <c r="W89" s="744">
        <f>IF(Select2=1,Garden!$W91,"")</f>
        <v>0</v>
      </c>
      <c r="X89" s="735">
        <f>IF(Select2=1,Wood!$W91,"")</f>
        <v>3.499325276787834E-2</v>
      </c>
      <c r="Y89" s="744">
        <f>IF(Select2=1,Textiles!$W91,"")</f>
        <v>1.8390773672176861E-3</v>
      </c>
      <c r="Z89" s="737">
        <f>Sludge!W91</f>
        <v>0</v>
      </c>
      <c r="AA89" s="737" t="str">
        <f>IF(Select2=2,MSW!$W91,"")</f>
        <v/>
      </c>
      <c r="AB89" s="745">
        <f>Industry!$W91</f>
        <v>0</v>
      </c>
      <c r="AC89" s="746">
        <f t="shared" si="5"/>
        <v>5.1476869830370482E-2</v>
      </c>
      <c r="AD89" s="747">
        <f>Recovery_OX!R84</f>
        <v>0</v>
      </c>
      <c r="AE89" s="702"/>
      <c r="AF89" s="749">
        <f>(AC89-AD89)*(1-Recovery_OX!U84)</f>
        <v>5.1476869830370482E-2</v>
      </c>
    </row>
    <row r="90" spans="2:32">
      <c r="B90" s="742">
        <f t="shared" si="6"/>
        <v>2073</v>
      </c>
      <c r="C90" s="743">
        <f>IF(Select2=1,Food!$K92,"")</f>
        <v>3.4800266030911607E-8</v>
      </c>
      <c r="D90" s="744">
        <f>IF(Select2=1,Paper!$K92,"")</f>
        <v>6.608751825949972E-3</v>
      </c>
      <c r="E90" s="735">
        <f>IF(Select2=1,Nappies!$K92,"")</f>
        <v>1.7378149022980258E-4</v>
      </c>
      <c r="F90" s="744">
        <f>IF(Select2=1,Garden!$K92,"")</f>
        <v>0</v>
      </c>
      <c r="G90" s="735">
        <f>IF(Select2=1,Wood!$K92,"")</f>
        <v>0</v>
      </c>
      <c r="H90" s="744">
        <f>IF(Select2=1,Textiles!$K92,"")</f>
        <v>1.5647042390144388E-3</v>
      </c>
      <c r="I90" s="745">
        <f>Sludge!K92</f>
        <v>0</v>
      </c>
      <c r="J90" s="745" t="str">
        <f>IF(Select2=2,MSW!$K92,"")</f>
        <v/>
      </c>
      <c r="K90" s="745">
        <f>Industry!$K92</f>
        <v>0</v>
      </c>
      <c r="L90" s="746">
        <f t="shared" si="8"/>
        <v>8.3472723554602439E-3</v>
      </c>
      <c r="M90" s="747">
        <f>Recovery_OX!C85</f>
        <v>0</v>
      </c>
      <c r="N90" s="702"/>
      <c r="O90" s="748">
        <f>(L90-M90)*(1-Recovery_OX!F85)</f>
        <v>8.3472723554602439E-3</v>
      </c>
      <c r="P90" s="694"/>
      <c r="Q90" s="704"/>
      <c r="S90" s="742">
        <f t="shared" si="7"/>
        <v>2073</v>
      </c>
      <c r="T90" s="743">
        <f>IF(Select2=1,Food!$W92,"")</f>
        <v>2.3282961216042544E-8</v>
      </c>
      <c r="U90" s="744">
        <f>IF(Select2=1,Paper!$W92,"")</f>
        <v>1.3654445921384255E-2</v>
      </c>
      <c r="V90" s="735">
        <f>IF(Select2=1,Nappies!$W92,"")</f>
        <v>0</v>
      </c>
      <c r="W90" s="744">
        <f>IF(Select2=1,Garden!$W92,"")</f>
        <v>0</v>
      </c>
      <c r="X90" s="735">
        <f>IF(Select2=1,Wood!$W92,"")</f>
        <v>3.3789674405133405E-2</v>
      </c>
      <c r="Y90" s="744">
        <f>IF(Select2=1,Textiles!$W92,"")</f>
        <v>1.7147443715226729E-3</v>
      </c>
      <c r="Z90" s="737">
        <f>Sludge!W92</f>
        <v>0</v>
      </c>
      <c r="AA90" s="737" t="str">
        <f>IF(Select2=2,MSW!$W92,"")</f>
        <v/>
      </c>
      <c r="AB90" s="745">
        <f>Industry!$W92</f>
        <v>0</v>
      </c>
      <c r="AC90" s="746">
        <f t="shared" si="5"/>
        <v>4.9158887981001549E-2</v>
      </c>
      <c r="AD90" s="747">
        <f>Recovery_OX!R85</f>
        <v>0</v>
      </c>
      <c r="AE90" s="702"/>
      <c r="AF90" s="749">
        <f>(AC90-AD90)*(1-Recovery_OX!U85)</f>
        <v>4.9158887981001549E-2</v>
      </c>
    </row>
    <row r="91" spans="2:32">
      <c r="B91" s="742">
        <f t="shared" si="6"/>
        <v>2074</v>
      </c>
      <c r="C91" s="743">
        <f>IF(Select2=1,Food!$K93,"")</f>
        <v>2.3327315927893163E-8</v>
      </c>
      <c r="D91" s="744">
        <f>IF(Select2=1,Paper!$K93,"")</f>
        <v>6.1619593598079047E-3</v>
      </c>
      <c r="E91" s="735">
        <f>IF(Select2=1,Nappies!$K93,"")</f>
        <v>1.4661332908257263E-4</v>
      </c>
      <c r="F91" s="744">
        <f>IF(Select2=1,Garden!$K93,"")</f>
        <v>0</v>
      </c>
      <c r="G91" s="735">
        <f>IF(Select2=1,Wood!$K93,"")</f>
        <v>0</v>
      </c>
      <c r="H91" s="744">
        <f>IF(Select2=1,Textiles!$K93,"")</f>
        <v>1.4589205624377024E-3</v>
      </c>
      <c r="I91" s="745">
        <f>Sludge!K93</f>
        <v>0</v>
      </c>
      <c r="J91" s="745" t="str">
        <f>IF(Select2=2,MSW!$K93,"")</f>
        <v/>
      </c>
      <c r="K91" s="745">
        <f>Industry!$K93</f>
        <v>0</v>
      </c>
      <c r="L91" s="746">
        <f t="shared" si="8"/>
        <v>7.7675165786441069E-3</v>
      </c>
      <c r="M91" s="747">
        <f>Recovery_OX!C86</f>
        <v>0</v>
      </c>
      <c r="N91" s="702"/>
      <c r="O91" s="748">
        <f>(L91-M91)*(1-Recovery_OX!F86)</f>
        <v>7.7675165786441069E-3</v>
      </c>
      <c r="P91" s="694"/>
      <c r="Q91" s="704"/>
      <c r="S91" s="742">
        <f t="shared" si="7"/>
        <v>2074</v>
      </c>
      <c r="T91" s="743">
        <f>IF(Select2=1,Food!$W93,"")</f>
        <v>1.5607035634183643E-8</v>
      </c>
      <c r="U91" s="744">
        <f>IF(Select2=1,Paper!$W93,"")</f>
        <v>1.2731320991338661E-2</v>
      </c>
      <c r="V91" s="735">
        <f>IF(Select2=1,Nappies!$W93,"")</f>
        <v>0</v>
      </c>
      <c r="W91" s="744">
        <f>IF(Select2=1,Garden!$W93,"")</f>
        <v>0</v>
      </c>
      <c r="X91" s="735">
        <f>IF(Select2=1,Wood!$W93,"")</f>
        <v>3.2627492619176475E-2</v>
      </c>
      <c r="Y91" s="744">
        <f>IF(Select2=1,Textiles!$W93,"")</f>
        <v>1.5988170547262496E-3</v>
      </c>
      <c r="Z91" s="737">
        <f>Sludge!W93</f>
        <v>0</v>
      </c>
      <c r="AA91" s="737" t="str">
        <f>IF(Select2=2,MSW!$W93,"")</f>
        <v/>
      </c>
      <c r="AB91" s="745">
        <f>Industry!$W93</f>
        <v>0</v>
      </c>
      <c r="AC91" s="746">
        <f t="shared" si="5"/>
        <v>4.6957646272277019E-2</v>
      </c>
      <c r="AD91" s="747">
        <f>Recovery_OX!R86</f>
        <v>0</v>
      </c>
      <c r="AE91" s="702"/>
      <c r="AF91" s="749">
        <f>(AC91-AD91)*(1-Recovery_OX!U86)</f>
        <v>4.6957646272277019E-2</v>
      </c>
    </row>
    <row r="92" spans="2:32">
      <c r="B92" s="742">
        <f t="shared" si="6"/>
        <v>2075</v>
      </c>
      <c r="C92" s="743">
        <f>IF(Select2=1,Food!$K94,"")</f>
        <v>1.5636767486673247E-8</v>
      </c>
      <c r="D92" s="744">
        <f>IF(Select2=1,Paper!$K94,"")</f>
        <v>5.7453728255965038E-3</v>
      </c>
      <c r="E92" s="735">
        <f>IF(Select2=1,Nappies!$K94,"")</f>
        <v>1.2369250739103387E-4</v>
      </c>
      <c r="F92" s="744">
        <f>IF(Select2=1,Garden!$K94,"")</f>
        <v>0</v>
      </c>
      <c r="G92" s="735">
        <f>IF(Select2=1,Wood!$K94,"")</f>
        <v>0</v>
      </c>
      <c r="H92" s="744">
        <f>IF(Select2=1,Textiles!$K94,"")</f>
        <v>1.3602885161506238E-3</v>
      </c>
      <c r="I92" s="745">
        <f>Sludge!K94</f>
        <v>0</v>
      </c>
      <c r="J92" s="745" t="str">
        <f>IF(Select2=2,MSW!$K94,"")</f>
        <v/>
      </c>
      <c r="K92" s="745">
        <f>Industry!$K94</f>
        <v>0</v>
      </c>
      <c r="L92" s="746">
        <f t="shared" si="8"/>
        <v>7.2293694859056484E-3</v>
      </c>
      <c r="M92" s="747">
        <f>Recovery_OX!C87</f>
        <v>0</v>
      </c>
      <c r="N92" s="702"/>
      <c r="O92" s="748">
        <f>(L92-M92)*(1-Recovery_OX!F87)</f>
        <v>7.2293694859056484E-3</v>
      </c>
      <c r="P92" s="694"/>
      <c r="Q92" s="704"/>
      <c r="S92" s="742">
        <f t="shared" si="7"/>
        <v>2075</v>
      </c>
      <c r="T92" s="743">
        <f>IF(Select2=1,Food!$W94,"")</f>
        <v>1.0461708844785843E-8</v>
      </c>
      <c r="U92" s="744">
        <f>IF(Select2=1,Paper!$W94,"")</f>
        <v>1.1870605011563036E-2</v>
      </c>
      <c r="V92" s="735">
        <f>IF(Select2=1,Nappies!$W94,"")</f>
        <v>0</v>
      </c>
      <c r="W92" s="744">
        <f>IF(Select2=1,Garden!$W94,"")</f>
        <v>0</v>
      </c>
      <c r="X92" s="735">
        <f>IF(Select2=1,Wood!$W94,"")</f>
        <v>3.1505283591980578E-2</v>
      </c>
      <c r="Y92" s="744">
        <f>IF(Select2=1,Textiles!$W94,"")</f>
        <v>1.4907271409869854E-3</v>
      </c>
      <c r="Z92" s="737">
        <f>Sludge!W94</f>
        <v>0</v>
      </c>
      <c r="AA92" s="737" t="str">
        <f>IF(Select2=2,MSW!$W94,"")</f>
        <v/>
      </c>
      <c r="AB92" s="745">
        <f>Industry!$W94</f>
        <v>0</v>
      </c>
      <c r="AC92" s="746">
        <f t="shared" si="5"/>
        <v>4.4866626206239442E-2</v>
      </c>
      <c r="AD92" s="747">
        <f>Recovery_OX!R87</f>
        <v>0</v>
      </c>
      <c r="AE92" s="702"/>
      <c r="AF92" s="749">
        <f>(AC92-AD92)*(1-Recovery_OX!U87)</f>
        <v>4.4866626206239442E-2</v>
      </c>
    </row>
    <row r="93" spans="2:32">
      <c r="B93" s="742">
        <f t="shared" si="6"/>
        <v>2076</v>
      </c>
      <c r="C93" s="743">
        <f>IF(Select2=1,Food!$K95,"")</f>
        <v>1.04816387015154E-8</v>
      </c>
      <c r="D93" s="744">
        <f>IF(Select2=1,Paper!$K95,"")</f>
        <v>5.3569501156417558E-3</v>
      </c>
      <c r="E93" s="735">
        <f>IF(Select2=1,Nappies!$K95,"")</f>
        <v>1.0435501656240345E-4</v>
      </c>
      <c r="F93" s="744">
        <f>IF(Select2=1,Garden!$K95,"")</f>
        <v>0</v>
      </c>
      <c r="G93" s="735">
        <f>IF(Select2=1,Wood!$K95,"")</f>
        <v>0</v>
      </c>
      <c r="H93" s="744">
        <f>IF(Select2=1,Textiles!$K95,"")</f>
        <v>1.2683246057478745E-3</v>
      </c>
      <c r="I93" s="745">
        <f>Sludge!K95</f>
        <v>0</v>
      </c>
      <c r="J93" s="745" t="str">
        <f>IF(Select2=2,MSW!$K95,"")</f>
        <v/>
      </c>
      <c r="K93" s="745">
        <f>Industry!$K95</f>
        <v>0</v>
      </c>
      <c r="L93" s="746">
        <f t="shared" si="8"/>
        <v>6.7296402195907348E-3</v>
      </c>
      <c r="M93" s="747">
        <f>Recovery_OX!C88</f>
        <v>0</v>
      </c>
      <c r="N93" s="702"/>
      <c r="O93" s="748">
        <f>(L93-M93)*(1-Recovery_OX!F88)</f>
        <v>6.7296402195907348E-3</v>
      </c>
      <c r="P93" s="694"/>
      <c r="Q93" s="704"/>
      <c r="S93" s="742">
        <f t="shared" si="7"/>
        <v>2076</v>
      </c>
      <c r="T93" s="743">
        <f>IF(Select2=1,Food!$W95,"")</f>
        <v>7.0126931544483013E-9</v>
      </c>
      <c r="U93" s="744">
        <f>IF(Select2=1,Paper!$W95,"")</f>
        <v>1.1068078751325951E-2</v>
      </c>
      <c r="V93" s="735">
        <f>IF(Select2=1,Nappies!$W95,"")</f>
        <v>0</v>
      </c>
      <c r="W93" s="744">
        <f>IF(Select2=1,Garden!$W95,"")</f>
        <v>0</v>
      </c>
      <c r="X93" s="735">
        <f>IF(Select2=1,Wood!$W95,"")</f>
        <v>3.0421672477147089E-2</v>
      </c>
      <c r="Y93" s="744">
        <f>IF(Select2=1,Textiles!$W95,"")</f>
        <v>1.3899447734223285E-3</v>
      </c>
      <c r="Z93" s="737">
        <f>Sludge!W95</f>
        <v>0</v>
      </c>
      <c r="AA93" s="737" t="str">
        <f>IF(Select2=2,MSW!$W95,"")</f>
        <v/>
      </c>
      <c r="AB93" s="745">
        <f>Industry!$W95</f>
        <v>0</v>
      </c>
      <c r="AC93" s="746">
        <f t="shared" si="5"/>
        <v>4.2879703014588523E-2</v>
      </c>
      <c r="AD93" s="747">
        <f>Recovery_OX!R88</f>
        <v>0</v>
      </c>
      <c r="AE93" s="702"/>
      <c r="AF93" s="749">
        <f>(AC93-AD93)*(1-Recovery_OX!U88)</f>
        <v>4.2879703014588523E-2</v>
      </c>
    </row>
    <row r="94" spans="2:32">
      <c r="B94" s="742">
        <f t="shared" si="6"/>
        <v>2077</v>
      </c>
      <c r="C94" s="743">
        <f>IF(Select2=1,Food!$K96,"")</f>
        <v>7.026052536928742E-9</v>
      </c>
      <c r="D94" s="744">
        <f>IF(Select2=1,Paper!$K96,"")</f>
        <v>4.9947871813688285E-3</v>
      </c>
      <c r="E94" s="735">
        <f>IF(Select2=1,Nappies!$K96,"")</f>
        <v>8.8040655909032685E-5</v>
      </c>
      <c r="F94" s="744">
        <f>IF(Select2=1,Garden!$K96,"")</f>
        <v>0</v>
      </c>
      <c r="G94" s="735">
        <f>IF(Select2=1,Wood!$K96,"")</f>
        <v>0</v>
      </c>
      <c r="H94" s="744">
        <f>IF(Select2=1,Textiles!$K96,"")</f>
        <v>1.1825780240339665E-3</v>
      </c>
      <c r="I94" s="745">
        <f>Sludge!K96</f>
        <v>0</v>
      </c>
      <c r="J94" s="745" t="str">
        <f>IF(Select2=2,MSW!$K96,"")</f>
        <v/>
      </c>
      <c r="K94" s="745">
        <f>Industry!$K96</f>
        <v>0</v>
      </c>
      <c r="L94" s="746">
        <f t="shared" si="8"/>
        <v>6.2654128873643649E-3</v>
      </c>
      <c r="M94" s="747">
        <f>Recovery_OX!C89</f>
        <v>0</v>
      </c>
      <c r="N94" s="702"/>
      <c r="O94" s="748">
        <f>(L94-M94)*(1-Recovery_OX!F89)</f>
        <v>6.2654128873643649E-3</v>
      </c>
      <c r="P94" s="694"/>
      <c r="Q94" s="704"/>
      <c r="S94" s="742">
        <f t="shared" si="7"/>
        <v>2077</v>
      </c>
      <c r="T94" s="743">
        <f>IF(Select2=1,Food!$W96,"")</f>
        <v>4.7007487981235974E-9</v>
      </c>
      <c r="U94" s="744">
        <f>IF(Select2=1,Paper!$W96,"")</f>
        <v>1.0319808225968664E-2</v>
      </c>
      <c r="V94" s="735">
        <f>IF(Select2=1,Nappies!$W96,"")</f>
        <v>0</v>
      </c>
      <c r="W94" s="744">
        <f>IF(Select2=1,Garden!$W96,"")</f>
        <v>0</v>
      </c>
      <c r="X94" s="735">
        <f>IF(Select2=1,Wood!$W96,"")</f>
        <v>2.9375331715546966E-2</v>
      </c>
      <c r="Y94" s="744">
        <f>IF(Select2=1,Textiles!$W96,"")</f>
        <v>1.2959759167495526E-3</v>
      </c>
      <c r="Z94" s="737">
        <f>Sludge!W96</f>
        <v>0</v>
      </c>
      <c r="AA94" s="737" t="str">
        <f>IF(Select2=2,MSW!$W96,"")</f>
        <v/>
      </c>
      <c r="AB94" s="745">
        <f>Industry!$W96</f>
        <v>0</v>
      </c>
      <c r="AC94" s="746">
        <f t="shared" si="5"/>
        <v>4.099112055901398E-2</v>
      </c>
      <c r="AD94" s="747">
        <f>Recovery_OX!R89</f>
        <v>0</v>
      </c>
      <c r="AE94" s="702"/>
      <c r="AF94" s="749">
        <f>(AC94-AD94)*(1-Recovery_OX!U89)</f>
        <v>4.099112055901398E-2</v>
      </c>
    </row>
    <row r="95" spans="2:32">
      <c r="B95" s="742">
        <f t="shared" si="6"/>
        <v>2078</v>
      </c>
      <c r="C95" s="743">
        <f>IF(Select2=1,Food!$K97,"")</f>
        <v>4.7097038600028945E-9</v>
      </c>
      <c r="D95" s="744">
        <f>IF(Select2=1,Paper!$K97,"")</f>
        <v>4.6571086996537465E-3</v>
      </c>
      <c r="E95" s="735">
        <f>IF(Select2=1,Nappies!$K97,"")</f>
        <v>7.4276803820519388E-5</v>
      </c>
      <c r="F95" s="744">
        <f>IF(Select2=1,Garden!$K97,"")</f>
        <v>0</v>
      </c>
      <c r="G95" s="735">
        <f>IF(Select2=1,Wood!$K97,"")</f>
        <v>0</v>
      </c>
      <c r="H95" s="744">
        <f>IF(Select2=1,Textiles!$K97,"")</f>
        <v>1.1026284411658584E-3</v>
      </c>
      <c r="I95" s="745">
        <f>Sludge!K97</f>
        <v>0</v>
      </c>
      <c r="J95" s="745" t="str">
        <f>IF(Select2=2,MSW!$K97,"")</f>
        <v/>
      </c>
      <c r="K95" s="745">
        <f>Industry!$K97</f>
        <v>0</v>
      </c>
      <c r="L95" s="746">
        <f t="shared" si="8"/>
        <v>5.8340186543439851E-3</v>
      </c>
      <c r="M95" s="747">
        <f>Recovery_OX!C90</f>
        <v>0</v>
      </c>
      <c r="N95" s="702"/>
      <c r="O95" s="748">
        <f>(L95-M95)*(1-Recovery_OX!F90)</f>
        <v>5.8340186543439851E-3</v>
      </c>
      <c r="P95" s="694"/>
      <c r="Q95" s="704"/>
      <c r="S95" s="742">
        <f t="shared" si="7"/>
        <v>2078</v>
      </c>
      <c r="T95" s="743">
        <f>IF(Select2=1,Food!$W97,"")</f>
        <v>3.1510061507601863E-9</v>
      </c>
      <c r="U95" s="744">
        <f>IF(Select2=1,Paper!$W97,"")</f>
        <v>9.6221254125077506E-3</v>
      </c>
      <c r="V95" s="735">
        <f>IF(Select2=1,Nappies!$W97,"")</f>
        <v>0</v>
      </c>
      <c r="W95" s="744">
        <f>IF(Select2=1,Garden!$W97,"")</f>
        <v>0</v>
      </c>
      <c r="X95" s="735">
        <f>IF(Select2=1,Wood!$W97,"")</f>
        <v>2.8364979408894826E-2</v>
      </c>
      <c r="Y95" s="744">
        <f>IF(Select2=1,Textiles!$W97,"")</f>
        <v>1.2083599355242284E-3</v>
      </c>
      <c r="Z95" s="737">
        <f>Sludge!W97</f>
        <v>0</v>
      </c>
      <c r="AA95" s="737" t="str">
        <f>IF(Select2=2,MSW!$W97,"")</f>
        <v/>
      </c>
      <c r="AB95" s="745">
        <f>Industry!$W97</f>
        <v>0</v>
      </c>
      <c r="AC95" s="746">
        <f t="shared" si="5"/>
        <v>3.9195467907932956E-2</v>
      </c>
      <c r="AD95" s="747">
        <f>Recovery_OX!R90</f>
        <v>0</v>
      </c>
      <c r="AE95" s="702"/>
      <c r="AF95" s="749">
        <f>(AC95-AD95)*(1-Recovery_OX!U90)</f>
        <v>3.9195467907932956E-2</v>
      </c>
    </row>
    <row r="96" spans="2:32">
      <c r="B96" s="742">
        <f t="shared" si="6"/>
        <v>2079</v>
      </c>
      <c r="C96" s="743">
        <f>IF(Select2=1,Food!$K98,"")</f>
        <v>3.1570089082513683E-9</v>
      </c>
      <c r="D96" s="744">
        <f>IF(Select2=1,Paper!$K98,"")</f>
        <v>4.3422593701873801E-3</v>
      </c>
      <c r="E96" s="735">
        <f>IF(Select2=1,Nappies!$K98,"")</f>
        <v>6.2664726072604067E-5</v>
      </c>
      <c r="F96" s="744">
        <f>IF(Select2=1,Garden!$K98,"")</f>
        <v>0</v>
      </c>
      <c r="G96" s="735">
        <f>IF(Select2=1,Wood!$K98,"")</f>
        <v>0</v>
      </c>
      <c r="H96" s="744">
        <f>IF(Select2=1,Textiles!$K98,"")</f>
        <v>1.0280839441955758E-3</v>
      </c>
      <c r="I96" s="745">
        <f>Sludge!K98</f>
        <v>0</v>
      </c>
      <c r="J96" s="745" t="str">
        <f>IF(Select2=2,MSW!$K98,"")</f>
        <v/>
      </c>
      <c r="K96" s="745">
        <f>Industry!$K98</f>
        <v>0</v>
      </c>
      <c r="L96" s="746">
        <f t="shared" si="8"/>
        <v>5.433011197464469E-3</v>
      </c>
      <c r="M96" s="747">
        <f>Recovery_OX!C91</f>
        <v>0</v>
      </c>
      <c r="N96" s="702"/>
      <c r="O96" s="748">
        <f>(L96-M96)*(1-Recovery_OX!F91)</f>
        <v>5.433011197464469E-3</v>
      </c>
      <c r="P96" s="692"/>
      <c r="S96" s="742">
        <f t="shared" si="7"/>
        <v>2079</v>
      </c>
      <c r="T96" s="743">
        <f>IF(Select2=1,Food!$W98,"")</f>
        <v>2.1121825880361506E-9</v>
      </c>
      <c r="U96" s="744">
        <f>IF(Select2=1,Paper!$W98,"")</f>
        <v>8.971610268982199E-3</v>
      </c>
      <c r="V96" s="735">
        <f>IF(Select2=1,Nappies!$W98,"")</f>
        <v>0</v>
      </c>
      <c r="W96" s="744">
        <f>IF(Select2=1,Garden!$W98,"")</f>
        <v>0</v>
      </c>
      <c r="X96" s="735">
        <f>IF(Select2=1,Wood!$W98,"")</f>
        <v>2.7389377749263189E-2</v>
      </c>
      <c r="Y96" s="744">
        <f>IF(Select2=1,Textiles!$W98,"")</f>
        <v>1.1266673361047406E-3</v>
      </c>
      <c r="Z96" s="737">
        <f>Sludge!W98</f>
        <v>0</v>
      </c>
      <c r="AA96" s="737" t="str">
        <f>IF(Select2=2,MSW!$W98,"")</f>
        <v/>
      </c>
      <c r="AB96" s="745">
        <f>Industry!$W98</f>
        <v>0</v>
      </c>
      <c r="AC96" s="746">
        <f t="shared" si="5"/>
        <v>3.7487657466532716E-2</v>
      </c>
      <c r="AD96" s="747">
        <f>Recovery_OX!R91</f>
        <v>0</v>
      </c>
      <c r="AE96" s="702"/>
      <c r="AF96" s="749">
        <f>(AC96-AD96)*(1-Recovery_OX!U91)</f>
        <v>3.7487657466532716E-2</v>
      </c>
    </row>
    <row r="97" spans="2:32" ht="13.5" thickBot="1">
      <c r="B97" s="750">
        <f t="shared" si="6"/>
        <v>2080</v>
      </c>
      <c r="C97" s="751">
        <f>IF(Select2=1,Food!$K99,"")</f>
        <v>2.1162063567139808E-9</v>
      </c>
      <c r="D97" s="752">
        <f>IF(Select2=1,Paper!$K99,"")</f>
        <v>4.0486958011914081E-3</v>
      </c>
      <c r="E97" s="752">
        <f>IF(Select2=1,Nappies!$K99,"")</f>
        <v>5.286802462910613E-5</v>
      </c>
      <c r="F97" s="752">
        <f>IF(Select2=1,Garden!$K99,"")</f>
        <v>0</v>
      </c>
      <c r="G97" s="752">
        <f>IF(Select2=1,Wood!$K99,"")</f>
        <v>0</v>
      </c>
      <c r="H97" s="752">
        <f>IF(Select2=1,Textiles!$K99,"")</f>
        <v>9.5857911591248695E-4</v>
      </c>
      <c r="I97" s="753">
        <f>Sludge!K99</f>
        <v>0</v>
      </c>
      <c r="J97" s="753" t="str">
        <f>IF(Select2=2,MSW!$K99,"")</f>
        <v/>
      </c>
      <c r="K97" s="745">
        <f>Industry!$K99</f>
        <v>0</v>
      </c>
      <c r="L97" s="746">
        <f t="shared" si="8"/>
        <v>5.0601450579393584E-3</v>
      </c>
      <c r="M97" s="754">
        <f>Recovery_OX!C92</f>
        <v>0</v>
      </c>
      <c r="N97" s="702"/>
      <c r="O97" s="755">
        <f>(L97-M97)*(1-Recovery_OX!F92)</f>
        <v>5.0601450579393584E-3</v>
      </c>
      <c r="S97" s="750">
        <f t="shared" si="7"/>
        <v>2080</v>
      </c>
      <c r="T97" s="751">
        <f>IF(Select2=1,Food!$W99,"")</f>
        <v>1.4158383296480683E-9</v>
      </c>
      <c r="U97" s="752">
        <f>IF(Select2=1,Paper!$W99,"")</f>
        <v>8.3650739694037454E-3</v>
      </c>
      <c r="V97" s="752">
        <f>IF(Select2=1,Nappies!$W99,"")</f>
        <v>0</v>
      </c>
      <c r="W97" s="752">
        <f>IF(Select2=1,Garden!$W99,"")</f>
        <v>0</v>
      </c>
      <c r="X97" s="752">
        <f>IF(Select2=1,Wood!$W99,"")</f>
        <v>2.6447331502613011E-2</v>
      </c>
      <c r="Y97" s="752">
        <f>IF(Select2=1,Textiles!$W99,"")</f>
        <v>1.050497661273958E-3</v>
      </c>
      <c r="Z97" s="753">
        <f>Sludge!W99</f>
        <v>0</v>
      </c>
      <c r="AA97" s="753" t="str">
        <f>IF(Select2=2,MSW!$W99,"")</f>
        <v/>
      </c>
      <c r="AB97" s="745">
        <f>Industry!$W99</f>
        <v>0</v>
      </c>
      <c r="AC97" s="756">
        <f t="shared" si="5"/>
        <v>3.5862904549129042E-2</v>
      </c>
      <c r="AD97" s="754">
        <f>Recovery_OX!R92</f>
        <v>0</v>
      </c>
      <c r="AE97" s="702"/>
      <c r="AF97" s="757">
        <f>(AC97-AD97)*(1-Recovery_OX!U92)</f>
        <v>3.5862904549129042E-2</v>
      </c>
    </row>
  </sheetData>
  <mergeCells count="2">
    <mergeCell ref="C12:M12"/>
    <mergeCell ref="T12:AD12"/>
  </mergeCells>
  <phoneticPr fontId="16" type="noConversion"/>
  <dataValidations count="1">
    <dataValidation type="whole" allowBlank="1" showInputMessage="1" showErrorMessage="1" error="Please enter a year between 1900 and 2000" sqref="S17 B17">
      <formula1>1900</formula1>
      <formula2>2000</formula2>
    </dataValidation>
  </dataValidation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O92"/>
  <sheetViews>
    <sheetView showGridLines="0" workbookViewId="0">
      <selection activeCell="P26" sqref="P26"/>
    </sheetView>
  </sheetViews>
  <sheetFormatPr defaultColWidth="11.42578125" defaultRowHeight="12.75"/>
  <cols>
    <col min="1" max="1" width="2.85546875" style="6" customWidth="1"/>
    <col min="2" max="2" width="7.28515625" style="6" customWidth="1"/>
    <col min="3" max="3" width="9.42578125" style="6" customWidth="1"/>
    <col min="4" max="4" width="9.140625" style="6" customWidth="1"/>
    <col min="5" max="5" width="8.85546875" style="6" customWidth="1"/>
    <col min="6" max="6" width="9.7109375" style="6" customWidth="1"/>
    <col min="7" max="7" width="9.42578125" style="6" customWidth="1"/>
    <col min="8" max="8" width="10.28515625" style="6" customWidth="1"/>
    <col min="9" max="9" width="2.42578125" style="6" customWidth="1"/>
    <col min="10" max="10" width="9.140625" style="6" customWidth="1"/>
    <col min="11" max="11" width="9.28515625" style="6" customWidth="1"/>
    <col min="12" max="12" width="8.85546875" style="6" customWidth="1"/>
    <col min="13" max="13" width="8.28515625" style="470" customWidth="1"/>
    <col min="14" max="14" width="9.85546875" style="470" customWidth="1"/>
    <col min="15" max="15" width="8.7109375" style="470" customWidth="1"/>
    <col min="16" max="16384" width="11.42578125" style="6"/>
  </cols>
  <sheetData>
    <row r="2" spans="2:15" s="468" customFormat="1">
      <c r="B2" s="468" t="s">
        <v>282</v>
      </c>
      <c r="M2" s="469"/>
      <c r="N2" s="469"/>
      <c r="O2" s="469"/>
    </row>
    <row r="4" spans="2:15">
      <c r="B4" s="6" t="s">
        <v>283</v>
      </c>
    </row>
    <row r="7" spans="2:15" ht="13.5" thickBot="1"/>
    <row r="8" spans="2:15" ht="13.5" thickBot="1">
      <c r="B8" s="471"/>
      <c r="C8" s="816" t="s">
        <v>284</v>
      </c>
      <c r="D8" s="817"/>
      <c r="E8" s="818"/>
      <c r="F8" s="816" t="s">
        <v>285</v>
      </c>
      <c r="G8" s="817"/>
      <c r="H8" s="819"/>
      <c r="I8" s="472"/>
      <c r="J8" s="816" t="s">
        <v>286</v>
      </c>
      <c r="K8" s="817"/>
      <c r="L8" s="819"/>
      <c r="M8" s="820" t="s">
        <v>287</v>
      </c>
      <c r="N8" s="821"/>
      <c r="O8" s="822"/>
    </row>
    <row r="9" spans="2:15" ht="26.25" thickBot="1">
      <c r="B9" s="174" t="s">
        <v>1</v>
      </c>
      <c r="C9" s="473" t="s">
        <v>288</v>
      </c>
      <c r="D9" s="474" t="s">
        <v>289</v>
      </c>
      <c r="E9" s="475" t="s">
        <v>290</v>
      </c>
      <c r="F9" s="476" t="s">
        <v>288</v>
      </c>
      <c r="G9" s="477" t="s">
        <v>289</v>
      </c>
      <c r="H9" s="478" t="s">
        <v>290</v>
      </c>
      <c r="I9" s="472"/>
      <c r="J9" s="476" t="s">
        <v>261</v>
      </c>
      <c r="K9" s="477" t="s">
        <v>262</v>
      </c>
      <c r="L9" s="478" t="s">
        <v>2</v>
      </c>
      <c r="M9" s="479" t="s">
        <v>261</v>
      </c>
      <c r="N9" s="480" t="s">
        <v>262</v>
      </c>
      <c r="O9" s="481" t="s">
        <v>2</v>
      </c>
    </row>
    <row r="10" spans="2:15" ht="13.5" thickBot="1">
      <c r="B10" s="143"/>
      <c r="C10" s="482" t="s">
        <v>15</v>
      </c>
      <c r="D10" s="483" t="s">
        <v>15</v>
      </c>
      <c r="E10" s="484" t="s">
        <v>15</v>
      </c>
      <c r="F10" s="485" t="s">
        <v>15</v>
      </c>
      <c r="G10" s="483" t="s">
        <v>15</v>
      </c>
      <c r="H10" s="484" t="s">
        <v>15</v>
      </c>
      <c r="I10" s="486"/>
      <c r="J10" s="485" t="s">
        <v>15</v>
      </c>
      <c r="K10" s="483" t="s">
        <v>15</v>
      </c>
      <c r="L10" s="484" t="s">
        <v>15</v>
      </c>
      <c r="M10" s="485" t="s">
        <v>15</v>
      </c>
      <c r="N10" s="483" t="s">
        <v>15</v>
      </c>
      <c r="O10" s="484" t="s">
        <v>15</v>
      </c>
    </row>
    <row r="11" spans="2:15" ht="13.5" thickBot="1">
      <c r="B11" s="487"/>
      <c r="C11" s="488"/>
      <c r="D11" s="489"/>
      <c r="E11" s="490"/>
      <c r="F11" s="491"/>
      <c r="G11" s="492"/>
      <c r="H11" s="43"/>
      <c r="I11" s="493"/>
      <c r="J11" s="494"/>
      <c r="K11" s="495"/>
      <c r="L11" s="496"/>
      <c r="M11" s="497"/>
      <c r="N11" s="489"/>
      <c r="O11" s="490"/>
    </row>
    <row r="12" spans="2:15">
      <c r="B12" s="498">
        <f>year</f>
        <v>1950</v>
      </c>
      <c r="C12" s="499">
        <f>Stored_C!E18</f>
        <v>0</v>
      </c>
      <c r="D12" s="500">
        <f>Stored_C!F18+Stored_C!L18</f>
        <v>0.18769444024320001</v>
      </c>
      <c r="E12" s="501">
        <f>Stored_C!G18+Stored_C!M18</f>
        <v>0.15484791320064001</v>
      </c>
      <c r="F12" s="502">
        <f>F11+HWP!C12</f>
        <v>0</v>
      </c>
      <c r="G12" s="500">
        <f>G11+HWP!D12</f>
        <v>0.18769444024320001</v>
      </c>
      <c r="H12" s="501">
        <f>H11+HWP!E12</f>
        <v>0.15484791320064001</v>
      </c>
      <c r="I12" s="493"/>
      <c r="J12" s="503">
        <f>Garden!J19</f>
        <v>0</v>
      </c>
      <c r="K12" s="504">
        <f>Paper!J19</f>
        <v>0</v>
      </c>
      <c r="L12" s="505">
        <f>Wood!J19</f>
        <v>0</v>
      </c>
      <c r="M12" s="506">
        <f>J12*(1-Recovery_OX!E12)*(1-Recovery_OX!F12)</f>
        <v>0</v>
      </c>
      <c r="N12" s="504">
        <f>K12*(1-Recovery_OX!E12)*(1-Recovery_OX!F12)</f>
        <v>0</v>
      </c>
      <c r="O12" s="505">
        <f>L12*(1-Recovery_OX!E12)*(1-Recovery_OX!F12)</f>
        <v>0</v>
      </c>
    </row>
    <row r="13" spans="2:15">
      <c r="B13" s="507">
        <f>B12+1</f>
        <v>1951</v>
      </c>
      <c r="C13" s="508">
        <f>Stored_C!E19</f>
        <v>0</v>
      </c>
      <c r="D13" s="509">
        <f>Stored_C!F19+Stored_C!L19</f>
        <v>0.19316928552768003</v>
      </c>
      <c r="E13" s="510">
        <f>Stored_C!G19+Stored_C!M19</f>
        <v>0.15936466056033605</v>
      </c>
      <c r="F13" s="511">
        <f>F12+HWP!C13</f>
        <v>0</v>
      </c>
      <c r="G13" s="509">
        <f>G12+HWP!D13</f>
        <v>0.38086372577088001</v>
      </c>
      <c r="H13" s="510">
        <f>H12+HWP!E13</f>
        <v>0.31421257376097605</v>
      </c>
      <c r="I13" s="493"/>
      <c r="J13" s="512">
        <f>Garden!J20</f>
        <v>0</v>
      </c>
      <c r="K13" s="513">
        <f>Paper!J20</f>
        <v>6.1416231987912601E-3</v>
      </c>
      <c r="L13" s="514">
        <f>Wood!J20</f>
        <v>0</v>
      </c>
      <c r="M13" s="515">
        <f>J13*(1-Recovery_OX!E13)*(1-Recovery_OX!F13)</f>
        <v>0</v>
      </c>
      <c r="N13" s="513">
        <f>K13*(1-Recovery_OX!E13)*(1-Recovery_OX!F13)</f>
        <v>6.1416231987912601E-3</v>
      </c>
      <c r="O13" s="514">
        <f>L13*(1-Recovery_OX!E13)*(1-Recovery_OX!F13)</f>
        <v>0</v>
      </c>
    </row>
    <row r="14" spans="2:15">
      <c r="B14" s="507">
        <f t="shared" ref="B14:B77" si="0">B13+1</f>
        <v>1952</v>
      </c>
      <c r="C14" s="508">
        <f>Stored_C!E20</f>
        <v>0</v>
      </c>
      <c r="D14" s="509">
        <f>Stored_C!F20+Stored_C!L20</f>
        <v>0.2017664339328</v>
      </c>
      <c r="E14" s="510">
        <f>Stored_C!G20+Stored_C!M20</f>
        <v>0.16645730799456002</v>
      </c>
      <c r="F14" s="511">
        <f>F13+HWP!C14</f>
        <v>0</v>
      </c>
      <c r="G14" s="509">
        <f>G13+HWP!D14</f>
        <v>0.58263015970368004</v>
      </c>
      <c r="H14" s="510">
        <f>H13+HWP!E14</f>
        <v>0.48066988175553604</v>
      </c>
      <c r="I14" s="493"/>
      <c r="J14" s="512">
        <f>Garden!J21</f>
        <v>0</v>
      </c>
      <c r="K14" s="513">
        <f>Paper!J21</f>
        <v>1.2047179267659414E-2</v>
      </c>
      <c r="L14" s="514">
        <f>Wood!J21</f>
        <v>0</v>
      </c>
      <c r="M14" s="515">
        <f>J14*(1-Recovery_OX!E14)*(1-Recovery_OX!F14)</f>
        <v>0</v>
      </c>
      <c r="N14" s="513">
        <f>K14*(1-Recovery_OX!E14)*(1-Recovery_OX!F14)</f>
        <v>1.2047179267659414E-2</v>
      </c>
      <c r="O14" s="514">
        <f>L14*(1-Recovery_OX!E14)*(1-Recovery_OX!F14)</f>
        <v>0</v>
      </c>
    </row>
    <row r="15" spans="2:15">
      <c r="B15" s="507">
        <f t="shared" si="0"/>
        <v>1953</v>
      </c>
      <c r="C15" s="508">
        <f>Stored_C!E21</f>
        <v>0</v>
      </c>
      <c r="D15" s="509">
        <f>Stored_C!F21+Stored_C!L21</f>
        <v>0.20808865243583999</v>
      </c>
      <c r="E15" s="510">
        <f>Stored_C!G21+Stored_C!M21</f>
        <v>0.17167313825956798</v>
      </c>
      <c r="F15" s="511">
        <f>F14+HWP!C15</f>
        <v>0</v>
      </c>
      <c r="G15" s="509">
        <f>G14+HWP!D15</f>
        <v>0.79071881213952</v>
      </c>
      <c r="H15" s="510">
        <f>H14+HWP!E15</f>
        <v>0.65234302001510402</v>
      </c>
      <c r="I15" s="493"/>
      <c r="J15" s="512">
        <f>Garden!J22</f>
        <v>0</v>
      </c>
      <c r="K15" s="513">
        <f>Paper!J22</f>
        <v>1.7834793905252107E-2</v>
      </c>
      <c r="L15" s="514">
        <f>Wood!J22</f>
        <v>0</v>
      </c>
      <c r="M15" s="515">
        <f>J15*(1-Recovery_OX!E15)*(1-Recovery_OX!F15)</f>
        <v>0</v>
      </c>
      <c r="N15" s="513">
        <f>K15*(1-Recovery_OX!E15)*(1-Recovery_OX!F15)</f>
        <v>1.7834793905252107E-2</v>
      </c>
      <c r="O15" s="514">
        <f>L15*(1-Recovery_OX!E15)*(1-Recovery_OX!F15)</f>
        <v>0</v>
      </c>
    </row>
    <row r="16" spans="2:15">
      <c r="B16" s="507">
        <f t="shared" si="0"/>
        <v>1954</v>
      </c>
      <c r="C16" s="508">
        <f>Stored_C!E22</f>
        <v>0</v>
      </c>
      <c r="D16" s="509">
        <f>Stored_C!F22+Stored_C!L22</f>
        <v>0.21416022150336006</v>
      </c>
      <c r="E16" s="510">
        <f>Stored_C!G22+Stored_C!M22</f>
        <v>0.17668218274027203</v>
      </c>
      <c r="F16" s="511">
        <f>F15+HWP!C16</f>
        <v>0</v>
      </c>
      <c r="G16" s="509">
        <f>G15+HWP!D16</f>
        <v>1.0048790336428801</v>
      </c>
      <c r="H16" s="510">
        <f>H15+HWP!E16</f>
        <v>0.82902520275537606</v>
      </c>
      <c r="I16" s="493"/>
      <c r="J16" s="512">
        <f>Garden!J23</f>
        <v>0</v>
      </c>
      <c r="K16" s="513">
        <f>Paper!J23</f>
        <v>2.3438001810012613E-2</v>
      </c>
      <c r="L16" s="514">
        <f>Wood!J23</f>
        <v>0</v>
      </c>
      <c r="M16" s="515">
        <f>J16*(1-Recovery_OX!E16)*(1-Recovery_OX!F16)</f>
        <v>0</v>
      </c>
      <c r="N16" s="513">
        <f>K16*(1-Recovery_OX!E16)*(1-Recovery_OX!F16)</f>
        <v>2.3438001810012613E-2</v>
      </c>
      <c r="O16" s="514">
        <f>L16*(1-Recovery_OX!E16)*(1-Recovery_OX!F16)</f>
        <v>0</v>
      </c>
    </row>
    <row r="17" spans="2:15">
      <c r="B17" s="507">
        <f t="shared" si="0"/>
        <v>1955</v>
      </c>
      <c r="C17" s="508">
        <f>Stored_C!E23</f>
        <v>0</v>
      </c>
      <c r="D17" s="509">
        <f>Stored_C!F23+Stored_C!L23</f>
        <v>0.22501194249599998</v>
      </c>
      <c r="E17" s="510">
        <f>Stored_C!G23+Stored_C!M23</f>
        <v>0.18563485255919998</v>
      </c>
      <c r="F17" s="511">
        <f>F16+HWP!C17</f>
        <v>0</v>
      </c>
      <c r="G17" s="509">
        <f>G16+HWP!D17</f>
        <v>1.2298909761388801</v>
      </c>
      <c r="H17" s="510">
        <f>H16+HWP!E17</f>
        <v>1.0146600553145761</v>
      </c>
      <c r="I17" s="493"/>
      <c r="J17" s="512">
        <f>Garden!J24</f>
        <v>0</v>
      </c>
      <c r="K17" s="513">
        <f>Paper!J24</f>
        <v>2.8861068418506265E-2</v>
      </c>
      <c r="L17" s="514">
        <f>Wood!J24</f>
        <v>0</v>
      </c>
      <c r="M17" s="515">
        <f>J17*(1-Recovery_OX!E17)*(1-Recovery_OX!F17)</f>
        <v>0</v>
      </c>
      <c r="N17" s="513">
        <f>K17*(1-Recovery_OX!E17)*(1-Recovery_OX!F17)</f>
        <v>2.8861068418506265E-2</v>
      </c>
      <c r="O17" s="514">
        <f>L17*(1-Recovery_OX!E17)*(1-Recovery_OX!F17)</f>
        <v>0</v>
      </c>
    </row>
    <row r="18" spans="2:15">
      <c r="B18" s="507">
        <f t="shared" si="0"/>
        <v>1956</v>
      </c>
      <c r="C18" s="508">
        <f>Stored_C!E24</f>
        <v>0</v>
      </c>
      <c r="D18" s="509">
        <f>Stored_C!F24+Stored_C!L24</f>
        <v>0.23125782106944004</v>
      </c>
      <c r="E18" s="510">
        <f>Stored_C!G24+Stored_C!M24</f>
        <v>0.19078770238228804</v>
      </c>
      <c r="F18" s="511">
        <f>F17+HWP!C18</f>
        <v>0</v>
      </c>
      <c r="G18" s="509">
        <f>G17+HWP!D18</f>
        <v>1.4611487972083201</v>
      </c>
      <c r="H18" s="510">
        <f>H17+HWP!E18</f>
        <v>1.2054477576968643</v>
      </c>
      <c r="I18" s="493"/>
      <c r="J18" s="512">
        <f>Garden!J25</f>
        <v>0</v>
      </c>
      <c r="K18" s="513">
        <f>Paper!J25</f>
        <v>3.4272585616623323E-2</v>
      </c>
      <c r="L18" s="514">
        <f>Wood!J25</f>
        <v>0</v>
      </c>
      <c r="M18" s="515">
        <f>J18*(1-Recovery_OX!E18)*(1-Recovery_OX!F18)</f>
        <v>0</v>
      </c>
      <c r="N18" s="513">
        <f>K18*(1-Recovery_OX!E18)*(1-Recovery_OX!F18)</f>
        <v>3.4272585616623323E-2</v>
      </c>
      <c r="O18" s="514">
        <f>L18*(1-Recovery_OX!E18)*(1-Recovery_OX!F18)</f>
        <v>0</v>
      </c>
    </row>
    <row r="19" spans="2:15">
      <c r="B19" s="507">
        <f t="shared" si="0"/>
        <v>1957</v>
      </c>
      <c r="C19" s="508">
        <f>Stored_C!E25</f>
        <v>0</v>
      </c>
      <c r="D19" s="509">
        <f>Stored_C!F25+Stored_C!L25</f>
        <v>0.23757749490816005</v>
      </c>
      <c r="E19" s="510">
        <f>Stored_C!G25+Stored_C!M25</f>
        <v>0.19600143329923203</v>
      </c>
      <c r="F19" s="511">
        <f>F18+HWP!C19</f>
        <v>0</v>
      </c>
      <c r="G19" s="509">
        <f>G18+HWP!D19</f>
        <v>1.6987262921164801</v>
      </c>
      <c r="H19" s="510">
        <f>H18+HWP!E19</f>
        <v>1.4014491909960962</v>
      </c>
      <c r="I19" s="493"/>
      <c r="J19" s="512">
        <f>Garden!J26</f>
        <v>0</v>
      </c>
      <c r="K19" s="513">
        <f>Paper!J26</f>
        <v>3.9522624644436302E-2</v>
      </c>
      <c r="L19" s="514">
        <f>Wood!J26</f>
        <v>0</v>
      </c>
      <c r="M19" s="515">
        <f>J19*(1-Recovery_OX!E19)*(1-Recovery_OX!F19)</f>
        <v>0</v>
      </c>
      <c r="N19" s="513">
        <f>K19*(1-Recovery_OX!E19)*(1-Recovery_OX!F19)</f>
        <v>3.9522624644436302E-2</v>
      </c>
      <c r="O19" s="514">
        <f>L19*(1-Recovery_OX!E19)*(1-Recovery_OX!F19)</f>
        <v>0</v>
      </c>
    </row>
    <row r="20" spans="2:15">
      <c r="B20" s="507">
        <f t="shared" si="0"/>
        <v>1958</v>
      </c>
      <c r="C20" s="508">
        <f>Stored_C!E26</f>
        <v>0</v>
      </c>
      <c r="D20" s="509">
        <f>Stored_C!F26+Stored_C!L26</f>
        <v>0.24394170037248003</v>
      </c>
      <c r="E20" s="510">
        <f>Stored_C!G26+Stored_C!M26</f>
        <v>0.20125190280729599</v>
      </c>
      <c r="F20" s="511">
        <f>F19+HWP!C20</f>
        <v>0</v>
      </c>
      <c r="G20" s="509">
        <f>G19+HWP!D20</f>
        <v>1.94266799248896</v>
      </c>
      <c r="H20" s="510">
        <f>H19+HWP!E20</f>
        <v>1.6027010938033923</v>
      </c>
      <c r="I20" s="493"/>
      <c r="J20" s="512">
        <f>Garden!J27</f>
        <v>0</v>
      </c>
      <c r="K20" s="513">
        <f>Paper!J27</f>
        <v>4.4624517107949416E-2</v>
      </c>
      <c r="L20" s="514">
        <f>Wood!J27</f>
        <v>0</v>
      </c>
      <c r="M20" s="515">
        <f>J20*(1-Recovery_OX!E20)*(1-Recovery_OX!F20)</f>
        <v>0</v>
      </c>
      <c r="N20" s="513">
        <f>K20*(1-Recovery_OX!E20)*(1-Recovery_OX!F20)</f>
        <v>4.4624517107949416E-2</v>
      </c>
      <c r="O20" s="514">
        <f>L20*(1-Recovery_OX!E20)*(1-Recovery_OX!F20)</f>
        <v>0</v>
      </c>
    </row>
    <row r="21" spans="2:15">
      <c r="B21" s="507">
        <f t="shared" si="0"/>
        <v>1959</v>
      </c>
      <c r="C21" s="508">
        <f>Stored_C!E27</f>
        <v>0</v>
      </c>
      <c r="D21" s="509">
        <f>Stored_C!F27+Stored_C!L27</f>
        <v>0.25031608449408005</v>
      </c>
      <c r="E21" s="510">
        <f>Stored_C!G27+Stored_C!M27</f>
        <v>0.20651076970761603</v>
      </c>
      <c r="F21" s="511">
        <f>F20+HWP!C21</f>
        <v>0</v>
      </c>
      <c r="G21" s="509">
        <f>G20+HWP!D21</f>
        <v>2.19298407698304</v>
      </c>
      <c r="H21" s="510">
        <f>H20+HWP!E21</f>
        <v>1.8092118635110084</v>
      </c>
      <c r="I21" s="493"/>
      <c r="J21" s="512">
        <f>Garden!J28</f>
        <v>0</v>
      </c>
      <c r="K21" s="513">
        <f>Paper!J28</f>
        <v>4.9589735767209542E-2</v>
      </c>
      <c r="L21" s="514">
        <f>Wood!J28</f>
        <v>0</v>
      </c>
      <c r="M21" s="515">
        <f>J21*(1-Recovery_OX!E21)*(1-Recovery_OX!F21)</f>
        <v>0</v>
      </c>
      <c r="N21" s="513">
        <f>K21*(1-Recovery_OX!E21)*(1-Recovery_OX!F21)</f>
        <v>4.9589735767209542E-2</v>
      </c>
      <c r="O21" s="514">
        <f>L21*(1-Recovery_OX!E21)*(1-Recovery_OX!F21)</f>
        <v>0</v>
      </c>
    </row>
    <row r="22" spans="2:15">
      <c r="B22" s="507">
        <f t="shared" si="0"/>
        <v>1960</v>
      </c>
      <c r="C22" s="508">
        <f>Stored_C!E28</f>
        <v>0</v>
      </c>
      <c r="D22" s="509">
        <f>Stored_C!F28+Stored_C!L28</f>
        <v>0.32525517638592005</v>
      </c>
      <c r="E22" s="510">
        <f>Stored_C!G28+Stored_C!M28</f>
        <v>0.26833552051838405</v>
      </c>
      <c r="F22" s="511">
        <f>F21+HWP!C22</f>
        <v>0</v>
      </c>
      <c r="G22" s="509">
        <f>G21+HWP!D22</f>
        <v>2.5182392533689599</v>
      </c>
      <c r="H22" s="510">
        <f>H21+HWP!E22</f>
        <v>2.0775473840293923</v>
      </c>
      <c r="I22" s="493"/>
      <c r="J22" s="512">
        <f>Garden!J29</f>
        <v>0</v>
      </c>
      <c r="K22" s="513">
        <f>Paper!J29</f>
        <v>5.4427853675867541E-2</v>
      </c>
      <c r="L22" s="514">
        <f>Wood!J29</f>
        <v>0</v>
      </c>
      <c r="M22" s="515">
        <f>J22*(1-Recovery_OX!E22)*(1-Recovery_OX!F22)</f>
        <v>0</v>
      </c>
      <c r="N22" s="513">
        <f>K22*(1-Recovery_OX!E22)*(1-Recovery_OX!F22)</f>
        <v>5.4427853675867541E-2</v>
      </c>
      <c r="O22" s="514">
        <f>L22*(1-Recovery_OX!E22)*(1-Recovery_OX!F22)</f>
        <v>0</v>
      </c>
    </row>
    <row r="23" spans="2:15">
      <c r="B23" s="507">
        <f t="shared" si="0"/>
        <v>1961</v>
      </c>
      <c r="C23" s="508">
        <f>Stored_C!E29</f>
        <v>0</v>
      </c>
      <c r="D23" s="509">
        <f>Stored_C!F29+Stored_C!L29</f>
        <v>0.31157679600000004</v>
      </c>
      <c r="E23" s="510">
        <f>Stored_C!G29+Stored_C!M29</f>
        <v>0.2570508567</v>
      </c>
      <c r="F23" s="511">
        <f>F22+HWP!C23</f>
        <v>0</v>
      </c>
      <c r="G23" s="509">
        <f>G22+HWP!D23</f>
        <v>2.8298160493689601</v>
      </c>
      <c r="H23" s="510">
        <f>H22+HWP!E23</f>
        <v>2.3345982407293921</v>
      </c>
      <c r="I23" s="493"/>
      <c r="J23" s="512">
        <f>Garden!J30</f>
        <v>0</v>
      </c>
      <c r="K23" s="513">
        <f>Paper!J30</f>
        <v>6.1390996253258376E-2</v>
      </c>
      <c r="L23" s="514">
        <f>Wood!J30</f>
        <v>0</v>
      </c>
      <c r="M23" s="515">
        <f>J23*(1-Recovery_OX!E23)*(1-Recovery_OX!F23)</f>
        <v>0</v>
      </c>
      <c r="N23" s="513">
        <f>K23*(1-Recovery_OX!E23)*(1-Recovery_OX!F23)</f>
        <v>6.1390996253258376E-2</v>
      </c>
      <c r="O23" s="514">
        <f>L23*(1-Recovery_OX!E23)*(1-Recovery_OX!F23)</f>
        <v>0</v>
      </c>
    </row>
    <row r="24" spans="2:15">
      <c r="B24" s="507">
        <f t="shared" si="0"/>
        <v>1962</v>
      </c>
      <c r="C24" s="508">
        <f>Stored_C!E30</f>
        <v>0</v>
      </c>
      <c r="D24" s="509">
        <f>Stored_C!F30+Stored_C!L30</f>
        <v>0.32571009296640008</v>
      </c>
      <c r="E24" s="510">
        <f>Stored_C!G30+Stored_C!M30</f>
        <v>0.26871082669728003</v>
      </c>
      <c r="F24" s="511">
        <f>F23+HWP!C24</f>
        <v>0</v>
      </c>
      <c r="G24" s="509">
        <f>G23+HWP!D24</f>
        <v>3.1555261423353604</v>
      </c>
      <c r="H24" s="510">
        <f>H23+HWP!E24</f>
        <v>2.6033090674266721</v>
      </c>
      <c r="I24" s="493"/>
      <c r="J24" s="512">
        <f>Garden!J31</f>
        <v>0</v>
      </c>
      <c r="K24" s="513">
        <f>Paper!J31</f>
        <v>6.7435811724423089E-2</v>
      </c>
      <c r="L24" s="514">
        <f>Wood!J31</f>
        <v>0</v>
      </c>
      <c r="M24" s="515">
        <f>J24*(1-Recovery_OX!E24)*(1-Recovery_OX!F24)</f>
        <v>0</v>
      </c>
      <c r="N24" s="513">
        <f>K24*(1-Recovery_OX!E24)*(1-Recovery_OX!F24)</f>
        <v>6.7435811724423089E-2</v>
      </c>
      <c r="O24" s="514">
        <f>L24*(1-Recovery_OX!E24)*(1-Recovery_OX!F24)</f>
        <v>0</v>
      </c>
    </row>
    <row r="25" spans="2:15">
      <c r="B25" s="507">
        <f t="shared" si="0"/>
        <v>1963</v>
      </c>
      <c r="C25" s="508">
        <f>Stored_C!E31</f>
        <v>0</v>
      </c>
      <c r="D25" s="509">
        <f>Stored_C!F31+Stored_C!L31</f>
        <v>0.34030952616960009</v>
      </c>
      <c r="E25" s="510">
        <f>Stored_C!G31+Stored_C!M31</f>
        <v>0.28075535908992005</v>
      </c>
      <c r="F25" s="511">
        <f>F24+HWP!C25</f>
        <v>0</v>
      </c>
      <c r="G25" s="509">
        <f>G24+HWP!D25</f>
        <v>3.4958356685049603</v>
      </c>
      <c r="H25" s="510">
        <f>H24+HWP!E25</f>
        <v>2.8840644265165922</v>
      </c>
      <c r="I25" s="493"/>
      <c r="J25" s="512">
        <f>Garden!J32</f>
        <v>0</v>
      </c>
      <c r="K25" s="513">
        <f>Paper!J32</f>
        <v>7.3534421450704976E-2</v>
      </c>
      <c r="L25" s="514">
        <f>Wood!J32</f>
        <v>0</v>
      </c>
      <c r="M25" s="515">
        <f>J25*(1-Recovery_OX!E25)*(1-Recovery_OX!F25)</f>
        <v>0</v>
      </c>
      <c r="N25" s="513">
        <f>K25*(1-Recovery_OX!E25)*(1-Recovery_OX!F25)</f>
        <v>7.3534421450704976E-2</v>
      </c>
      <c r="O25" s="514">
        <f>L25*(1-Recovery_OX!E25)*(1-Recovery_OX!F25)</f>
        <v>0</v>
      </c>
    </row>
    <row r="26" spans="2:15">
      <c r="B26" s="507">
        <f t="shared" si="0"/>
        <v>1964</v>
      </c>
      <c r="C26" s="508">
        <f>Stored_C!E32</f>
        <v>0</v>
      </c>
      <c r="D26" s="509">
        <f>Stored_C!F32+Stored_C!L32</f>
        <v>0.3550662658944001</v>
      </c>
      <c r="E26" s="510">
        <f>Stored_C!G32+Stored_C!M32</f>
        <v>0.29292966936288006</v>
      </c>
      <c r="F26" s="511">
        <f>F25+HWP!C26</f>
        <v>0</v>
      </c>
      <c r="G26" s="509">
        <f>G25+HWP!D26</f>
        <v>3.8509019343993605</v>
      </c>
      <c r="H26" s="510">
        <f>H25+HWP!E26</f>
        <v>3.1769940958794725</v>
      </c>
      <c r="I26" s="493"/>
      <c r="J26" s="512">
        <f>Garden!J33</f>
        <v>0</v>
      </c>
      <c r="K26" s="513">
        <f>Paper!J33</f>
        <v>7.9698441234145309E-2</v>
      </c>
      <c r="L26" s="514">
        <f>Wood!J33</f>
        <v>0</v>
      </c>
      <c r="M26" s="515">
        <f>J26*(1-Recovery_OX!E26)*(1-Recovery_OX!F26)</f>
        <v>0</v>
      </c>
      <c r="N26" s="513">
        <f>K26*(1-Recovery_OX!E26)*(1-Recovery_OX!F26)</f>
        <v>7.9698441234145309E-2</v>
      </c>
      <c r="O26" s="514">
        <f>L26*(1-Recovery_OX!E26)*(1-Recovery_OX!F26)</f>
        <v>0</v>
      </c>
    </row>
    <row r="27" spans="2:15">
      <c r="B27" s="507">
        <f t="shared" si="0"/>
        <v>1965</v>
      </c>
      <c r="C27" s="508">
        <f>Stored_C!E33</f>
        <v>0</v>
      </c>
      <c r="D27" s="509">
        <f>Stored_C!F33+Stored_C!L33</f>
        <v>0.37026600854399999</v>
      </c>
      <c r="E27" s="510">
        <f>Stored_C!G33+Stored_C!M33</f>
        <v>0.30546945704880002</v>
      </c>
      <c r="F27" s="511">
        <f>F26+HWP!C27</f>
        <v>0</v>
      </c>
      <c r="G27" s="509">
        <f>G26+HWP!D27</f>
        <v>4.2211679429433602</v>
      </c>
      <c r="H27" s="510">
        <f>H26+HWP!E27</f>
        <v>3.4824635529282726</v>
      </c>
      <c r="I27" s="493"/>
      <c r="J27" s="512">
        <f>Garden!J34</f>
        <v>0</v>
      </c>
      <c r="K27" s="513">
        <f>Paper!J34</f>
        <v>8.5928596238866062E-2</v>
      </c>
      <c r="L27" s="514">
        <f>Wood!J34</f>
        <v>0</v>
      </c>
      <c r="M27" s="515">
        <f>J27*(1-Recovery_OX!E27)*(1-Recovery_OX!F27)</f>
        <v>0</v>
      </c>
      <c r="N27" s="513">
        <f>K27*(1-Recovery_OX!E27)*(1-Recovery_OX!F27)</f>
        <v>8.5928596238866062E-2</v>
      </c>
      <c r="O27" s="514">
        <f>L27*(1-Recovery_OX!E27)*(1-Recovery_OX!F27)</f>
        <v>0</v>
      </c>
    </row>
    <row r="28" spans="2:15">
      <c r="B28" s="507">
        <f t="shared" si="0"/>
        <v>1966</v>
      </c>
      <c r="C28" s="508">
        <f>Stored_C!E34</f>
        <v>0</v>
      </c>
      <c r="D28" s="509">
        <f>Stored_C!F34+Stored_C!L34</f>
        <v>0.38585323416960005</v>
      </c>
      <c r="E28" s="510">
        <f>Stored_C!G34+Stored_C!M34</f>
        <v>0.31832891818992004</v>
      </c>
      <c r="F28" s="511">
        <f>F27+HWP!C28</f>
        <v>0</v>
      </c>
      <c r="G28" s="509">
        <f>G27+HWP!D28</f>
        <v>4.6070211771129603</v>
      </c>
      <c r="H28" s="510">
        <f>H27+HWP!E28</f>
        <v>3.8007924711181929</v>
      </c>
      <c r="I28" s="493"/>
      <c r="J28" s="512">
        <f>Garden!J35</f>
        <v>0</v>
      </c>
      <c r="K28" s="513">
        <f>Paper!J35</f>
        <v>9.2234910987176594E-2</v>
      </c>
      <c r="L28" s="514">
        <f>Wood!J35</f>
        <v>0</v>
      </c>
      <c r="M28" s="515">
        <f>J28*(1-Recovery_OX!E28)*(1-Recovery_OX!F28)</f>
        <v>0</v>
      </c>
      <c r="N28" s="513">
        <f>K28*(1-Recovery_OX!E28)*(1-Recovery_OX!F28)</f>
        <v>9.2234910987176594E-2</v>
      </c>
      <c r="O28" s="514">
        <f>L28*(1-Recovery_OX!E28)*(1-Recovery_OX!F28)</f>
        <v>0</v>
      </c>
    </row>
    <row r="29" spans="2:15">
      <c r="B29" s="507">
        <f t="shared" si="0"/>
        <v>1967</v>
      </c>
      <c r="C29" s="508">
        <f>Stored_C!E35</f>
        <v>0</v>
      </c>
      <c r="D29" s="509">
        <f>Stored_C!F35+Stored_C!L35</f>
        <v>0.38762871586559999</v>
      </c>
      <c r="E29" s="510">
        <f>Stored_C!G35+Stored_C!M35</f>
        <v>0.31979369058911999</v>
      </c>
      <c r="F29" s="511">
        <f>F28+HWP!C29</f>
        <v>0</v>
      </c>
      <c r="G29" s="509">
        <f>G28+HWP!D29</f>
        <v>4.9946498929785603</v>
      </c>
      <c r="H29" s="510">
        <f>H28+HWP!E29</f>
        <v>4.1205861617073127</v>
      </c>
      <c r="I29" s="493"/>
      <c r="J29" s="512">
        <f>Garden!J36</f>
        <v>0</v>
      </c>
      <c r="K29" s="513">
        <f>Paper!J36</f>
        <v>9.8624915591763576E-2</v>
      </c>
      <c r="L29" s="514">
        <f>Wood!J36</f>
        <v>0</v>
      </c>
      <c r="M29" s="515">
        <f>J29*(1-Recovery_OX!E29)*(1-Recovery_OX!F29)</f>
        <v>0</v>
      </c>
      <c r="N29" s="513">
        <f>K29*(1-Recovery_OX!E29)*(1-Recovery_OX!F29)</f>
        <v>9.8624915591763576E-2</v>
      </c>
      <c r="O29" s="514">
        <f>L29*(1-Recovery_OX!E29)*(1-Recovery_OX!F29)</f>
        <v>0</v>
      </c>
    </row>
    <row r="30" spans="2:15">
      <c r="B30" s="507">
        <f t="shared" si="0"/>
        <v>1968</v>
      </c>
      <c r="C30" s="508">
        <f>Stored_C!E36</f>
        <v>0</v>
      </c>
      <c r="D30" s="509">
        <f>Stored_C!F36+Stored_C!L36</f>
        <v>0.40208356586880012</v>
      </c>
      <c r="E30" s="510">
        <f>Stored_C!G36+Stored_C!M36</f>
        <v>0.3317189418417601</v>
      </c>
      <c r="F30" s="511">
        <f>F29+HWP!C30</f>
        <v>0</v>
      </c>
      <c r="G30" s="509">
        <f>G29+HWP!D30</f>
        <v>5.3967334588473603</v>
      </c>
      <c r="H30" s="510">
        <f>H29+HWP!E30</f>
        <v>4.4523051035490724</v>
      </c>
      <c r="I30" s="493"/>
      <c r="J30" s="512">
        <f>Garden!J37</f>
        <v>0</v>
      </c>
      <c r="K30" s="513">
        <f>Paper!J37</f>
        <v>0.10464101262533307</v>
      </c>
      <c r="L30" s="514">
        <f>Wood!J37</f>
        <v>0</v>
      </c>
      <c r="M30" s="515">
        <f>J30*(1-Recovery_OX!E30)*(1-Recovery_OX!F30)</f>
        <v>0</v>
      </c>
      <c r="N30" s="513">
        <f>K30*(1-Recovery_OX!E30)*(1-Recovery_OX!F30)</f>
        <v>0.10464101262533307</v>
      </c>
      <c r="O30" s="514">
        <f>L30*(1-Recovery_OX!E30)*(1-Recovery_OX!F30)</f>
        <v>0</v>
      </c>
    </row>
    <row r="31" spans="2:15">
      <c r="B31" s="507">
        <f t="shared" si="0"/>
        <v>1969</v>
      </c>
      <c r="C31" s="508">
        <f>Stored_C!E37</f>
        <v>0</v>
      </c>
      <c r="D31" s="509">
        <f>Stored_C!F37+Stored_C!L37</f>
        <v>0.41653841587200002</v>
      </c>
      <c r="E31" s="510">
        <f>Stored_C!G37+Stored_C!M37</f>
        <v>0.34364419309440003</v>
      </c>
      <c r="F31" s="511">
        <f>F30+HWP!C31</f>
        <v>0</v>
      </c>
      <c r="G31" s="509">
        <f>G30+HWP!D31</f>
        <v>5.8132718747193604</v>
      </c>
      <c r="H31" s="510">
        <f>H30+HWP!E31</f>
        <v>4.7959492966434727</v>
      </c>
      <c r="I31" s="493"/>
      <c r="J31" s="512">
        <f>Garden!J38</f>
        <v>0</v>
      </c>
      <c r="K31" s="513">
        <f>Paper!J38</f>
        <v>0.11072336712058142</v>
      </c>
      <c r="L31" s="514">
        <f>Wood!J38</f>
        <v>0</v>
      </c>
      <c r="M31" s="515">
        <f>J31*(1-Recovery_OX!E31)*(1-Recovery_OX!F31)</f>
        <v>0</v>
      </c>
      <c r="N31" s="513">
        <f>K31*(1-Recovery_OX!E31)*(1-Recovery_OX!F31)</f>
        <v>0.11072336712058142</v>
      </c>
      <c r="O31" s="514">
        <f>L31*(1-Recovery_OX!E31)*(1-Recovery_OX!F31)</f>
        <v>0</v>
      </c>
    </row>
    <row r="32" spans="2:15">
      <c r="B32" s="507">
        <f t="shared" si="0"/>
        <v>1970</v>
      </c>
      <c r="C32" s="508">
        <f>Stored_C!E38</f>
        <v>0</v>
      </c>
      <c r="D32" s="509">
        <f>Stored_C!F38+Stored_C!L38</f>
        <v>0.43099326587520015</v>
      </c>
      <c r="E32" s="510">
        <f>Stored_C!G38+Stored_C!M38</f>
        <v>0.35556944434704008</v>
      </c>
      <c r="F32" s="511">
        <f>F31+HWP!C32</f>
        <v>0</v>
      </c>
      <c r="G32" s="509">
        <f>G31+HWP!D32</f>
        <v>6.2442651405945604</v>
      </c>
      <c r="H32" s="510">
        <f>H31+HWP!E32</f>
        <v>5.1515187409905128</v>
      </c>
      <c r="I32" s="493"/>
      <c r="J32" s="512">
        <f>Garden!J39</f>
        <v>0</v>
      </c>
      <c r="K32" s="513">
        <f>Paper!J39</f>
        <v>0.11686749966362178</v>
      </c>
      <c r="L32" s="514">
        <f>Wood!J39</f>
        <v>0</v>
      </c>
      <c r="M32" s="515">
        <f>J32*(1-Recovery_OX!E32)*(1-Recovery_OX!F32)</f>
        <v>0</v>
      </c>
      <c r="N32" s="513">
        <f>K32*(1-Recovery_OX!E32)*(1-Recovery_OX!F32)</f>
        <v>0.11686749966362178</v>
      </c>
      <c r="O32" s="514">
        <f>L32*(1-Recovery_OX!E32)*(1-Recovery_OX!F32)</f>
        <v>0</v>
      </c>
    </row>
    <row r="33" spans="2:15">
      <c r="B33" s="507">
        <f t="shared" si="0"/>
        <v>1971</v>
      </c>
      <c r="C33" s="508">
        <f>Stored_C!E39</f>
        <v>0</v>
      </c>
      <c r="D33" s="509">
        <f>Stored_C!F39+Stored_C!L39</f>
        <v>0.44544811587840005</v>
      </c>
      <c r="E33" s="510">
        <f>Stored_C!G39+Stored_C!M39</f>
        <v>0.36749469559968001</v>
      </c>
      <c r="F33" s="511">
        <f>F32+HWP!C33</f>
        <v>0</v>
      </c>
      <c r="G33" s="509">
        <f>G32+HWP!D33</f>
        <v>6.6897132564729604</v>
      </c>
      <c r="H33" s="510">
        <f>H32+HWP!E33</f>
        <v>5.5190134365901926</v>
      </c>
      <c r="I33" s="493"/>
      <c r="J33" s="512">
        <f>Garden!J40</f>
        <v>0</v>
      </c>
      <c r="K33" s="513">
        <f>Paper!J40</f>
        <v>0.12306923367662925</v>
      </c>
      <c r="L33" s="514">
        <f>Wood!J40</f>
        <v>0</v>
      </c>
      <c r="M33" s="515">
        <f>J33*(1-Recovery_OX!E33)*(1-Recovery_OX!F33)</f>
        <v>0</v>
      </c>
      <c r="N33" s="513">
        <f>K33*(1-Recovery_OX!E33)*(1-Recovery_OX!F33)</f>
        <v>0.12306923367662925</v>
      </c>
      <c r="O33" s="514">
        <f>L33*(1-Recovery_OX!E33)*(1-Recovery_OX!F33)</f>
        <v>0</v>
      </c>
    </row>
    <row r="34" spans="2:15">
      <c r="B34" s="507">
        <f t="shared" si="0"/>
        <v>1972</v>
      </c>
      <c r="C34" s="508">
        <f>Stored_C!E40</f>
        <v>0</v>
      </c>
      <c r="D34" s="509">
        <f>Stored_C!F40+Stored_C!L40</f>
        <v>0.45990296588160007</v>
      </c>
      <c r="E34" s="510">
        <f>Stored_C!G40+Stored_C!M40</f>
        <v>0.37941994685232006</v>
      </c>
      <c r="F34" s="511">
        <f>F33+HWP!C34</f>
        <v>0</v>
      </c>
      <c r="G34" s="509">
        <f>G33+HWP!D34</f>
        <v>7.1496162223545605</v>
      </c>
      <c r="H34" s="510">
        <f>H33+HWP!E34</f>
        <v>5.8984333834425122</v>
      </c>
      <c r="I34" s="493"/>
      <c r="J34" s="512">
        <f>Garden!J41</f>
        <v>0</v>
      </c>
      <c r="K34" s="513">
        <f>Paper!J41</f>
        <v>0.12932467494425159</v>
      </c>
      <c r="L34" s="514">
        <f>Wood!J41</f>
        <v>0</v>
      </c>
      <c r="M34" s="515">
        <f>J34*(1-Recovery_OX!E34)*(1-Recovery_OX!F34)</f>
        <v>0</v>
      </c>
      <c r="N34" s="513">
        <f>K34*(1-Recovery_OX!E34)*(1-Recovery_OX!F34)</f>
        <v>0.12932467494425159</v>
      </c>
      <c r="O34" s="514">
        <f>L34*(1-Recovery_OX!E34)*(1-Recovery_OX!F34)</f>
        <v>0</v>
      </c>
    </row>
    <row r="35" spans="2:15">
      <c r="B35" s="507">
        <f t="shared" si="0"/>
        <v>1973</v>
      </c>
      <c r="C35" s="508">
        <f>Stored_C!E41</f>
        <v>0</v>
      </c>
      <c r="D35" s="509">
        <f>Stored_C!F41+Stored_C!L41</f>
        <v>0.47435781588480019</v>
      </c>
      <c r="E35" s="510">
        <f>Stored_C!G41+Stored_C!M41</f>
        <v>0.3913451981049601</v>
      </c>
      <c r="F35" s="511">
        <f>F34+HWP!C35</f>
        <v>0</v>
      </c>
      <c r="G35" s="509">
        <f>G34+HWP!D35</f>
        <v>7.6239740382393606</v>
      </c>
      <c r="H35" s="510">
        <f>H34+HWP!E35</f>
        <v>6.2897785815474725</v>
      </c>
      <c r="I35" s="493"/>
      <c r="J35" s="512">
        <f>Garden!J42</f>
        <v>0</v>
      </c>
      <c r="K35" s="513">
        <f>Paper!J42</f>
        <v>0.13563019252416092</v>
      </c>
      <c r="L35" s="514">
        <f>Wood!J42</f>
        <v>0</v>
      </c>
      <c r="M35" s="515">
        <f>J35*(1-Recovery_OX!E35)*(1-Recovery_OX!F35)</f>
        <v>0</v>
      </c>
      <c r="N35" s="513">
        <f>K35*(1-Recovery_OX!E35)*(1-Recovery_OX!F35)</f>
        <v>0.13563019252416092</v>
      </c>
      <c r="O35" s="514">
        <f>L35*(1-Recovery_OX!E35)*(1-Recovery_OX!F35)</f>
        <v>0</v>
      </c>
    </row>
    <row r="36" spans="2:15">
      <c r="B36" s="507">
        <f t="shared" si="0"/>
        <v>1974</v>
      </c>
      <c r="C36" s="508">
        <f>Stored_C!E42</f>
        <v>0</v>
      </c>
      <c r="D36" s="509">
        <f>Stored_C!F42+Stored_C!L42</f>
        <v>0.4888126658880001</v>
      </c>
      <c r="E36" s="510">
        <f>Stored_C!G42+Stored_C!M42</f>
        <v>0.40327044935760004</v>
      </c>
      <c r="F36" s="511">
        <f>F35+HWP!C36</f>
        <v>0</v>
      </c>
      <c r="G36" s="509">
        <f>G35+HWP!D36</f>
        <v>8.1127867041273607</v>
      </c>
      <c r="H36" s="510">
        <f>H35+HWP!E36</f>
        <v>6.6930490309050725</v>
      </c>
      <c r="I36" s="493"/>
      <c r="J36" s="512">
        <f>Garden!J43</f>
        <v>0</v>
      </c>
      <c r="K36" s="513">
        <f>Paper!J43</f>
        <v>0.14198240094817033</v>
      </c>
      <c r="L36" s="514">
        <f>Wood!J43</f>
        <v>0</v>
      </c>
      <c r="M36" s="515">
        <f>J36*(1-Recovery_OX!E36)*(1-Recovery_OX!F36)</f>
        <v>0</v>
      </c>
      <c r="N36" s="513">
        <f>K36*(1-Recovery_OX!E36)*(1-Recovery_OX!F36)</f>
        <v>0.14198240094817033</v>
      </c>
      <c r="O36" s="514">
        <f>L36*(1-Recovery_OX!E36)*(1-Recovery_OX!F36)</f>
        <v>0</v>
      </c>
    </row>
    <row r="37" spans="2:15">
      <c r="B37" s="507">
        <f t="shared" si="0"/>
        <v>1975</v>
      </c>
      <c r="C37" s="508">
        <f>Stored_C!E43</f>
        <v>0</v>
      </c>
      <c r="D37" s="509">
        <f>Stored_C!F43+Stored_C!L43</f>
        <v>0.50326751589120011</v>
      </c>
      <c r="E37" s="510">
        <f>Stored_C!G43+Stored_C!M43</f>
        <v>0.41519570061024008</v>
      </c>
      <c r="F37" s="511">
        <f>F36+HWP!C37</f>
        <v>0</v>
      </c>
      <c r="G37" s="509">
        <f>G36+HWP!D37</f>
        <v>8.6160542200185617</v>
      </c>
      <c r="H37" s="510">
        <f>H36+HWP!E37</f>
        <v>7.1082447315153123</v>
      </c>
      <c r="I37" s="493"/>
      <c r="J37" s="512">
        <f>Garden!J44</f>
        <v>0</v>
      </c>
      <c r="K37" s="513">
        <f>Paper!J44</f>
        <v>0.14837814362666485</v>
      </c>
      <c r="L37" s="514">
        <f>Wood!J44</f>
        <v>0</v>
      </c>
      <c r="M37" s="515">
        <f>J37*(1-Recovery_OX!E37)*(1-Recovery_OX!F37)</f>
        <v>0</v>
      </c>
      <c r="N37" s="513">
        <f>K37*(1-Recovery_OX!E37)*(1-Recovery_OX!F37)</f>
        <v>0.14837814362666485</v>
      </c>
      <c r="O37" s="514">
        <f>L37*(1-Recovery_OX!E37)*(1-Recovery_OX!F37)</f>
        <v>0</v>
      </c>
    </row>
    <row r="38" spans="2:15">
      <c r="B38" s="507">
        <f t="shared" si="0"/>
        <v>1976</v>
      </c>
      <c r="C38" s="508">
        <f>Stored_C!E44</f>
        <v>0</v>
      </c>
      <c r="D38" s="509">
        <f>Stored_C!F44+Stored_C!L44</f>
        <v>0.51772236589440013</v>
      </c>
      <c r="E38" s="510">
        <f>Stored_C!G44+Stored_C!M44</f>
        <v>0.42712095186288002</v>
      </c>
      <c r="F38" s="511">
        <f>F37+HWP!C38</f>
        <v>0</v>
      </c>
      <c r="G38" s="509">
        <f>G37+HWP!D38</f>
        <v>9.1337765859129618</v>
      </c>
      <c r="H38" s="510">
        <f>H37+HWP!E38</f>
        <v>7.5353656833781919</v>
      </c>
      <c r="I38" s="493"/>
      <c r="J38" s="512">
        <f>Garden!J45</f>
        <v>0</v>
      </c>
      <c r="K38" s="513">
        <f>Paper!J45</f>
        <v>0.15481447737499551</v>
      </c>
      <c r="L38" s="514">
        <f>Wood!J45</f>
        <v>0</v>
      </c>
      <c r="M38" s="515">
        <f>J38*(1-Recovery_OX!E38)*(1-Recovery_OX!F38)</f>
        <v>0</v>
      </c>
      <c r="N38" s="513">
        <f>K38*(1-Recovery_OX!E38)*(1-Recovery_OX!F38)</f>
        <v>0.15481447737499551</v>
      </c>
      <c r="O38" s="514">
        <f>L38*(1-Recovery_OX!E38)*(1-Recovery_OX!F38)</f>
        <v>0</v>
      </c>
    </row>
    <row r="39" spans="2:15">
      <c r="B39" s="507">
        <f t="shared" si="0"/>
        <v>1977</v>
      </c>
      <c r="C39" s="508">
        <f>Stored_C!E45</f>
        <v>0</v>
      </c>
      <c r="D39" s="509">
        <f>Stored_C!F45+Stored_C!L45</f>
        <v>0.53217721589760014</v>
      </c>
      <c r="E39" s="510">
        <f>Stored_C!G45+Stored_C!M45</f>
        <v>0.43904620311552006</v>
      </c>
      <c r="F39" s="511">
        <f>F38+HWP!C39</f>
        <v>0</v>
      </c>
      <c r="G39" s="509">
        <f>G38+HWP!D39</f>
        <v>9.6659538018105629</v>
      </c>
      <c r="H39" s="510">
        <f>H38+HWP!E39</f>
        <v>7.9744118864937121</v>
      </c>
      <c r="I39" s="493"/>
      <c r="J39" s="512">
        <f>Garden!J46</f>
        <v>0</v>
      </c>
      <c r="K39" s="513">
        <f>Paper!J46</f>
        <v>0.16128865798598474</v>
      </c>
      <c r="L39" s="514">
        <f>Wood!J46</f>
        <v>0</v>
      </c>
      <c r="M39" s="515">
        <f>J39*(1-Recovery_OX!E39)*(1-Recovery_OX!F39)</f>
        <v>0</v>
      </c>
      <c r="N39" s="513">
        <f>K39*(1-Recovery_OX!E39)*(1-Recovery_OX!F39)</f>
        <v>0.16128865798598474</v>
      </c>
      <c r="O39" s="514">
        <f>L39*(1-Recovery_OX!E39)*(1-Recovery_OX!F39)</f>
        <v>0</v>
      </c>
    </row>
    <row r="40" spans="2:15">
      <c r="B40" s="507">
        <f t="shared" si="0"/>
        <v>1978</v>
      </c>
      <c r="C40" s="508">
        <f>Stored_C!E46</f>
        <v>0</v>
      </c>
      <c r="D40" s="509">
        <f>Stored_C!F46+Stored_C!L46</f>
        <v>0.54663206590080005</v>
      </c>
      <c r="E40" s="510">
        <f>Stored_C!G46+Stored_C!M46</f>
        <v>0.45097145436816011</v>
      </c>
      <c r="F40" s="511">
        <f>F39+HWP!C40</f>
        <v>0</v>
      </c>
      <c r="G40" s="509">
        <f>G39+HWP!D40</f>
        <v>10.212585867711363</v>
      </c>
      <c r="H40" s="510">
        <f>H39+HWP!E40</f>
        <v>8.4253833408618721</v>
      </c>
      <c r="I40" s="493"/>
      <c r="J40" s="512">
        <f>Garden!J47</f>
        <v>0</v>
      </c>
      <c r="K40" s="513">
        <f>Paper!J47</f>
        <v>0.16779812677781966</v>
      </c>
      <c r="L40" s="514">
        <f>Wood!J47</f>
        <v>0</v>
      </c>
      <c r="M40" s="515">
        <f>J40*(1-Recovery_OX!E40)*(1-Recovery_OX!F40)</f>
        <v>0</v>
      </c>
      <c r="N40" s="513">
        <f>K40*(1-Recovery_OX!E40)*(1-Recovery_OX!F40)</f>
        <v>0.16779812677781966</v>
      </c>
      <c r="O40" s="514">
        <f>L40*(1-Recovery_OX!E40)*(1-Recovery_OX!F40)</f>
        <v>0</v>
      </c>
    </row>
    <row r="41" spans="2:15">
      <c r="B41" s="507">
        <f t="shared" si="0"/>
        <v>1979</v>
      </c>
      <c r="C41" s="508">
        <f>Stored_C!E47</f>
        <v>0</v>
      </c>
      <c r="D41" s="509">
        <f>Stored_C!F47+Stored_C!L47</f>
        <v>0.56108691590400006</v>
      </c>
      <c r="E41" s="510">
        <f>Stored_C!G47+Stored_C!M47</f>
        <v>0.46289670562080004</v>
      </c>
      <c r="F41" s="511">
        <f>F40+HWP!C41</f>
        <v>0</v>
      </c>
      <c r="G41" s="509">
        <f>G40+HWP!D41</f>
        <v>10.773672783615362</v>
      </c>
      <c r="H41" s="510">
        <f>H40+HWP!E41</f>
        <v>8.8882800464826719</v>
      </c>
      <c r="I41" s="493"/>
      <c r="J41" s="512">
        <f>Garden!J48</f>
        <v>0</v>
      </c>
      <c r="K41" s="513">
        <f>Paper!J48</f>
        <v>0.17434049805139082</v>
      </c>
      <c r="L41" s="514">
        <f>Wood!J48</f>
        <v>0</v>
      </c>
      <c r="M41" s="515">
        <f>J41*(1-Recovery_OX!E41)*(1-Recovery_OX!F41)</f>
        <v>0</v>
      </c>
      <c r="N41" s="513">
        <f>K41*(1-Recovery_OX!E41)*(1-Recovery_OX!F41)</f>
        <v>0.17434049805139082</v>
      </c>
      <c r="O41" s="514">
        <f>L41*(1-Recovery_OX!E41)*(1-Recovery_OX!F41)</f>
        <v>0</v>
      </c>
    </row>
    <row r="42" spans="2:15">
      <c r="B42" s="507">
        <f t="shared" si="0"/>
        <v>1980</v>
      </c>
      <c r="C42" s="508">
        <f>Stored_C!E48</f>
        <v>0</v>
      </c>
      <c r="D42" s="509">
        <f>Stored_C!F48+Stored_C!L48</f>
        <v>0.57554176590720008</v>
      </c>
      <c r="E42" s="510">
        <f>Stored_C!G48+Stored_C!M48</f>
        <v>0.47482195687344009</v>
      </c>
      <c r="F42" s="511">
        <f>F41+HWP!C42</f>
        <v>0</v>
      </c>
      <c r="G42" s="509">
        <f>G41+HWP!D42</f>
        <v>11.349214549522562</v>
      </c>
      <c r="H42" s="510">
        <f>H41+HWP!E42</f>
        <v>9.3631020033561114</v>
      </c>
      <c r="I42" s="493"/>
      <c r="J42" s="512">
        <f>Garden!J49</f>
        <v>0</v>
      </c>
      <c r="K42" s="513">
        <f>Paper!J49</f>
        <v>0.1809135473955924</v>
      </c>
      <c r="L42" s="514">
        <f>Wood!J49</f>
        <v>0</v>
      </c>
      <c r="M42" s="515">
        <f>J42*(1-Recovery_OX!E42)*(1-Recovery_OX!F42)</f>
        <v>0</v>
      </c>
      <c r="N42" s="513">
        <f>K42*(1-Recovery_OX!E42)*(1-Recovery_OX!F42)</f>
        <v>0.1809135473955924</v>
      </c>
      <c r="O42" s="514">
        <f>L42*(1-Recovery_OX!E42)*(1-Recovery_OX!F42)</f>
        <v>0</v>
      </c>
    </row>
    <row r="43" spans="2:15">
      <c r="B43" s="507">
        <f t="shared" si="0"/>
        <v>1981</v>
      </c>
      <c r="C43" s="508">
        <f>Stored_C!E49</f>
        <v>0</v>
      </c>
      <c r="D43" s="509">
        <f>Stored_C!F49+Stored_C!L49</f>
        <v>0</v>
      </c>
      <c r="E43" s="510">
        <f>Stored_C!G49+Stored_C!M49</f>
        <v>0</v>
      </c>
      <c r="F43" s="511">
        <f>F42+HWP!C43</f>
        <v>0</v>
      </c>
      <c r="G43" s="509">
        <f>G42+HWP!D43</f>
        <v>11.349214549522562</v>
      </c>
      <c r="H43" s="510">
        <f>H42+HWP!E43</f>
        <v>9.3631020033561114</v>
      </c>
      <c r="I43" s="493"/>
      <c r="J43" s="512">
        <f>Garden!J50</f>
        <v>0</v>
      </c>
      <c r="K43" s="513">
        <f>Paper!J50</f>
        <v>0.18751520078325645</v>
      </c>
      <c r="L43" s="514">
        <f>Wood!J50</f>
        <v>0</v>
      </c>
      <c r="M43" s="515">
        <f>J43*(1-Recovery_OX!E43)*(1-Recovery_OX!F43)</f>
        <v>0</v>
      </c>
      <c r="N43" s="513">
        <f>K43*(1-Recovery_OX!E43)*(1-Recovery_OX!F43)</f>
        <v>0.18751520078325645</v>
      </c>
      <c r="O43" s="514">
        <f>L43*(1-Recovery_OX!E43)*(1-Recovery_OX!F43)</f>
        <v>0</v>
      </c>
    </row>
    <row r="44" spans="2:15">
      <c r="B44" s="507">
        <f t="shared" si="0"/>
        <v>1982</v>
      </c>
      <c r="C44" s="508">
        <f>Stored_C!E50</f>
        <v>0</v>
      </c>
      <c r="D44" s="509">
        <f>Stored_C!F50+Stored_C!L50</f>
        <v>0</v>
      </c>
      <c r="E44" s="510">
        <f>Stored_C!G50+Stored_C!M50</f>
        <v>0</v>
      </c>
      <c r="F44" s="511">
        <f>F43+HWP!C44</f>
        <v>0</v>
      </c>
      <c r="G44" s="509">
        <f>G43+HWP!D44</f>
        <v>11.349214549522562</v>
      </c>
      <c r="H44" s="510">
        <f>H43+HWP!E44</f>
        <v>9.3631020033561114</v>
      </c>
      <c r="I44" s="493"/>
      <c r="J44" s="512">
        <f>Garden!J51</f>
        <v>0</v>
      </c>
      <c r="K44" s="513">
        <f>Paper!J51</f>
        <v>0.17483801434873134</v>
      </c>
      <c r="L44" s="514">
        <f>Wood!J51</f>
        <v>0</v>
      </c>
      <c r="M44" s="515">
        <f>J44*(1-Recovery_OX!E44)*(1-Recovery_OX!F44)</f>
        <v>0</v>
      </c>
      <c r="N44" s="513">
        <f>K44*(1-Recovery_OX!E44)*(1-Recovery_OX!F44)</f>
        <v>0.17483801434873134</v>
      </c>
      <c r="O44" s="514">
        <f>L44*(1-Recovery_OX!E44)*(1-Recovery_OX!F44)</f>
        <v>0</v>
      </c>
    </row>
    <row r="45" spans="2:15">
      <c r="B45" s="507">
        <f t="shared" si="0"/>
        <v>1983</v>
      </c>
      <c r="C45" s="508">
        <f>Stored_C!E51</f>
        <v>0</v>
      </c>
      <c r="D45" s="509">
        <f>Stored_C!F51+Stored_C!L51</f>
        <v>0</v>
      </c>
      <c r="E45" s="510">
        <f>Stored_C!G51+Stored_C!M51</f>
        <v>0</v>
      </c>
      <c r="F45" s="511">
        <f>F44+HWP!C45</f>
        <v>0</v>
      </c>
      <c r="G45" s="509">
        <f>G44+HWP!D45</f>
        <v>11.349214549522562</v>
      </c>
      <c r="H45" s="510">
        <f>H44+HWP!E45</f>
        <v>9.3631020033561114</v>
      </c>
      <c r="I45" s="493"/>
      <c r="J45" s="512">
        <f>Garden!J52</f>
        <v>0</v>
      </c>
      <c r="K45" s="513">
        <f>Paper!J52</f>
        <v>0.1630178840633846</v>
      </c>
      <c r="L45" s="514">
        <f>Wood!J52</f>
        <v>0</v>
      </c>
      <c r="M45" s="515">
        <f>J45*(1-Recovery_OX!E45)*(1-Recovery_OX!F45)</f>
        <v>0</v>
      </c>
      <c r="N45" s="513">
        <f>K45*(1-Recovery_OX!E45)*(1-Recovery_OX!F45)</f>
        <v>0.1630178840633846</v>
      </c>
      <c r="O45" s="514">
        <f>L45*(1-Recovery_OX!E45)*(1-Recovery_OX!F45)</f>
        <v>0</v>
      </c>
    </row>
    <row r="46" spans="2:15">
      <c r="B46" s="507">
        <f t="shared" si="0"/>
        <v>1984</v>
      </c>
      <c r="C46" s="508">
        <f>Stored_C!E52</f>
        <v>0</v>
      </c>
      <c r="D46" s="509">
        <f>Stored_C!F52+Stored_C!L52</f>
        <v>0</v>
      </c>
      <c r="E46" s="510">
        <f>Stored_C!G52+Stored_C!M52</f>
        <v>0</v>
      </c>
      <c r="F46" s="511">
        <f>F45+HWP!C46</f>
        <v>0</v>
      </c>
      <c r="G46" s="509">
        <f>G45+HWP!D46</f>
        <v>11.349214549522562</v>
      </c>
      <c r="H46" s="510">
        <f>H45+HWP!E46</f>
        <v>9.3631020033561114</v>
      </c>
      <c r="I46" s="493"/>
      <c r="J46" s="512">
        <f>Garden!J53</f>
        <v>0</v>
      </c>
      <c r="K46" s="513">
        <f>Paper!J53</f>
        <v>0.15199686763484418</v>
      </c>
      <c r="L46" s="514">
        <f>Wood!J53</f>
        <v>0</v>
      </c>
      <c r="M46" s="515">
        <f>J46*(1-Recovery_OX!E46)*(1-Recovery_OX!F46)</f>
        <v>0</v>
      </c>
      <c r="N46" s="513">
        <f>K46*(1-Recovery_OX!E46)*(1-Recovery_OX!F46)</f>
        <v>0.15199686763484418</v>
      </c>
      <c r="O46" s="514">
        <f>L46*(1-Recovery_OX!E46)*(1-Recovery_OX!F46)</f>
        <v>0</v>
      </c>
    </row>
    <row r="47" spans="2:15">
      <c r="B47" s="507">
        <f t="shared" si="0"/>
        <v>1985</v>
      </c>
      <c r="C47" s="508">
        <f>Stored_C!E53</f>
        <v>0</v>
      </c>
      <c r="D47" s="509">
        <f>Stored_C!F53+Stored_C!L53</f>
        <v>0</v>
      </c>
      <c r="E47" s="510">
        <f>Stored_C!G53+Stored_C!M53</f>
        <v>0</v>
      </c>
      <c r="F47" s="511">
        <f>F46+HWP!C47</f>
        <v>0</v>
      </c>
      <c r="G47" s="509">
        <f>G46+HWP!D47</f>
        <v>11.349214549522562</v>
      </c>
      <c r="H47" s="510">
        <f>H46+HWP!E47</f>
        <v>9.3631020033561114</v>
      </c>
      <c r="I47" s="493"/>
      <c r="J47" s="512">
        <f>Garden!J54</f>
        <v>0</v>
      </c>
      <c r="K47" s="513">
        <f>Paper!J54</f>
        <v>0.14172094002779118</v>
      </c>
      <c r="L47" s="514">
        <f>Wood!J54</f>
        <v>0</v>
      </c>
      <c r="M47" s="515">
        <f>J47*(1-Recovery_OX!E47)*(1-Recovery_OX!F47)</f>
        <v>0</v>
      </c>
      <c r="N47" s="513">
        <f>K47*(1-Recovery_OX!E47)*(1-Recovery_OX!F47)</f>
        <v>0.14172094002779118</v>
      </c>
      <c r="O47" s="514">
        <f>L47*(1-Recovery_OX!E47)*(1-Recovery_OX!F47)</f>
        <v>0</v>
      </c>
    </row>
    <row r="48" spans="2:15">
      <c r="B48" s="507">
        <f t="shared" si="0"/>
        <v>1986</v>
      </c>
      <c r="C48" s="508">
        <f>Stored_C!E54</f>
        <v>0</v>
      </c>
      <c r="D48" s="509">
        <f>Stored_C!F54+Stored_C!L54</f>
        <v>0</v>
      </c>
      <c r="E48" s="510">
        <f>Stored_C!G54+Stored_C!M54</f>
        <v>0</v>
      </c>
      <c r="F48" s="511">
        <f>F47+HWP!C48</f>
        <v>0</v>
      </c>
      <c r="G48" s="509">
        <f>G47+HWP!D48</f>
        <v>11.349214549522562</v>
      </c>
      <c r="H48" s="510">
        <f>H47+HWP!E48</f>
        <v>9.3631020033561114</v>
      </c>
      <c r="I48" s="493"/>
      <c r="J48" s="512">
        <f>Garden!J55</f>
        <v>0</v>
      </c>
      <c r="K48" s="513">
        <f>Paper!J55</f>
        <v>0.13213972863317403</v>
      </c>
      <c r="L48" s="514">
        <f>Wood!J55</f>
        <v>0</v>
      </c>
      <c r="M48" s="515">
        <f>J48*(1-Recovery_OX!E48)*(1-Recovery_OX!F48)</f>
        <v>0</v>
      </c>
      <c r="N48" s="513">
        <f>K48*(1-Recovery_OX!E48)*(1-Recovery_OX!F48)</f>
        <v>0.13213972863317403</v>
      </c>
      <c r="O48" s="514">
        <f>L48*(1-Recovery_OX!E48)*(1-Recovery_OX!F48)</f>
        <v>0</v>
      </c>
    </row>
    <row r="49" spans="2:15">
      <c r="B49" s="507">
        <f t="shared" si="0"/>
        <v>1987</v>
      </c>
      <c r="C49" s="508">
        <f>Stored_C!E55</f>
        <v>0</v>
      </c>
      <c r="D49" s="509">
        <f>Stored_C!F55+Stored_C!L55</f>
        <v>0</v>
      </c>
      <c r="E49" s="510">
        <f>Stored_C!G55+Stored_C!M55</f>
        <v>0</v>
      </c>
      <c r="F49" s="511">
        <f>F48+HWP!C49</f>
        <v>0</v>
      </c>
      <c r="G49" s="509">
        <f>G48+HWP!D49</f>
        <v>11.349214549522562</v>
      </c>
      <c r="H49" s="510">
        <f>H48+HWP!E49</f>
        <v>9.3631020033561114</v>
      </c>
      <c r="I49" s="493"/>
      <c r="J49" s="512">
        <f>Garden!J56</f>
        <v>0</v>
      </c>
      <c r="K49" s="513">
        <f>Paper!J56</f>
        <v>0.12320626634162052</v>
      </c>
      <c r="L49" s="514">
        <f>Wood!J56</f>
        <v>0</v>
      </c>
      <c r="M49" s="515">
        <f>J49*(1-Recovery_OX!E49)*(1-Recovery_OX!F49)</f>
        <v>0</v>
      </c>
      <c r="N49" s="513">
        <f>K49*(1-Recovery_OX!E49)*(1-Recovery_OX!F49)</f>
        <v>0.12320626634162052</v>
      </c>
      <c r="O49" s="514">
        <f>L49*(1-Recovery_OX!E49)*(1-Recovery_OX!F49)</f>
        <v>0</v>
      </c>
    </row>
    <row r="50" spans="2:15">
      <c r="B50" s="507">
        <f t="shared" si="0"/>
        <v>1988</v>
      </c>
      <c r="C50" s="508">
        <f>Stored_C!E56</f>
        <v>0</v>
      </c>
      <c r="D50" s="509">
        <f>Stored_C!F56+Stored_C!L56</f>
        <v>0</v>
      </c>
      <c r="E50" s="510">
        <f>Stored_C!G56+Stored_C!M56</f>
        <v>0</v>
      </c>
      <c r="F50" s="511">
        <f>F49+HWP!C50</f>
        <v>0</v>
      </c>
      <c r="G50" s="509">
        <f>G49+HWP!D50</f>
        <v>11.349214549522562</v>
      </c>
      <c r="H50" s="510">
        <f>H49+HWP!E50</f>
        <v>9.3631020033561114</v>
      </c>
      <c r="I50" s="493"/>
      <c r="J50" s="512">
        <f>Garden!J57</f>
        <v>0</v>
      </c>
      <c r="K50" s="513">
        <f>Paper!J57</f>
        <v>0.11487676131061322</v>
      </c>
      <c r="L50" s="514">
        <f>Wood!J57</f>
        <v>0</v>
      </c>
      <c r="M50" s="515">
        <f>J50*(1-Recovery_OX!E50)*(1-Recovery_OX!F50)</f>
        <v>0</v>
      </c>
      <c r="N50" s="513">
        <f>K50*(1-Recovery_OX!E50)*(1-Recovery_OX!F50)</f>
        <v>0.11487676131061322</v>
      </c>
      <c r="O50" s="514">
        <f>L50*(1-Recovery_OX!E50)*(1-Recovery_OX!F50)</f>
        <v>0</v>
      </c>
    </row>
    <row r="51" spans="2:15">
      <c r="B51" s="507">
        <f t="shared" si="0"/>
        <v>1989</v>
      </c>
      <c r="C51" s="508">
        <f>Stored_C!E57</f>
        <v>0</v>
      </c>
      <c r="D51" s="509">
        <f>Stored_C!F57+Stored_C!L57</f>
        <v>0</v>
      </c>
      <c r="E51" s="510">
        <f>Stored_C!G57+Stored_C!M57</f>
        <v>0</v>
      </c>
      <c r="F51" s="511">
        <f>F50+HWP!C51</f>
        <v>0</v>
      </c>
      <c r="G51" s="509">
        <f>G50+HWP!D51</f>
        <v>11.349214549522562</v>
      </c>
      <c r="H51" s="510">
        <f>H50+HWP!E51</f>
        <v>9.3631020033561114</v>
      </c>
      <c r="I51" s="493"/>
      <c r="J51" s="512">
        <f>Garden!J58</f>
        <v>0</v>
      </c>
      <c r="K51" s="513">
        <f>Paper!J58</f>
        <v>0.10711038229682653</v>
      </c>
      <c r="L51" s="514">
        <f>Wood!J58</f>
        <v>0</v>
      </c>
      <c r="M51" s="515">
        <f>J51*(1-Recovery_OX!E51)*(1-Recovery_OX!F51)</f>
        <v>0</v>
      </c>
      <c r="N51" s="513">
        <f>K51*(1-Recovery_OX!E51)*(1-Recovery_OX!F51)</f>
        <v>0.10711038229682653</v>
      </c>
      <c r="O51" s="514">
        <f>L51*(1-Recovery_OX!E51)*(1-Recovery_OX!F51)</f>
        <v>0</v>
      </c>
    </row>
    <row r="52" spans="2:15">
      <c r="B52" s="507">
        <f t="shared" si="0"/>
        <v>1990</v>
      </c>
      <c r="C52" s="508">
        <f>Stored_C!E58</f>
        <v>0</v>
      </c>
      <c r="D52" s="509">
        <f>Stored_C!F58+Stored_C!L58</f>
        <v>0</v>
      </c>
      <c r="E52" s="510">
        <f>Stored_C!G58+Stored_C!M58</f>
        <v>0</v>
      </c>
      <c r="F52" s="511">
        <f>F51+HWP!C52</f>
        <v>0</v>
      </c>
      <c r="G52" s="509">
        <f>G51+HWP!D52</f>
        <v>11.349214549522562</v>
      </c>
      <c r="H52" s="510">
        <f>H51+HWP!E52</f>
        <v>9.3631020033561114</v>
      </c>
      <c r="I52" s="493"/>
      <c r="J52" s="512">
        <f>Garden!J59</f>
        <v>0</v>
      </c>
      <c r="K52" s="513">
        <f>Paper!J59</f>
        <v>9.9869058501324534E-2</v>
      </c>
      <c r="L52" s="514">
        <f>Wood!J59</f>
        <v>0</v>
      </c>
      <c r="M52" s="515">
        <f>J52*(1-Recovery_OX!E52)*(1-Recovery_OX!F52)</f>
        <v>0</v>
      </c>
      <c r="N52" s="513">
        <f>K52*(1-Recovery_OX!E52)*(1-Recovery_OX!F52)</f>
        <v>9.9869058501324534E-2</v>
      </c>
      <c r="O52" s="514">
        <f>L52*(1-Recovery_OX!E52)*(1-Recovery_OX!F52)</f>
        <v>0</v>
      </c>
    </row>
    <row r="53" spans="2:15">
      <c r="B53" s="507">
        <f t="shared" si="0"/>
        <v>1991</v>
      </c>
      <c r="C53" s="508">
        <f>Stored_C!E59</f>
        <v>0</v>
      </c>
      <c r="D53" s="509">
        <f>Stored_C!F59+Stored_C!L59</f>
        <v>0</v>
      </c>
      <c r="E53" s="510">
        <f>Stored_C!G59+Stored_C!M59</f>
        <v>0</v>
      </c>
      <c r="F53" s="511">
        <f>F52+HWP!C53</f>
        <v>0</v>
      </c>
      <c r="G53" s="509">
        <f>G52+HWP!D53</f>
        <v>11.349214549522562</v>
      </c>
      <c r="H53" s="510">
        <f>H52+HWP!E53</f>
        <v>9.3631020033561114</v>
      </c>
      <c r="I53" s="493"/>
      <c r="J53" s="512">
        <f>Garden!J60</f>
        <v>0</v>
      </c>
      <c r="K53" s="513">
        <f>Paper!J60</f>
        <v>9.3117292946460609E-2</v>
      </c>
      <c r="L53" s="514">
        <f>Wood!J60</f>
        <v>0</v>
      </c>
      <c r="M53" s="515">
        <f>J53*(1-Recovery_OX!E53)*(1-Recovery_OX!F53)</f>
        <v>0</v>
      </c>
      <c r="N53" s="513">
        <f>K53*(1-Recovery_OX!E53)*(1-Recovery_OX!F53)</f>
        <v>9.3117292946460609E-2</v>
      </c>
      <c r="O53" s="514">
        <f>L53*(1-Recovery_OX!E53)*(1-Recovery_OX!F53)</f>
        <v>0</v>
      </c>
    </row>
    <row r="54" spans="2:15">
      <c r="B54" s="507">
        <f t="shared" si="0"/>
        <v>1992</v>
      </c>
      <c r="C54" s="508">
        <f>Stored_C!E60</f>
        <v>0</v>
      </c>
      <c r="D54" s="509">
        <f>Stored_C!F60+Stored_C!L60</f>
        <v>0</v>
      </c>
      <c r="E54" s="510">
        <f>Stored_C!G60+Stored_C!M60</f>
        <v>0</v>
      </c>
      <c r="F54" s="511">
        <f>F53+HWP!C54</f>
        <v>0</v>
      </c>
      <c r="G54" s="509">
        <f>G53+HWP!D54</f>
        <v>11.349214549522562</v>
      </c>
      <c r="H54" s="510">
        <f>H53+HWP!E54</f>
        <v>9.3631020033561114</v>
      </c>
      <c r="I54" s="493"/>
      <c r="J54" s="512">
        <f>Garden!J61</f>
        <v>0</v>
      </c>
      <c r="K54" s="513">
        <f>Paper!J61</f>
        <v>8.6821988469651626E-2</v>
      </c>
      <c r="L54" s="514">
        <f>Wood!J61</f>
        <v>0</v>
      </c>
      <c r="M54" s="515">
        <f>J54*(1-Recovery_OX!E54)*(1-Recovery_OX!F54)</f>
        <v>0</v>
      </c>
      <c r="N54" s="513">
        <f>K54*(1-Recovery_OX!E54)*(1-Recovery_OX!F54)</f>
        <v>8.6821988469651626E-2</v>
      </c>
      <c r="O54" s="514">
        <f>L54*(1-Recovery_OX!E54)*(1-Recovery_OX!F54)</f>
        <v>0</v>
      </c>
    </row>
    <row r="55" spans="2:15">
      <c r="B55" s="507">
        <f t="shared" si="0"/>
        <v>1993</v>
      </c>
      <c r="C55" s="508">
        <f>Stored_C!E61</f>
        <v>0</v>
      </c>
      <c r="D55" s="509">
        <f>Stored_C!F61+Stored_C!L61</f>
        <v>0</v>
      </c>
      <c r="E55" s="510">
        <f>Stored_C!G61+Stored_C!M61</f>
        <v>0</v>
      </c>
      <c r="F55" s="511">
        <f>F54+HWP!C55</f>
        <v>0</v>
      </c>
      <c r="G55" s="509">
        <f>G54+HWP!D55</f>
        <v>11.349214549522562</v>
      </c>
      <c r="H55" s="510">
        <f>H54+HWP!E55</f>
        <v>9.3631020033561114</v>
      </c>
      <c r="I55" s="493"/>
      <c r="J55" s="512">
        <f>Garden!J62</f>
        <v>0</v>
      </c>
      <c r="K55" s="513">
        <f>Paper!J62</f>
        <v>8.0952285481048672E-2</v>
      </c>
      <c r="L55" s="514">
        <f>Wood!J62</f>
        <v>0</v>
      </c>
      <c r="M55" s="515">
        <f>J55*(1-Recovery_OX!E55)*(1-Recovery_OX!F55)</f>
        <v>0</v>
      </c>
      <c r="N55" s="513">
        <f>K55*(1-Recovery_OX!E55)*(1-Recovery_OX!F55)</f>
        <v>8.0952285481048672E-2</v>
      </c>
      <c r="O55" s="514">
        <f>L55*(1-Recovery_OX!E55)*(1-Recovery_OX!F55)</f>
        <v>0</v>
      </c>
    </row>
    <row r="56" spans="2:15">
      <c r="B56" s="507">
        <f t="shared" si="0"/>
        <v>1994</v>
      </c>
      <c r="C56" s="508">
        <f>Stored_C!E62</f>
        <v>0</v>
      </c>
      <c r="D56" s="509">
        <f>Stored_C!F62+Stored_C!L62</f>
        <v>0</v>
      </c>
      <c r="E56" s="510">
        <f>Stored_C!G62+Stored_C!M62</f>
        <v>0</v>
      </c>
      <c r="F56" s="511">
        <f>F55+HWP!C56</f>
        <v>0</v>
      </c>
      <c r="G56" s="509">
        <f>G55+HWP!D56</f>
        <v>11.349214549522562</v>
      </c>
      <c r="H56" s="510">
        <f>H55+HWP!E56</f>
        <v>9.3631020033561114</v>
      </c>
      <c r="I56" s="493"/>
      <c r="J56" s="512">
        <f>Garden!J63</f>
        <v>0</v>
      </c>
      <c r="K56" s="513">
        <f>Paper!J63</f>
        <v>7.5479410689791804E-2</v>
      </c>
      <c r="L56" s="514">
        <f>Wood!J63</f>
        <v>0</v>
      </c>
      <c r="M56" s="515">
        <f>J56*(1-Recovery_OX!E56)*(1-Recovery_OX!F56)</f>
        <v>0</v>
      </c>
      <c r="N56" s="513">
        <f>K56*(1-Recovery_OX!E56)*(1-Recovery_OX!F56)</f>
        <v>7.5479410689791804E-2</v>
      </c>
      <c r="O56" s="514">
        <f>L56*(1-Recovery_OX!E56)*(1-Recovery_OX!F56)</f>
        <v>0</v>
      </c>
    </row>
    <row r="57" spans="2:15">
      <c r="B57" s="507">
        <f t="shared" si="0"/>
        <v>1995</v>
      </c>
      <c r="C57" s="508">
        <f>Stored_C!E63</f>
        <v>0</v>
      </c>
      <c r="D57" s="509">
        <f>Stored_C!F63+Stored_C!L63</f>
        <v>0</v>
      </c>
      <c r="E57" s="510">
        <f>Stored_C!G63+Stored_C!M63</f>
        <v>0</v>
      </c>
      <c r="F57" s="511">
        <f>F56+HWP!C57</f>
        <v>0</v>
      </c>
      <c r="G57" s="509">
        <f>G56+HWP!D57</f>
        <v>11.349214549522562</v>
      </c>
      <c r="H57" s="510">
        <f>H56+HWP!E57</f>
        <v>9.3631020033561114</v>
      </c>
      <c r="I57" s="493"/>
      <c r="J57" s="512">
        <f>Garden!J64</f>
        <v>0</v>
      </c>
      <c r="K57" s="513">
        <f>Paper!J64</f>
        <v>7.0376536057304845E-2</v>
      </c>
      <c r="L57" s="514">
        <f>Wood!J64</f>
        <v>0</v>
      </c>
      <c r="M57" s="515">
        <f>J57*(1-Recovery_OX!E57)*(1-Recovery_OX!F57)</f>
        <v>0</v>
      </c>
      <c r="N57" s="513">
        <f>K57*(1-Recovery_OX!E57)*(1-Recovery_OX!F57)</f>
        <v>7.0376536057304845E-2</v>
      </c>
      <c r="O57" s="514">
        <f>L57*(1-Recovery_OX!E57)*(1-Recovery_OX!F57)</f>
        <v>0</v>
      </c>
    </row>
    <row r="58" spans="2:15">
      <c r="B58" s="507">
        <f t="shared" si="0"/>
        <v>1996</v>
      </c>
      <c r="C58" s="508">
        <f>Stored_C!E64</f>
        <v>0</v>
      </c>
      <c r="D58" s="509">
        <f>Stored_C!F64+Stored_C!L64</f>
        <v>0</v>
      </c>
      <c r="E58" s="510">
        <f>Stored_C!G64+Stored_C!M64</f>
        <v>0</v>
      </c>
      <c r="F58" s="511">
        <f>F57+HWP!C58</f>
        <v>0</v>
      </c>
      <c r="G58" s="509">
        <f>G57+HWP!D58</f>
        <v>11.349214549522562</v>
      </c>
      <c r="H58" s="510">
        <f>H57+HWP!E58</f>
        <v>9.3631020033561114</v>
      </c>
      <c r="I58" s="493"/>
      <c r="J58" s="512">
        <f>Garden!J65</f>
        <v>0</v>
      </c>
      <c r="K58" s="513">
        <f>Paper!J65</f>
        <v>6.5618647286219162E-2</v>
      </c>
      <c r="L58" s="514">
        <f>Wood!J65</f>
        <v>0</v>
      </c>
      <c r="M58" s="515">
        <f>J58*(1-Recovery_OX!E58)*(1-Recovery_OX!F58)</f>
        <v>0</v>
      </c>
      <c r="N58" s="513">
        <f>K58*(1-Recovery_OX!E58)*(1-Recovery_OX!F58)</f>
        <v>6.5618647286219162E-2</v>
      </c>
      <c r="O58" s="514">
        <f>L58*(1-Recovery_OX!E58)*(1-Recovery_OX!F58)</f>
        <v>0</v>
      </c>
    </row>
    <row r="59" spans="2:15">
      <c r="B59" s="507">
        <f t="shared" si="0"/>
        <v>1997</v>
      </c>
      <c r="C59" s="508">
        <f>Stored_C!E65</f>
        <v>0</v>
      </c>
      <c r="D59" s="509">
        <f>Stored_C!F65+Stored_C!L65</f>
        <v>0</v>
      </c>
      <c r="E59" s="510">
        <f>Stored_C!G65+Stored_C!M65</f>
        <v>0</v>
      </c>
      <c r="F59" s="511">
        <f>F58+HWP!C59</f>
        <v>0</v>
      </c>
      <c r="G59" s="509">
        <f>G58+HWP!D59</f>
        <v>11.349214549522562</v>
      </c>
      <c r="H59" s="510">
        <f>H58+HWP!E59</f>
        <v>9.3631020033561114</v>
      </c>
      <c r="I59" s="493"/>
      <c r="J59" s="512">
        <f>Garden!J66</f>
        <v>0</v>
      </c>
      <c r="K59" s="513">
        <f>Paper!J66</f>
        <v>6.1182421200258977E-2</v>
      </c>
      <c r="L59" s="514">
        <f>Wood!J66</f>
        <v>0</v>
      </c>
      <c r="M59" s="515">
        <f>J59*(1-Recovery_OX!E59)*(1-Recovery_OX!F59)</f>
        <v>0</v>
      </c>
      <c r="N59" s="513">
        <f>K59*(1-Recovery_OX!E59)*(1-Recovery_OX!F59)</f>
        <v>6.1182421200258977E-2</v>
      </c>
      <c r="O59" s="514">
        <f>L59*(1-Recovery_OX!E59)*(1-Recovery_OX!F59)</f>
        <v>0</v>
      </c>
    </row>
    <row r="60" spans="2:15">
      <c r="B60" s="507">
        <f t="shared" si="0"/>
        <v>1998</v>
      </c>
      <c r="C60" s="508">
        <f>Stored_C!E66</f>
        <v>0</v>
      </c>
      <c r="D60" s="509">
        <f>Stored_C!F66+Stored_C!L66</f>
        <v>0</v>
      </c>
      <c r="E60" s="510">
        <f>Stored_C!G66+Stored_C!M66</f>
        <v>0</v>
      </c>
      <c r="F60" s="511">
        <f>F59+HWP!C60</f>
        <v>0</v>
      </c>
      <c r="G60" s="509">
        <f>G59+HWP!D60</f>
        <v>11.349214549522562</v>
      </c>
      <c r="H60" s="510">
        <f>H59+HWP!E60</f>
        <v>9.3631020033561114</v>
      </c>
      <c r="I60" s="493"/>
      <c r="J60" s="512">
        <f>Garden!J67</f>
        <v>0</v>
      </c>
      <c r="K60" s="513">
        <f>Paper!J67</f>
        <v>5.704611141400414E-2</v>
      </c>
      <c r="L60" s="514">
        <f>Wood!J67</f>
        <v>0</v>
      </c>
      <c r="M60" s="515">
        <f>J60*(1-Recovery_OX!E60)*(1-Recovery_OX!F60)</f>
        <v>0</v>
      </c>
      <c r="N60" s="513">
        <f>K60*(1-Recovery_OX!E60)*(1-Recovery_OX!F60)</f>
        <v>5.704611141400414E-2</v>
      </c>
      <c r="O60" s="514">
        <f>L60*(1-Recovery_OX!E60)*(1-Recovery_OX!F60)</f>
        <v>0</v>
      </c>
    </row>
    <row r="61" spans="2:15">
      <c r="B61" s="507">
        <f t="shared" si="0"/>
        <v>1999</v>
      </c>
      <c r="C61" s="508">
        <f>Stored_C!E67</f>
        <v>0</v>
      </c>
      <c r="D61" s="509">
        <f>Stored_C!F67+Stored_C!L67</f>
        <v>0</v>
      </c>
      <c r="E61" s="510">
        <f>Stored_C!G67+Stored_C!M67</f>
        <v>0</v>
      </c>
      <c r="F61" s="511">
        <f>F60+HWP!C61</f>
        <v>0</v>
      </c>
      <c r="G61" s="509">
        <f>G60+HWP!D61</f>
        <v>11.349214549522562</v>
      </c>
      <c r="H61" s="510">
        <f>H60+HWP!E61</f>
        <v>9.3631020033561114</v>
      </c>
      <c r="I61" s="493"/>
      <c r="J61" s="512">
        <f>Garden!J68</f>
        <v>0</v>
      </c>
      <c r="K61" s="513">
        <f>Paper!J68</f>
        <v>5.3189441732083634E-2</v>
      </c>
      <c r="L61" s="514">
        <f>Wood!J68</f>
        <v>0</v>
      </c>
      <c r="M61" s="515">
        <f>J61*(1-Recovery_OX!E61)*(1-Recovery_OX!F61)</f>
        <v>0</v>
      </c>
      <c r="N61" s="513">
        <f>K61*(1-Recovery_OX!E61)*(1-Recovery_OX!F61)</f>
        <v>5.3189441732083634E-2</v>
      </c>
      <c r="O61" s="514">
        <f>L61*(1-Recovery_OX!E61)*(1-Recovery_OX!F61)</f>
        <v>0</v>
      </c>
    </row>
    <row r="62" spans="2:15">
      <c r="B62" s="507">
        <f t="shared" si="0"/>
        <v>2000</v>
      </c>
      <c r="C62" s="508">
        <f>Stored_C!E68</f>
        <v>0</v>
      </c>
      <c r="D62" s="509">
        <f>Stored_C!F68+Stored_C!L68</f>
        <v>0</v>
      </c>
      <c r="E62" s="510">
        <f>Stored_C!G68+Stored_C!M68</f>
        <v>0</v>
      </c>
      <c r="F62" s="511">
        <f>F61+HWP!C62</f>
        <v>0</v>
      </c>
      <c r="G62" s="509">
        <f>G61+HWP!D62</f>
        <v>11.349214549522562</v>
      </c>
      <c r="H62" s="510">
        <f>H61+HWP!E62</f>
        <v>9.3631020033561114</v>
      </c>
      <c r="I62" s="493"/>
      <c r="J62" s="512">
        <f>Garden!J69</f>
        <v>0</v>
      </c>
      <c r="K62" s="513">
        <f>Paper!J69</f>
        <v>4.9593506755242323E-2</v>
      </c>
      <c r="L62" s="514">
        <f>Wood!J69</f>
        <v>0</v>
      </c>
      <c r="M62" s="515">
        <f>J62*(1-Recovery_OX!E62)*(1-Recovery_OX!F62)</f>
        <v>0</v>
      </c>
      <c r="N62" s="513">
        <f>K62*(1-Recovery_OX!E62)*(1-Recovery_OX!F62)</f>
        <v>4.9593506755242323E-2</v>
      </c>
      <c r="O62" s="514">
        <f>L62*(1-Recovery_OX!E62)*(1-Recovery_OX!F62)</f>
        <v>0</v>
      </c>
    </row>
    <row r="63" spans="2:15">
      <c r="B63" s="507">
        <f t="shared" si="0"/>
        <v>2001</v>
      </c>
      <c r="C63" s="508">
        <f>Stored_C!E69</f>
        <v>0</v>
      </c>
      <c r="D63" s="509">
        <f>Stored_C!F69+Stored_C!L69</f>
        <v>0</v>
      </c>
      <c r="E63" s="510">
        <f>Stored_C!G69+Stored_C!M69</f>
        <v>0</v>
      </c>
      <c r="F63" s="511">
        <f>F62+HWP!C63</f>
        <v>0</v>
      </c>
      <c r="G63" s="509">
        <f>G62+HWP!D63</f>
        <v>11.349214549522562</v>
      </c>
      <c r="H63" s="510">
        <f>H62+HWP!E63</f>
        <v>9.3631020033561114</v>
      </c>
      <c r="I63" s="493"/>
      <c r="J63" s="512">
        <f>Garden!J70</f>
        <v>0</v>
      </c>
      <c r="K63" s="513">
        <f>Paper!J70</f>
        <v>4.6240679206051835E-2</v>
      </c>
      <c r="L63" s="514">
        <f>Wood!J70</f>
        <v>0</v>
      </c>
      <c r="M63" s="515">
        <f>J63*(1-Recovery_OX!E63)*(1-Recovery_OX!F63)</f>
        <v>0</v>
      </c>
      <c r="N63" s="513">
        <f>K63*(1-Recovery_OX!E63)*(1-Recovery_OX!F63)</f>
        <v>4.6240679206051835E-2</v>
      </c>
      <c r="O63" s="514">
        <f>L63*(1-Recovery_OX!E63)*(1-Recovery_OX!F63)</f>
        <v>0</v>
      </c>
    </row>
    <row r="64" spans="2:15">
      <c r="B64" s="507">
        <f t="shared" si="0"/>
        <v>2002</v>
      </c>
      <c r="C64" s="508">
        <f>Stored_C!E70</f>
        <v>0</v>
      </c>
      <c r="D64" s="509">
        <f>Stored_C!F70+Stored_C!L70</f>
        <v>0</v>
      </c>
      <c r="E64" s="510">
        <f>Stored_C!G70+Stored_C!M70</f>
        <v>0</v>
      </c>
      <c r="F64" s="511">
        <f>F63+HWP!C64</f>
        <v>0</v>
      </c>
      <c r="G64" s="509">
        <f>G63+HWP!D64</f>
        <v>11.349214549522562</v>
      </c>
      <c r="H64" s="510">
        <f>H63+HWP!E64</f>
        <v>9.3631020033561114</v>
      </c>
      <c r="I64" s="493"/>
      <c r="J64" s="512">
        <f>Garden!J71</f>
        <v>0</v>
      </c>
      <c r="K64" s="513">
        <f>Paper!J71</f>
        <v>4.3114523519976224E-2</v>
      </c>
      <c r="L64" s="514">
        <f>Wood!J71</f>
        <v>0</v>
      </c>
      <c r="M64" s="515">
        <f>J64*(1-Recovery_OX!E64)*(1-Recovery_OX!F64)</f>
        <v>0</v>
      </c>
      <c r="N64" s="513">
        <f>K64*(1-Recovery_OX!E64)*(1-Recovery_OX!F64)</f>
        <v>4.3114523519976224E-2</v>
      </c>
      <c r="O64" s="514">
        <f>L64*(1-Recovery_OX!E64)*(1-Recovery_OX!F64)</f>
        <v>0</v>
      </c>
    </row>
    <row r="65" spans="2:15">
      <c r="B65" s="507">
        <f t="shared" si="0"/>
        <v>2003</v>
      </c>
      <c r="C65" s="508">
        <f>Stored_C!E71</f>
        <v>0</v>
      </c>
      <c r="D65" s="509">
        <f>Stored_C!F71+Stored_C!L71</f>
        <v>0</v>
      </c>
      <c r="E65" s="510">
        <f>Stored_C!G71+Stored_C!M71</f>
        <v>0</v>
      </c>
      <c r="F65" s="511">
        <f>F64+HWP!C65</f>
        <v>0</v>
      </c>
      <c r="G65" s="509">
        <f>G64+HWP!D65</f>
        <v>11.349214549522562</v>
      </c>
      <c r="H65" s="510">
        <f>H64+HWP!E65</f>
        <v>9.3631020033561114</v>
      </c>
      <c r="I65" s="493"/>
      <c r="J65" s="512">
        <f>Garden!J72</f>
        <v>0</v>
      </c>
      <c r="K65" s="513">
        <f>Paper!J72</f>
        <v>4.0199715278215482E-2</v>
      </c>
      <c r="L65" s="514">
        <f>Wood!J72</f>
        <v>0</v>
      </c>
      <c r="M65" s="515">
        <f>J65*(1-Recovery_OX!E65)*(1-Recovery_OX!F65)</f>
        <v>0</v>
      </c>
      <c r="N65" s="513">
        <f>K65*(1-Recovery_OX!E65)*(1-Recovery_OX!F65)</f>
        <v>4.0199715278215482E-2</v>
      </c>
      <c r="O65" s="514">
        <f>L65*(1-Recovery_OX!E65)*(1-Recovery_OX!F65)</f>
        <v>0</v>
      </c>
    </row>
    <row r="66" spans="2:15">
      <c r="B66" s="507">
        <f t="shared" si="0"/>
        <v>2004</v>
      </c>
      <c r="C66" s="508">
        <f>Stored_C!E72</f>
        <v>0</v>
      </c>
      <c r="D66" s="509">
        <f>Stored_C!F72+Stored_C!L72</f>
        <v>0</v>
      </c>
      <c r="E66" s="510">
        <f>Stored_C!G72+Stored_C!M72</f>
        <v>0</v>
      </c>
      <c r="F66" s="511">
        <f>F65+HWP!C66</f>
        <v>0</v>
      </c>
      <c r="G66" s="509">
        <f>G65+HWP!D66</f>
        <v>11.349214549522562</v>
      </c>
      <c r="H66" s="510">
        <f>H65+HWP!E66</f>
        <v>9.3631020033561114</v>
      </c>
      <c r="I66" s="493"/>
      <c r="J66" s="512">
        <f>Garden!J73</f>
        <v>0</v>
      </c>
      <c r="K66" s="513">
        <f>Paper!J73</f>
        <v>3.7481966087386839E-2</v>
      </c>
      <c r="L66" s="514">
        <f>Wood!J73</f>
        <v>0</v>
      </c>
      <c r="M66" s="515">
        <f>J66*(1-Recovery_OX!E66)*(1-Recovery_OX!F66)</f>
        <v>0</v>
      </c>
      <c r="N66" s="513">
        <f>K66*(1-Recovery_OX!E66)*(1-Recovery_OX!F66)</f>
        <v>3.7481966087386839E-2</v>
      </c>
      <c r="O66" s="514">
        <f>L66*(1-Recovery_OX!E66)*(1-Recovery_OX!F66)</f>
        <v>0</v>
      </c>
    </row>
    <row r="67" spans="2:15">
      <c r="B67" s="507">
        <f t="shared" si="0"/>
        <v>2005</v>
      </c>
      <c r="C67" s="508">
        <f>Stored_C!E73</f>
        <v>0</v>
      </c>
      <c r="D67" s="509">
        <f>Stored_C!F73+Stored_C!L73</f>
        <v>0</v>
      </c>
      <c r="E67" s="510">
        <f>Stored_C!G73+Stored_C!M73</f>
        <v>0</v>
      </c>
      <c r="F67" s="511">
        <f>F66+HWP!C67</f>
        <v>0</v>
      </c>
      <c r="G67" s="509">
        <f>G66+HWP!D67</f>
        <v>11.349214549522562</v>
      </c>
      <c r="H67" s="510">
        <f>H66+HWP!E67</f>
        <v>9.3631020033561114</v>
      </c>
      <c r="I67" s="493"/>
      <c r="J67" s="512">
        <f>Garden!J74</f>
        <v>0</v>
      </c>
      <c r="K67" s="513">
        <f>Paper!J74</f>
        <v>3.4947953537803826E-2</v>
      </c>
      <c r="L67" s="514">
        <f>Wood!J74</f>
        <v>0</v>
      </c>
      <c r="M67" s="515">
        <f>J67*(1-Recovery_OX!E67)*(1-Recovery_OX!F67)</f>
        <v>0</v>
      </c>
      <c r="N67" s="513">
        <f>K67*(1-Recovery_OX!E67)*(1-Recovery_OX!F67)</f>
        <v>3.4947953537803826E-2</v>
      </c>
      <c r="O67" s="514">
        <f>L67*(1-Recovery_OX!E67)*(1-Recovery_OX!F67)</f>
        <v>0</v>
      </c>
    </row>
    <row r="68" spans="2:15">
      <c r="B68" s="507">
        <f t="shared" si="0"/>
        <v>2006</v>
      </c>
      <c r="C68" s="508">
        <f>Stored_C!E74</f>
        <v>0</v>
      </c>
      <c r="D68" s="509">
        <f>Stored_C!F74+Stored_C!L74</f>
        <v>0</v>
      </c>
      <c r="E68" s="510">
        <f>Stored_C!G74+Stored_C!M74</f>
        <v>0</v>
      </c>
      <c r="F68" s="511">
        <f>F67+HWP!C68</f>
        <v>0</v>
      </c>
      <c r="G68" s="509">
        <f>G67+HWP!D68</f>
        <v>11.349214549522562</v>
      </c>
      <c r="H68" s="510">
        <f>H67+HWP!E68</f>
        <v>9.3631020033561114</v>
      </c>
      <c r="I68" s="493"/>
      <c r="J68" s="512">
        <f>Garden!J75</f>
        <v>0</v>
      </c>
      <c r="K68" s="513">
        <f>Paper!J75</f>
        <v>3.258525589700851E-2</v>
      </c>
      <c r="L68" s="514">
        <f>Wood!J75</f>
        <v>0</v>
      </c>
      <c r="M68" s="515">
        <f>J68*(1-Recovery_OX!E68)*(1-Recovery_OX!F68)</f>
        <v>0</v>
      </c>
      <c r="N68" s="513">
        <f>K68*(1-Recovery_OX!E68)*(1-Recovery_OX!F68)</f>
        <v>3.258525589700851E-2</v>
      </c>
      <c r="O68" s="514">
        <f>L68*(1-Recovery_OX!E68)*(1-Recovery_OX!F68)</f>
        <v>0</v>
      </c>
    </row>
    <row r="69" spans="2:15">
      <c r="B69" s="507">
        <f t="shared" si="0"/>
        <v>2007</v>
      </c>
      <c r="C69" s="508">
        <f>Stored_C!E75</f>
        <v>0</v>
      </c>
      <c r="D69" s="509">
        <f>Stored_C!F75+Stored_C!L75</f>
        <v>0</v>
      </c>
      <c r="E69" s="510">
        <f>Stored_C!G75+Stored_C!M75</f>
        <v>0</v>
      </c>
      <c r="F69" s="511">
        <f>F68+HWP!C69</f>
        <v>0</v>
      </c>
      <c r="G69" s="509">
        <f>G68+HWP!D69</f>
        <v>11.349214549522562</v>
      </c>
      <c r="H69" s="510">
        <f>H68+HWP!E69</f>
        <v>9.3631020033561114</v>
      </c>
      <c r="I69" s="493"/>
      <c r="J69" s="512">
        <f>Garden!J76</f>
        <v>0</v>
      </c>
      <c r="K69" s="513">
        <f>Paper!J76</f>
        <v>3.038229121842459E-2</v>
      </c>
      <c r="L69" s="514">
        <f>Wood!J76</f>
        <v>0</v>
      </c>
      <c r="M69" s="515">
        <f>J69*(1-Recovery_OX!E69)*(1-Recovery_OX!F69)</f>
        <v>0</v>
      </c>
      <c r="N69" s="513">
        <f>K69*(1-Recovery_OX!E69)*(1-Recovery_OX!F69)</f>
        <v>3.038229121842459E-2</v>
      </c>
      <c r="O69" s="514">
        <f>L69*(1-Recovery_OX!E69)*(1-Recovery_OX!F69)</f>
        <v>0</v>
      </c>
    </row>
    <row r="70" spans="2:15">
      <c r="B70" s="507">
        <f t="shared" si="0"/>
        <v>2008</v>
      </c>
      <c r="C70" s="508">
        <f>Stored_C!E76</f>
        <v>0</v>
      </c>
      <c r="D70" s="509">
        <f>Stored_C!F76+Stored_C!L76</f>
        <v>0</v>
      </c>
      <c r="E70" s="510">
        <f>Stored_C!G76+Stored_C!M76</f>
        <v>0</v>
      </c>
      <c r="F70" s="511">
        <f>F69+HWP!C70</f>
        <v>0</v>
      </c>
      <c r="G70" s="509">
        <f>G69+HWP!D70</f>
        <v>11.349214549522562</v>
      </c>
      <c r="H70" s="510">
        <f>H69+HWP!E70</f>
        <v>9.3631020033561114</v>
      </c>
      <c r="I70" s="493"/>
      <c r="J70" s="512">
        <f>Garden!J77</f>
        <v>0</v>
      </c>
      <c r="K70" s="513">
        <f>Paper!J77</f>
        <v>2.8328260566641849E-2</v>
      </c>
      <c r="L70" s="514">
        <f>Wood!J77</f>
        <v>0</v>
      </c>
      <c r="M70" s="515">
        <f>J70*(1-Recovery_OX!E70)*(1-Recovery_OX!F70)</f>
        <v>0</v>
      </c>
      <c r="N70" s="513">
        <f>K70*(1-Recovery_OX!E70)*(1-Recovery_OX!F70)</f>
        <v>2.8328260566641849E-2</v>
      </c>
      <c r="O70" s="514">
        <f>L70*(1-Recovery_OX!E70)*(1-Recovery_OX!F70)</f>
        <v>0</v>
      </c>
    </row>
    <row r="71" spans="2:15">
      <c r="B71" s="507">
        <f t="shared" si="0"/>
        <v>2009</v>
      </c>
      <c r="C71" s="508">
        <f>Stored_C!E77</f>
        <v>0</v>
      </c>
      <c r="D71" s="509">
        <f>Stored_C!F77+Stored_C!L77</f>
        <v>0</v>
      </c>
      <c r="E71" s="510">
        <f>Stored_C!G77+Stored_C!M77</f>
        <v>0</v>
      </c>
      <c r="F71" s="511">
        <f>F70+HWP!C71</f>
        <v>0</v>
      </c>
      <c r="G71" s="509">
        <f>G70+HWP!D71</f>
        <v>11.349214549522562</v>
      </c>
      <c r="H71" s="510">
        <f>H70+HWP!E71</f>
        <v>9.3631020033561114</v>
      </c>
      <c r="I71" s="493"/>
      <c r="J71" s="512">
        <f>Garden!J78</f>
        <v>0</v>
      </c>
      <c r="K71" s="513">
        <f>Paper!J78</f>
        <v>2.6413095081022239E-2</v>
      </c>
      <c r="L71" s="514">
        <f>Wood!J78</f>
        <v>0</v>
      </c>
      <c r="M71" s="515">
        <f>J71*(1-Recovery_OX!E71)*(1-Recovery_OX!F71)</f>
        <v>0</v>
      </c>
      <c r="N71" s="513">
        <f>K71*(1-Recovery_OX!E71)*(1-Recovery_OX!F71)</f>
        <v>2.6413095081022239E-2</v>
      </c>
      <c r="O71" s="514">
        <f>L71*(1-Recovery_OX!E71)*(1-Recovery_OX!F71)</f>
        <v>0</v>
      </c>
    </row>
    <row r="72" spans="2:15">
      <c r="B72" s="507">
        <f t="shared" si="0"/>
        <v>2010</v>
      </c>
      <c r="C72" s="508">
        <f>Stored_C!E78</f>
        <v>0</v>
      </c>
      <c r="D72" s="509">
        <f>Stored_C!F78+Stored_C!L78</f>
        <v>0</v>
      </c>
      <c r="E72" s="510">
        <f>Stored_C!G78+Stored_C!M78</f>
        <v>0</v>
      </c>
      <c r="F72" s="511">
        <f>F71+HWP!C72</f>
        <v>0</v>
      </c>
      <c r="G72" s="509">
        <f>G71+HWP!D72</f>
        <v>11.349214549522562</v>
      </c>
      <c r="H72" s="510">
        <f>H71+HWP!E72</f>
        <v>9.3631020033561114</v>
      </c>
      <c r="I72" s="493"/>
      <c r="J72" s="512">
        <f>Garden!J79</f>
        <v>0</v>
      </c>
      <c r="K72" s="513">
        <f>Paper!J79</f>
        <v>2.4627406618133337E-2</v>
      </c>
      <c r="L72" s="514">
        <f>Wood!J79</f>
        <v>0</v>
      </c>
      <c r="M72" s="515">
        <f>J72*(1-Recovery_OX!E72)*(1-Recovery_OX!F72)</f>
        <v>0</v>
      </c>
      <c r="N72" s="513">
        <f>K72*(1-Recovery_OX!E72)*(1-Recovery_OX!F72)</f>
        <v>2.4627406618133337E-2</v>
      </c>
      <c r="O72" s="514">
        <f>L72*(1-Recovery_OX!E72)*(1-Recovery_OX!F72)</f>
        <v>0</v>
      </c>
    </row>
    <row r="73" spans="2:15">
      <c r="B73" s="507">
        <f t="shared" si="0"/>
        <v>2011</v>
      </c>
      <c r="C73" s="508">
        <f>Stored_C!E79</f>
        <v>0</v>
      </c>
      <c r="D73" s="509">
        <f>Stored_C!F79+Stored_C!L79</f>
        <v>0</v>
      </c>
      <c r="E73" s="510">
        <f>Stored_C!G79+Stored_C!M79</f>
        <v>0</v>
      </c>
      <c r="F73" s="511">
        <f>F72+HWP!C73</f>
        <v>0</v>
      </c>
      <c r="G73" s="509">
        <f>G72+HWP!D73</f>
        <v>11.349214549522562</v>
      </c>
      <c r="H73" s="510">
        <f>H72+HWP!E73</f>
        <v>9.3631020033561114</v>
      </c>
      <c r="I73" s="493"/>
      <c r="J73" s="512">
        <f>Garden!J80</f>
        <v>0</v>
      </c>
      <c r="K73" s="513">
        <f>Paper!J80</f>
        <v>2.2962441731058374E-2</v>
      </c>
      <c r="L73" s="514">
        <f>Wood!J80</f>
        <v>0</v>
      </c>
      <c r="M73" s="515">
        <f>J73*(1-Recovery_OX!E73)*(1-Recovery_OX!F73)</f>
        <v>0</v>
      </c>
      <c r="N73" s="513">
        <f>K73*(1-Recovery_OX!E73)*(1-Recovery_OX!F73)</f>
        <v>2.2962441731058374E-2</v>
      </c>
      <c r="O73" s="514">
        <f>L73*(1-Recovery_OX!E73)*(1-Recovery_OX!F73)</f>
        <v>0</v>
      </c>
    </row>
    <row r="74" spans="2:15">
      <c r="B74" s="507">
        <f t="shared" si="0"/>
        <v>2012</v>
      </c>
      <c r="C74" s="508">
        <f>Stored_C!E80</f>
        <v>0</v>
      </c>
      <c r="D74" s="509">
        <f>Stored_C!F80+Stored_C!L80</f>
        <v>0</v>
      </c>
      <c r="E74" s="510">
        <f>Stored_C!G80+Stored_C!M80</f>
        <v>0</v>
      </c>
      <c r="F74" s="511">
        <f>F73+HWP!C74</f>
        <v>0</v>
      </c>
      <c r="G74" s="509">
        <f>G73+HWP!D74</f>
        <v>11.349214549522562</v>
      </c>
      <c r="H74" s="510">
        <f>H73+HWP!E74</f>
        <v>9.3631020033561114</v>
      </c>
      <c r="I74" s="493"/>
      <c r="J74" s="512">
        <f>Garden!J81</f>
        <v>0</v>
      </c>
      <c r="K74" s="513">
        <f>Paper!J81</f>
        <v>2.1410038759989272E-2</v>
      </c>
      <c r="L74" s="514">
        <f>Wood!J81</f>
        <v>0</v>
      </c>
      <c r="M74" s="515">
        <f>J74*(1-Recovery_OX!E74)*(1-Recovery_OX!F74)</f>
        <v>0</v>
      </c>
      <c r="N74" s="513">
        <f>K74*(1-Recovery_OX!E74)*(1-Recovery_OX!F74)</f>
        <v>2.1410038759989272E-2</v>
      </c>
      <c r="O74" s="514">
        <f>L74*(1-Recovery_OX!E74)*(1-Recovery_OX!F74)</f>
        <v>0</v>
      </c>
    </row>
    <row r="75" spans="2:15">
      <c r="B75" s="507">
        <f t="shared" si="0"/>
        <v>2013</v>
      </c>
      <c r="C75" s="508">
        <f>Stored_C!E81</f>
        <v>0</v>
      </c>
      <c r="D75" s="509">
        <f>Stored_C!F81+Stored_C!L81</f>
        <v>0</v>
      </c>
      <c r="E75" s="510">
        <f>Stored_C!G81+Stored_C!M81</f>
        <v>0</v>
      </c>
      <c r="F75" s="511">
        <f>F74+HWP!C75</f>
        <v>0</v>
      </c>
      <c r="G75" s="509">
        <f>G74+HWP!D75</f>
        <v>11.349214549522562</v>
      </c>
      <c r="H75" s="510">
        <f>H74+HWP!E75</f>
        <v>9.3631020033561114</v>
      </c>
      <c r="I75" s="493"/>
      <c r="J75" s="512">
        <f>Garden!J82</f>
        <v>0</v>
      </c>
      <c r="K75" s="513">
        <f>Paper!J82</f>
        <v>1.996258782376081E-2</v>
      </c>
      <c r="L75" s="514">
        <f>Wood!J82</f>
        <v>0</v>
      </c>
      <c r="M75" s="515">
        <f>J75*(1-Recovery_OX!E75)*(1-Recovery_OX!F75)</f>
        <v>0</v>
      </c>
      <c r="N75" s="513">
        <f>K75*(1-Recovery_OX!E75)*(1-Recovery_OX!F75)</f>
        <v>1.996258782376081E-2</v>
      </c>
      <c r="O75" s="514">
        <f>L75*(1-Recovery_OX!E75)*(1-Recovery_OX!F75)</f>
        <v>0</v>
      </c>
    </row>
    <row r="76" spans="2:15">
      <c r="B76" s="507">
        <f t="shared" si="0"/>
        <v>2014</v>
      </c>
      <c r="C76" s="508">
        <f>Stored_C!E82</f>
        <v>0</v>
      </c>
      <c r="D76" s="509">
        <f>Stored_C!F82+Stored_C!L82</f>
        <v>0</v>
      </c>
      <c r="E76" s="510">
        <f>Stored_C!G82+Stored_C!M82</f>
        <v>0</v>
      </c>
      <c r="F76" s="511">
        <f>F75+HWP!C76</f>
        <v>0</v>
      </c>
      <c r="G76" s="509">
        <f>G75+HWP!D76</f>
        <v>11.349214549522562</v>
      </c>
      <c r="H76" s="510">
        <f>H75+HWP!E76</f>
        <v>9.3631020033561114</v>
      </c>
      <c r="I76" s="493"/>
      <c r="J76" s="512">
        <f>Garden!J83</f>
        <v>0</v>
      </c>
      <c r="K76" s="513">
        <f>Paper!J83</f>
        <v>1.861299351620431E-2</v>
      </c>
      <c r="L76" s="514">
        <f>Wood!J83</f>
        <v>0</v>
      </c>
      <c r="M76" s="515">
        <f>J76*(1-Recovery_OX!E76)*(1-Recovery_OX!F76)</f>
        <v>0</v>
      </c>
      <c r="N76" s="513">
        <f>K76*(1-Recovery_OX!E76)*(1-Recovery_OX!F76)</f>
        <v>1.861299351620431E-2</v>
      </c>
      <c r="O76" s="514">
        <f>L76*(1-Recovery_OX!E76)*(1-Recovery_OX!F76)</f>
        <v>0</v>
      </c>
    </row>
    <row r="77" spans="2:15">
      <c r="B77" s="507">
        <f t="shared" si="0"/>
        <v>2015</v>
      </c>
      <c r="C77" s="508">
        <f>Stored_C!E83</f>
        <v>0</v>
      </c>
      <c r="D77" s="509">
        <f>Stored_C!F83+Stored_C!L83</f>
        <v>0</v>
      </c>
      <c r="E77" s="510">
        <f>Stored_C!G83+Stored_C!M83</f>
        <v>0</v>
      </c>
      <c r="F77" s="511">
        <f>F76+HWP!C77</f>
        <v>0</v>
      </c>
      <c r="G77" s="509">
        <f>G76+HWP!D77</f>
        <v>11.349214549522562</v>
      </c>
      <c r="H77" s="510">
        <f>H76+HWP!E77</f>
        <v>9.3631020033561114</v>
      </c>
      <c r="I77" s="493"/>
      <c r="J77" s="512">
        <f>Garden!J84</f>
        <v>0</v>
      </c>
      <c r="K77" s="513">
        <f>Paper!J84</f>
        <v>1.7354640124458386E-2</v>
      </c>
      <c r="L77" s="514">
        <f>Wood!J84</f>
        <v>0</v>
      </c>
      <c r="M77" s="515">
        <f>J77*(1-Recovery_OX!E77)*(1-Recovery_OX!F77)</f>
        <v>0</v>
      </c>
      <c r="N77" s="513">
        <f>K77*(1-Recovery_OX!E77)*(1-Recovery_OX!F77)</f>
        <v>1.7354640124458386E-2</v>
      </c>
      <c r="O77" s="514">
        <f>L77*(1-Recovery_OX!E77)*(1-Recovery_OX!F77)</f>
        <v>0</v>
      </c>
    </row>
    <row r="78" spans="2:15">
      <c r="B78" s="507">
        <f t="shared" ref="B78:B92" si="1">B77+1</f>
        <v>2016</v>
      </c>
      <c r="C78" s="508">
        <f>Stored_C!E84</f>
        <v>0</v>
      </c>
      <c r="D78" s="509">
        <f>Stored_C!F84+Stored_C!L84</f>
        <v>0</v>
      </c>
      <c r="E78" s="510">
        <f>Stored_C!G84+Stored_C!M84</f>
        <v>0</v>
      </c>
      <c r="F78" s="511">
        <f>F77+HWP!C78</f>
        <v>0</v>
      </c>
      <c r="G78" s="509">
        <f>G77+HWP!D78</f>
        <v>11.349214549522562</v>
      </c>
      <c r="H78" s="510">
        <f>H77+HWP!E78</f>
        <v>9.3631020033561114</v>
      </c>
      <c r="I78" s="493"/>
      <c r="J78" s="512">
        <f>Garden!J85</f>
        <v>0</v>
      </c>
      <c r="K78" s="513">
        <f>Paper!J85</f>
        <v>1.6181359198736794E-2</v>
      </c>
      <c r="L78" s="514">
        <f>Wood!J85</f>
        <v>0</v>
      </c>
      <c r="M78" s="515">
        <f>J78*(1-Recovery_OX!E78)*(1-Recovery_OX!F78)</f>
        <v>0</v>
      </c>
      <c r="N78" s="513">
        <f>K78*(1-Recovery_OX!E78)*(1-Recovery_OX!F78)</f>
        <v>1.6181359198736794E-2</v>
      </c>
      <c r="O78" s="514">
        <f>L78*(1-Recovery_OX!E78)*(1-Recovery_OX!F78)</f>
        <v>0</v>
      </c>
    </row>
    <row r="79" spans="2:15">
      <c r="B79" s="507">
        <f t="shared" si="1"/>
        <v>2017</v>
      </c>
      <c r="C79" s="508">
        <f>Stored_C!E85</f>
        <v>0</v>
      </c>
      <c r="D79" s="509">
        <f>Stored_C!F85+Stored_C!L85</f>
        <v>0</v>
      </c>
      <c r="E79" s="510">
        <f>Stored_C!G85+Stored_C!M85</f>
        <v>0</v>
      </c>
      <c r="F79" s="511">
        <f>F78+HWP!C79</f>
        <v>0</v>
      </c>
      <c r="G79" s="509">
        <f>G78+HWP!D79</f>
        <v>11.349214549522562</v>
      </c>
      <c r="H79" s="510">
        <f>H78+HWP!E79</f>
        <v>9.3631020033561114</v>
      </c>
      <c r="I79" s="493"/>
      <c r="J79" s="512">
        <f>Garden!J86</f>
        <v>0</v>
      </c>
      <c r="K79" s="513">
        <f>Paper!J86</f>
        <v>1.5087399314580455E-2</v>
      </c>
      <c r="L79" s="514">
        <f>Wood!J86</f>
        <v>0</v>
      </c>
      <c r="M79" s="515">
        <f>J79*(1-Recovery_OX!E79)*(1-Recovery_OX!F79)</f>
        <v>0</v>
      </c>
      <c r="N79" s="513">
        <f>K79*(1-Recovery_OX!E79)*(1-Recovery_OX!F79)</f>
        <v>1.5087399314580455E-2</v>
      </c>
      <c r="O79" s="514">
        <f>L79*(1-Recovery_OX!E79)*(1-Recovery_OX!F79)</f>
        <v>0</v>
      </c>
    </row>
    <row r="80" spans="2:15">
      <c r="B80" s="507">
        <f t="shared" si="1"/>
        <v>2018</v>
      </c>
      <c r="C80" s="508">
        <f>Stored_C!E86</f>
        <v>0</v>
      </c>
      <c r="D80" s="509">
        <f>Stored_C!F86+Stored_C!L86</f>
        <v>0</v>
      </c>
      <c r="E80" s="510">
        <f>Stored_C!G86+Stored_C!M86</f>
        <v>0</v>
      </c>
      <c r="F80" s="511">
        <f>F79+HWP!C80</f>
        <v>0</v>
      </c>
      <c r="G80" s="509">
        <f>G79+HWP!D80</f>
        <v>11.349214549522562</v>
      </c>
      <c r="H80" s="510">
        <f>H79+HWP!E80</f>
        <v>9.3631020033561114</v>
      </c>
      <c r="I80" s="493"/>
      <c r="J80" s="512">
        <f>Garden!J87</f>
        <v>0</v>
      </c>
      <c r="K80" s="513">
        <f>Paper!J87</f>
        <v>1.4067397879368056E-2</v>
      </c>
      <c r="L80" s="514">
        <f>Wood!J87</f>
        <v>0</v>
      </c>
      <c r="M80" s="515">
        <f>J80*(1-Recovery_OX!E80)*(1-Recovery_OX!F80)</f>
        <v>0</v>
      </c>
      <c r="N80" s="513">
        <f>K80*(1-Recovery_OX!E80)*(1-Recovery_OX!F80)</f>
        <v>1.4067397879368056E-2</v>
      </c>
      <c r="O80" s="514">
        <f>L80*(1-Recovery_OX!E80)*(1-Recovery_OX!F80)</f>
        <v>0</v>
      </c>
    </row>
    <row r="81" spans="2:15">
      <c r="B81" s="507">
        <f t="shared" si="1"/>
        <v>2019</v>
      </c>
      <c r="C81" s="508">
        <f>Stored_C!E87</f>
        <v>0</v>
      </c>
      <c r="D81" s="509">
        <f>Stored_C!F87+Stored_C!L87</f>
        <v>0</v>
      </c>
      <c r="E81" s="510">
        <f>Stored_C!G87+Stored_C!M87</f>
        <v>0</v>
      </c>
      <c r="F81" s="511">
        <f>F80+HWP!C81</f>
        <v>0</v>
      </c>
      <c r="G81" s="509">
        <f>G80+HWP!D81</f>
        <v>11.349214549522562</v>
      </c>
      <c r="H81" s="510">
        <f>H80+HWP!E81</f>
        <v>9.3631020033561114</v>
      </c>
      <c r="I81" s="493"/>
      <c r="J81" s="512">
        <f>Garden!J88</f>
        <v>0</v>
      </c>
      <c r="K81" s="513">
        <f>Paper!J88</f>
        <v>1.3116354844880818E-2</v>
      </c>
      <c r="L81" s="514">
        <f>Wood!J88</f>
        <v>0</v>
      </c>
      <c r="M81" s="515">
        <f>J81*(1-Recovery_OX!E81)*(1-Recovery_OX!F81)</f>
        <v>0</v>
      </c>
      <c r="N81" s="513">
        <f>K81*(1-Recovery_OX!E81)*(1-Recovery_OX!F81)</f>
        <v>1.3116354844880818E-2</v>
      </c>
      <c r="O81" s="514">
        <f>L81*(1-Recovery_OX!E81)*(1-Recovery_OX!F81)</f>
        <v>0</v>
      </c>
    </row>
    <row r="82" spans="2:15">
      <c r="B82" s="507">
        <f t="shared" si="1"/>
        <v>2020</v>
      </c>
      <c r="C82" s="508">
        <f>Stored_C!E88</f>
        <v>0</v>
      </c>
      <c r="D82" s="509">
        <f>Stored_C!F88+Stored_C!L88</f>
        <v>0</v>
      </c>
      <c r="E82" s="510">
        <f>Stored_C!G88+Stored_C!M88</f>
        <v>0</v>
      </c>
      <c r="F82" s="511">
        <f>F81+HWP!C82</f>
        <v>0</v>
      </c>
      <c r="G82" s="509">
        <f>G81+HWP!D82</f>
        <v>11.349214549522562</v>
      </c>
      <c r="H82" s="510">
        <f>H81+HWP!E82</f>
        <v>9.3631020033561114</v>
      </c>
      <c r="I82" s="493"/>
      <c r="J82" s="512">
        <f>Garden!J89</f>
        <v>0</v>
      </c>
      <c r="K82" s="513">
        <f>Paper!J89</f>
        <v>1.2229608197060317E-2</v>
      </c>
      <c r="L82" s="514">
        <f>Wood!J89</f>
        <v>0</v>
      </c>
      <c r="M82" s="515">
        <f>J82*(1-Recovery_OX!E82)*(1-Recovery_OX!F82)</f>
        <v>0</v>
      </c>
      <c r="N82" s="513">
        <f>K82*(1-Recovery_OX!E82)*(1-Recovery_OX!F82)</f>
        <v>1.2229608197060317E-2</v>
      </c>
      <c r="O82" s="514">
        <f>L82*(1-Recovery_OX!E82)*(1-Recovery_OX!F82)</f>
        <v>0</v>
      </c>
    </row>
    <row r="83" spans="2:15">
      <c r="B83" s="507">
        <f t="shared" si="1"/>
        <v>2021</v>
      </c>
      <c r="C83" s="508">
        <f>Stored_C!E89</f>
        <v>0</v>
      </c>
      <c r="D83" s="509">
        <f>Stored_C!F89+Stored_C!L89</f>
        <v>0</v>
      </c>
      <c r="E83" s="510">
        <f>Stored_C!G89+Stored_C!M89</f>
        <v>0</v>
      </c>
      <c r="F83" s="511">
        <f>F82+HWP!C83</f>
        <v>0</v>
      </c>
      <c r="G83" s="509">
        <f>G82+HWP!D83</f>
        <v>11.349214549522562</v>
      </c>
      <c r="H83" s="510">
        <f>H82+HWP!E83</f>
        <v>9.3631020033561114</v>
      </c>
      <c r="I83" s="493"/>
      <c r="J83" s="512">
        <f>Garden!J90</f>
        <v>0</v>
      </c>
      <c r="K83" s="513">
        <f>Paper!J90</f>
        <v>1.1402811102810165E-2</v>
      </c>
      <c r="L83" s="514">
        <f>Wood!J90</f>
        <v>0</v>
      </c>
      <c r="M83" s="515">
        <f>J83*(1-Recovery_OX!E83)*(1-Recovery_OX!F83)</f>
        <v>0</v>
      </c>
      <c r="N83" s="513">
        <f>K83*(1-Recovery_OX!E83)*(1-Recovery_OX!F83)</f>
        <v>1.1402811102810165E-2</v>
      </c>
      <c r="O83" s="514">
        <f>L83*(1-Recovery_OX!E83)*(1-Recovery_OX!F83)</f>
        <v>0</v>
      </c>
    </row>
    <row r="84" spans="2:15">
      <c r="B84" s="507">
        <f t="shared" si="1"/>
        <v>2022</v>
      </c>
      <c r="C84" s="508">
        <f>Stored_C!E90</f>
        <v>0</v>
      </c>
      <c r="D84" s="509">
        <f>Stored_C!F90+Stored_C!L90</f>
        <v>0</v>
      </c>
      <c r="E84" s="510">
        <f>Stored_C!G90+Stored_C!M90</f>
        <v>0</v>
      </c>
      <c r="F84" s="511">
        <f>F83+HWP!C84</f>
        <v>0</v>
      </c>
      <c r="G84" s="509">
        <f>G83+HWP!D84</f>
        <v>11.349214549522562</v>
      </c>
      <c r="H84" s="510">
        <f>H83+HWP!E84</f>
        <v>9.3631020033561114</v>
      </c>
      <c r="I84" s="493"/>
      <c r="J84" s="512">
        <f>Garden!J91</f>
        <v>0</v>
      </c>
      <c r="K84" s="513">
        <f>Paper!J91</f>
        <v>1.063191060181513E-2</v>
      </c>
      <c r="L84" s="514">
        <f>Wood!J91</f>
        <v>0</v>
      </c>
      <c r="M84" s="515">
        <f>J84*(1-Recovery_OX!E84)*(1-Recovery_OX!F84)</f>
        <v>0</v>
      </c>
      <c r="N84" s="513">
        <f>K84*(1-Recovery_OX!E84)*(1-Recovery_OX!F84)</f>
        <v>1.063191060181513E-2</v>
      </c>
      <c r="O84" s="514">
        <f>L84*(1-Recovery_OX!E84)*(1-Recovery_OX!F84)</f>
        <v>0</v>
      </c>
    </row>
    <row r="85" spans="2:15">
      <c r="B85" s="507">
        <f t="shared" si="1"/>
        <v>2023</v>
      </c>
      <c r="C85" s="508">
        <f>Stored_C!E91</f>
        <v>0</v>
      </c>
      <c r="D85" s="509">
        <f>Stored_C!F91+Stored_C!L91</f>
        <v>0</v>
      </c>
      <c r="E85" s="510">
        <f>Stored_C!G91+Stored_C!M91</f>
        <v>0</v>
      </c>
      <c r="F85" s="511">
        <f>F84+HWP!C85</f>
        <v>0</v>
      </c>
      <c r="G85" s="509">
        <f>G84+HWP!D85</f>
        <v>11.349214549522562</v>
      </c>
      <c r="H85" s="510">
        <f>H84+HWP!E85</f>
        <v>9.3631020033561114</v>
      </c>
      <c r="I85" s="493"/>
      <c r="J85" s="512">
        <f>Garden!J92</f>
        <v>0</v>
      </c>
      <c r="K85" s="513">
        <f>Paper!J92</f>
        <v>9.9131277389249584E-3</v>
      </c>
      <c r="L85" s="514">
        <f>Wood!J92</f>
        <v>0</v>
      </c>
      <c r="M85" s="515">
        <f>J85*(1-Recovery_OX!E85)*(1-Recovery_OX!F85)</f>
        <v>0</v>
      </c>
      <c r="N85" s="513">
        <f>K85*(1-Recovery_OX!E85)*(1-Recovery_OX!F85)</f>
        <v>9.9131277389249584E-3</v>
      </c>
      <c r="O85" s="514">
        <f>L85*(1-Recovery_OX!E85)*(1-Recovery_OX!F85)</f>
        <v>0</v>
      </c>
    </row>
    <row r="86" spans="2:15">
      <c r="B86" s="507">
        <f t="shared" si="1"/>
        <v>2024</v>
      </c>
      <c r="C86" s="508">
        <f>Stored_C!E92</f>
        <v>0</v>
      </c>
      <c r="D86" s="509">
        <f>Stored_C!F92+Stored_C!L92</f>
        <v>0</v>
      </c>
      <c r="E86" s="510">
        <f>Stored_C!G92+Stored_C!M92</f>
        <v>0</v>
      </c>
      <c r="F86" s="511">
        <f>F85+HWP!C86</f>
        <v>0</v>
      </c>
      <c r="G86" s="509">
        <f>G85+HWP!D86</f>
        <v>11.349214549522562</v>
      </c>
      <c r="H86" s="510">
        <f>H85+HWP!E86</f>
        <v>9.3631020033561114</v>
      </c>
      <c r="I86" s="493"/>
      <c r="J86" s="512">
        <f>Garden!J93</f>
        <v>0</v>
      </c>
      <c r="K86" s="513">
        <f>Paper!J93</f>
        <v>9.2429390397118574E-3</v>
      </c>
      <c r="L86" s="514">
        <f>Wood!J93</f>
        <v>0</v>
      </c>
      <c r="M86" s="515">
        <f>J86*(1-Recovery_OX!E86)*(1-Recovery_OX!F86)</f>
        <v>0</v>
      </c>
      <c r="N86" s="513">
        <f>K86*(1-Recovery_OX!E86)*(1-Recovery_OX!F86)</f>
        <v>9.2429390397118574E-3</v>
      </c>
      <c r="O86" s="514">
        <f>L86*(1-Recovery_OX!E86)*(1-Recovery_OX!F86)</f>
        <v>0</v>
      </c>
    </row>
    <row r="87" spans="2:15">
      <c r="B87" s="507">
        <f t="shared" si="1"/>
        <v>2025</v>
      </c>
      <c r="C87" s="508">
        <f>Stored_C!E93</f>
        <v>0</v>
      </c>
      <c r="D87" s="509">
        <f>Stored_C!F93+Stored_C!L93</f>
        <v>0</v>
      </c>
      <c r="E87" s="510">
        <f>Stored_C!G93+Stored_C!M93</f>
        <v>0</v>
      </c>
      <c r="F87" s="511">
        <f>F86+HWP!C87</f>
        <v>0</v>
      </c>
      <c r="G87" s="509">
        <f>G86+HWP!D87</f>
        <v>11.349214549522562</v>
      </c>
      <c r="H87" s="510">
        <f>H86+HWP!E87</f>
        <v>9.3631020033561114</v>
      </c>
      <c r="I87" s="493"/>
      <c r="J87" s="512">
        <f>Garden!J94</f>
        <v>0</v>
      </c>
      <c r="K87" s="513">
        <f>Paper!J94</f>
        <v>8.6180592383947562E-3</v>
      </c>
      <c r="L87" s="514">
        <f>Wood!J94</f>
        <v>0</v>
      </c>
      <c r="M87" s="515">
        <f>J87*(1-Recovery_OX!E87)*(1-Recovery_OX!F87)</f>
        <v>0</v>
      </c>
      <c r="N87" s="513">
        <f>K87*(1-Recovery_OX!E87)*(1-Recovery_OX!F87)</f>
        <v>8.6180592383947562E-3</v>
      </c>
      <c r="O87" s="514">
        <f>L87*(1-Recovery_OX!E87)*(1-Recovery_OX!F87)</f>
        <v>0</v>
      </c>
    </row>
    <row r="88" spans="2:15">
      <c r="B88" s="507">
        <f t="shared" si="1"/>
        <v>2026</v>
      </c>
      <c r="C88" s="508">
        <f>Stored_C!E94</f>
        <v>0</v>
      </c>
      <c r="D88" s="509">
        <f>Stored_C!F94+Stored_C!L94</f>
        <v>0</v>
      </c>
      <c r="E88" s="510">
        <f>Stored_C!G94+Stored_C!M94</f>
        <v>0</v>
      </c>
      <c r="F88" s="511">
        <f>F87+HWP!C88</f>
        <v>0</v>
      </c>
      <c r="G88" s="509">
        <f>G87+HWP!D88</f>
        <v>11.349214549522562</v>
      </c>
      <c r="H88" s="510">
        <f>H87+HWP!E88</f>
        <v>9.3631020033561114</v>
      </c>
      <c r="I88" s="493"/>
      <c r="J88" s="512">
        <f>Garden!J95</f>
        <v>0</v>
      </c>
      <c r="K88" s="513">
        <f>Paper!J95</f>
        <v>8.0354251734626337E-3</v>
      </c>
      <c r="L88" s="514">
        <f>Wood!J95</f>
        <v>0</v>
      </c>
      <c r="M88" s="515">
        <f>J88*(1-Recovery_OX!E88)*(1-Recovery_OX!F88)</f>
        <v>0</v>
      </c>
      <c r="N88" s="513">
        <f>K88*(1-Recovery_OX!E88)*(1-Recovery_OX!F88)</f>
        <v>8.0354251734626337E-3</v>
      </c>
      <c r="O88" s="514">
        <f>L88*(1-Recovery_OX!E88)*(1-Recovery_OX!F88)</f>
        <v>0</v>
      </c>
    </row>
    <row r="89" spans="2:15">
      <c r="B89" s="507">
        <f t="shared" si="1"/>
        <v>2027</v>
      </c>
      <c r="C89" s="508">
        <f>Stored_C!E95</f>
        <v>0</v>
      </c>
      <c r="D89" s="509">
        <f>Stored_C!F95+Stored_C!L95</f>
        <v>0</v>
      </c>
      <c r="E89" s="510">
        <f>Stored_C!G95+Stored_C!M95</f>
        <v>0</v>
      </c>
      <c r="F89" s="511">
        <f>F88+HWP!C89</f>
        <v>0</v>
      </c>
      <c r="G89" s="509">
        <f>G88+HWP!D89</f>
        <v>11.349214549522562</v>
      </c>
      <c r="H89" s="510">
        <f>H88+HWP!E89</f>
        <v>9.3631020033561114</v>
      </c>
      <c r="I89" s="493"/>
      <c r="J89" s="512">
        <f>Garden!J96</f>
        <v>0</v>
      </c>
      <c r="K89" s="513">
        <f>Paper!J96</f>
        <v>7.4921807720532427E-3</v>
      </c>
      <c r="L89" s="514">
        <f>Wood!J96</f>
        <v>0</v>
      </c>
      <c r="M89" s="515">
        <f>J89*(1-Recovery_OX!E89)*(1-Recovery_OX!F89)</f>
        <v>0</v>
      </c>
      <c r="N89" s="513">
        <f>K89*(1-Recovery_OX!E89)*(1-Recovery_OX!F89)</f>
        <v>7.4921807720532427E-3</v>
      </c>
      <c r="O89" s="514">
        <f>L89*(1-Recovery_OX!E89)*(1-Recovery_OX!F89)</f>
        <v>0</v>
      </c>
    </row>
    <row r="90" spans="2:15">
      <c r="B90" s="507">
        <f t="shared" si="1"/>
        <v>2028</v>
      </c>
      <c r="C90" s="508">
        <f>Stored_C!E96</f>
        <v>0</v>
      </c>
      <c r="D90" s="509">
        <f>Stored_C!F96+Stored_C!L96</f>
        <v>0</v>
      </c>
      <c r="E90" s="510">
        <f>Stored_C!G96+Stored_C!M96</f>
        <v>0</v>
      </c>
      <c r="F90" s="511">
        <f>F89+HWP!C90</f>
        <v>0</v>
      </c>
      <c r="G90" s="509">
        <f>G89+HWP!D90</f>
        <v>11.349214549522562</v>
      </c>
      <c r="H90" s="510">
        <f>H89+HWP!E90</f>
        <v>9.3631020033561114</v>
      </c>
      <c r="I90" s="493"/>
      <c r="J90" s="512">
        <f>Garden!J97</f>
        <v>0</v>
      </c>
      <c r="K90" s="513">
        <f>Paper!J97</f>
        <v>6.9856630494806197E-3</v>
      </c>
      <c r="L90" s="514">
        <f>Wood!J97</f>
        <v>0</v>
      </c>
      <c r="M90" s="515">
        <f>J90*(1-Recovery_OX!E90)*(1-Recovery_OX!F90)</f>
        <v>0</v>
      </c>
      <c r="N90" s="513">
        <f>K90*(1-Recovery_OX!E90)*(1-Recovery_OX!F90)</f>
        <v>6.9856630494806197E-3</v>
      </c>
      <c r="O90" s="514">
        <f>L90*(1-Recovery_OX!E90)*(1-Recovery_OX!F90)</f>
        <v>0</v>
      </c>
    </row>
    <row r="91" spans="2:15">
      <c r="B91" s="507">
        <f t="shared" si="1"/>
        <v>2029</v>
      </c>
      <c r="C91" s="508">
        <f>Stored_C!E97</f>
        <v>0</v>
      </c>
      <c r="D91" s="509">
        <f>Stored_C!F97+Stored_C!L97</f>
        <v>0</v>
      </c>
      <c r="E91" s="510">
        <f>Stored_C!G97+Stored_C!M97</f>
        <v>0</v>
      </c>
      <c r="F91" s="511">
        <f>F90+HWP!C91</f>
        <v>0</v>
      </c>
      <c r="G91" s="509">
        <f>G90+HWP!D91</f>
        <v>11.349214549522562</v>
      </c>
      <c r="H91" s="510">
        <f>H90+HWP!E91</f>
        <v>9.3631020033561114</v>
      </c>
      <c r="I91" s="493"/>
      <c r="J91" s="512">
        <f>Garden!J98</f>
        <v>0</v>
      </c>
      <c r="K91" s="513">
        <f>Paper!J98</f>
        <v>6.5133890552810702E-3</v>
      </c>
      <c r="L91" s="514">
        <f>Wood!J98</f>
        <v>0</v>
      </c>
      <c r="M91" s="515">
        <f>J91*(1-Recovery_OX!E91)*(1-Recovery_OX!F91)</f>
        <v>0</v>
      </c>
      <c r="N91" s="513">
        <f>K91*(1-Recovery_OX!E91)*(1-Recovery_OX!F91)</f>
        <v>6.5133890552810702E-3</v>
      </c>
      <c r="O91" s="514">
        <f>L91*(1-Recovery_OX!E91)*(1-Recovery_OX!F91)</f>
        <v>0</v>
      </c>
    </row>
    <row r="92" spans="2:15" ht="13.5" thickBot="1">
      <c r="B92" s="516">
        <f t="shared" si="1"/>
        <v>2030</v>
      </c>
      <c r="C92" s="517">
        <f>Stored_C!E98</f>
        <v>0</v>
      </c>
      <c r="D92" s="518">
        <f>Stored_C!F98+Stored_C!L98</f>
        <v>0</v>
      </c>
      <c r="E92" s="519">
        <f>Stored_C!G98+Stored_C!M98</f>
        <v>0</v>
      </c>
      <c r="F92" s="520">
        <f>F91+HWP!C92</f>
        <v>0</v>
      </c>
      <c r="G92" s="518">
        <f>G91+HWP!D92</f>
        <v>11.349214549522562</v>
      </c>
      <c r="H92" s="519">
        <f>H91+HWP!E92</f>
        <v>9.3631020033561114</v>
      </c>
      <c r="I92" s="493"/>
      <c r="J92" s="521">
        <f>Garden!J99</f>
        <v>0</v>
      </c>
      <c r="K92" s="522">
        <f>Paper!J99</f>
        <v>6.073043701787113E-3</v>
      </c>
      <c r="L92" s="523">
        <f>Wood!J99</f>
        <v>0</v>
      </c>
      <c r="M92" s="524">
        <f>J92*(1-Recovery_OX!E92)*(1-Recovery_OX!F92)</f>
        <v>0</v>
      </c>
      <c r="N92" s="522">
        <f>K92*(1-Recovery_OX!E92)*(1-Recovery_OX!F92)</f>
        <v>6.073043701787113E-3</v>
      </c>
      <c r="O92" s="523">
        <f>L92*(1-Recovery_OX!E92)*(1-Recovery_OX!F92)</f>
        <v>0</v>
      </c>
    </row>
  </sheetData>
  <mergeCells count="4">
    <mergeCell ref="C8:E8"/>
    <mergeCell ref="F8:H8"/>
    <mergeCell ref="J8:L8"/>
    <mergeCell ref="M8:O8"/>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O98"/>
  <sheetViews>
    <sheetView showGridLines="0" workbookViewId="0">
      <selection activeCell="Q21" sqref="Q21"/>
    </sheetView>
  </sheetViews>
  <sheetFormatPr defaultColWidth="11.42578125" defaultRowHeight="12.75"/>
  <cols>
    <col min="1" max="1" width="4" style="6" customWidth="1"/>
    <col min="2" max="2" width="7.42578125" style="525" customWidth="1"/>
    <col min="3" max="3" width="8.85546875" style="470" customWidth="1"/>
    <col min="4" max="4" width="8.28515625" style="470" customWidth="1"/>
    <col min="5" max="5" width="9.85546875" style="470" customWidth="1"/>
    <col min="6" max="6" width="9.140625" style="470" customWidth="1"/>
    <col min="7" max="9" width="8.42578125" style="470" customWidth="1"/>
    <col min="10" max="10" width="8.140625" style="470" customWidth="1"/>
    <col min="11" max="11" width="9.140625" style="470" customWidth="1"/>
    <col min="12" max="13" width="8.85546875" style="6" customWidth="1"/>
    <col min="14" max="14" width="12.28515625" style="470" customWidth="1"/>
    <col min="15" max="15" width="13.85546875" style="6" customWidth="1"/>
    <col min="16" max="16384" width="11.42578125" style="6"/>
  </cols>
  <sheetData>
    <row r="1" spans="2:15" ht="13.5" thickBot="1"/>
    <row r="2" spans="2:15" ht="13.5" thickBot="1">
      <c r="C2" s="527" t="s">
        <v>265</v>
      </c>
      <c r="D2" s="823" t="str">
        <f>city</f>
        <v>Kutai Timur</v>
      </c>
      <c r="E2" s="824"/>
      <c r="F2" s="825"/>
    </row>
    <row r="3" spans="2:15" ht="13.5" thickBot="1">
      <c r="C3" s="527" t="s">
        <v>276</v>
      </c>
      <c r="D3" s="823" t="str">
        <f>province</f>
        <v>Kalimantan Timur</v>
      </c>
      <c r="E3" s="824"/>
      <c r="F3" s="825"/>
    </row>
    <row r="4" spans="2:15" ht="13.5" thickBot="1">
      <c r="B4" s="526"/>
      <c r="C4" s="527" t="s">
        <v>30</v>
      </c>
      <c r="D4" s="823">
        <f>country</f>
        <v>0</v>
      </c>
      <c r="E4" s="824"/>
      <c r="F4" s="825"/>
      <c r="H4" s="826"/>
      <c r="I4" s="826"/>
      <c r="J4" s="826"/>
      <c r="K4" s="826"/>
    </row>
    <row r="5" spans="2:15">
      <c r="B5" s="526"/>
      <c r="H5" s="827"/>
      <c r="I5" s="827"/>
      <c r="J5" s="827"/>
      <c r="K5" s="827"/>
    </row>
    <row r="6" spans="2:15" s="54" customFormat="1" ht="15.75">
      <c r="C6" s="528" t="s">
        <v>291</v>
      </c>
      <c r="D6" s="528"/>
      <c r="E6" s="528"/>
      <c r="F6" s="529"/>
      <c r="G6" s="529"/>
      <c r="H6" s="529"/>
      <c r="I6" s="529"/>
      <c r="J6" s="529"/>
      <c r="K6" s="529"/>
      <c r="N6" s="529"/>
    </row>
    <row r="7" spans="2:15">
      <c r="C7" s="530" t="s">
        <v>292</v>
      </c>
      <c r="D7" s="530"/>
      <c r="E7" s="530"/>
    </row>
    <row r="8" spans="2:15" ht="13.5" thickBot="1">
      <c r="B8" s="530"/>
    </row>
    <row r="9" spans="2:15" ht="13.5" thickBot="1">
      <c r="B9" s="530"/>
      <c r="C9" s="531" t="s">
        <v>293</v>
      </c>
      <c r="D9" s="530"/>
    </row>
    <row r="10" spans="2:15">
      <c r="B10" s="530"/>
      <c r="C10" s="532" t="s">
        <v>95</v>
      </c>
      <c r="D10" s="533">
        <f>Parameters!R26</f>
        <v>0</v>
      </c>
      <c r="E10" s="534" t="s">
        <v>6</v>
      </c>
      <c r="F10" s="533">
        <f>Parameters!R15</f>
        <v>0.15</v>
      </c>
      <c r="G10" s="535" t="s">
        <v>267</v>
      </c>
      <c r="H10" s="536">
        <f>Parameters!R21</f>
        <v>0.24</v>
      </c>
      <c r="I10" s="537"/>
      <c r="J10" s="537"/>
      <c r="K10" s="537"/>
      <c r="L10" s="538"/>
    </row>
    <row r="11" spans="2:15">
      <c r="B11" s="530"/>
      <c r="C11" s="539" t="s">
        <v>262</v>
      </c>
      <c r="D11" s="540">
        <f>Parameters!R16</f>
        <v>0.4</v>
      </c>
      <c r="E11" s="541" t="s">
        <v>261</v>
      </c>
      <c r="F11" s="540">
        <f>Parameters!R17</f>
        <v>0.2</v>
      </c>
      <c r="G11" s="542" t="s">
        <v>146</v>
      </c>
      <c r="H11" s="543">
        <f>Parameters!R27</f>
        <v>0.05</v>
      </c>
      <c r="I11" s="537"/>
      <c r="J11" s="537"/>
      <c r="K11" s="537"/>
      <c r="L11" s="538"/>
    </row>
    <row r="12" spans="2:15" ht="13.5" thickBot="1">
      <c r="B12" s="530"/>
      <c r="C12" s="544" t="s">
        <v>2</v>
      </c>
      <c r="D12" s="545">
        <f>Parameters!R20</f>
        <v>0.43</v>
      </c>
      <c r="E12" s="546" t="s">
        <v>16</v>
      </c>
      <c r="F12" s="545">
        <f>Parameters!R18</f>
        <v>0.24</v>
      </c>
      <c r="G12" s="546" t="s">
        <v>294</v>
      </c>
      <c r="H12" s="547">
        <f>Parameters!R28</f>
        <v>0.15</v>
      </c>
      <c r="I12" s="537"/>
      <c r="J12" s="537"/>
      <c r="K12" s="537"/>
      <c r="L12" s="290"/>
    </row>
    <row r="13" spans="2:15">
      <c r="B13" s="530"/>
    </row>
    <row r="14" spans="2:15" ht="13.5" thickBot="1">
      <c r="B14" s="548"/>
    </row>
    <row r="15" spans="2:15" s="555" customFormat="1" ht="39" thickBot="1">
      <c r="B15" s="549" t="s">
        <v>1</v>
      </c>
      <c r="C15" s="549" t="s">
        <v>95</v>
      </c>
      <c r="D15" s="476" t="s">
        <v>295</v>
      </c>
      <c r="E15" s="477" t="s">
        <v>261</v>
      </c>
      <c r="F15" s="477" t="s">
        <v>262</v>
      </c>
      <c r="G15" s="477" t="s">
        <v>2</v>
      </c>
      <c r="H15" s="477" t="s">
        <v>16</v>
      </c>
      <c r="I15" s="550" t="s">
        <v>267</v>
      </c>
      <c r="J15" s="551" t="s">
        <v>146</v>
      </c>
      <c r="K15" s="552" t="s">
        <v>296</v>
      </c>
      <c r="L15" s="477" t="s">
        <v>297</v>
      </c>
      <c r="M15" s="478" t="s">
        <v>298</v>
      </c>
      <c r="N15" s="553" t="s">
        <v>284</v>
      </c>
      <c r="O15" s="554" t="s">
        <v>299</v>
      </c>
    </row>
    <row r="16" spans="2:15" s="555" customFormat="1" ht="13.5" thickBot="1">
      <c r="B16" s="556"/>
      <c r="C16" s="48" t="s">
        <v>15</v>
      </c>
      <c r="D16" s="485" t="s">
        <v>15</v>
      </c>
      <c r="E16" s="483" t="s">
        <v>15</v>
      </c>
      <c r="F16" s="483" t="s">
        <v>15</v>
      </c>
      <c r="G16" s="483" t="s">
        <v>15</v>
      </c>
      <c r="H16" s="483" t="s">
        <v>15</v>
      </c>
      <c r="I16" s="557" t="s">
        <v>15</v>
      </c>
      <c r="J16" s="558" t="s">
        <v>15</v>
      </c>
      <c r="K16" s="559" t="s">
        <v>15</v>
      </c>
      <c r="L16" s="483" t="s">
        <v>15</v>
      </c>
      <c r="M16" s="484" t="s">
        <v>15</v>
      </c>
      <c r="N16" s="560" t="s">
        <v>15</v>
      </c>
      <c r="O16" s="484" t="s">
        <v>15</v>
      </c>
    </row>
    <row r="17" spans="2:15">
      <c r="B17" s="498"/>
      <c r="C17" s="561"/>
      <c r="D17" s="562"/>
      <c r="E17" s="563"/>
      <c r="F17" s="563"/>
      <c r="G17" s="563"/>
      <c r="H17" s="563"/>
      <c r="I17" s="564"/>
      <c r="J17" s="565"/>
      <c r="K17" s="566"/>
      <c r="L17" s="567"/>
      <c r="M17" s="568"/>
      <c r="N17" s="562"/>
      <c r="O17" s="569"/>
    </row>
    <row r="18" spans="2:15">
      <c r="B18" s="507">
        <f>year</f>
        <v>1950</v>
      </c>
      <c r="C18" s="570">
        <f>Amnt_Deposited!O14*$D$10*(1-DOCF)*MSW!E19</f>
        <v>0</v>
      </c>
      <c r="D18" s="571">
        <f>Amnt_Deposited!C14*$F$10*(1-DOCF)*Food!E19</f>
        <v>0.237346167168</v>
      </c>
      <c r="E18" s="572">
        <f>Amnt_Deposited!F14*$F$11*(1-DOCF)*Garden!E19</f>
        <v>0</v>
      </c>
      <c r="F18" s="572">
        <f>Amnt_Deposited!D14*$D$11*(1-DOCF)*Paper!E19</f>
        <v>0.18769444024320001</v>
      </c>
      <c r="G18" s="572">
        <f>Amnt_Deposited!G14*$D$12*(1-DOCF)*Wood!E19</f>
        <v>0.15484791320064001</v>
      </c>
      <c r="H18" s="572">
        <f>Amnt_Deposited!H14*$F$12*(1-DOCF)*Textiles!E19</f>
        <v>2.3570929704959998E-2</v>
      </c>
      <c r="I18" s="573">
        <f>Amnt_Deposited!E14*$H$10*(1-DOCF)*Nappies!E19</f>
        <v>0</v>
      </c>
      <c r="J18" s="574">
        <f>Amnt_Deposited!N14*$H$11*(1-DOCF)*Sludge!E19</f>
        <v>0</v>
      </c>
      <c r="K18" s="575">
        <f>Amnt_Deposited!P14*$H$12*(1-DOCF)*Industry!E19</f>
        <v>0</v>
      </c>
      <c r="L18" s="572">
        <f>Amnt_Deposited!P14*Parameters!$E$58*$D$11*(1-DOCF)*Industry!E19</f>
        <v>0</v>
      </c>
      <c r="M18" s="573">
        <f>Amnt_Deposited!P14*Parameters!$E$59*$D$12*(1-DOCF)*Industry!E19</f>
        <v>0</v>
      </c>
      <c r="N18" s="508">
        <f t="shared" ref="N18:N49" si="0">IF(Select2=2,C18+J18+K18, D18+E18+F18+G18+H18+I18+J18+K18)</f>
        <v>0.60345945031680004</v>
      </c>
      <c r="O18" s="510">
        <f t="shared" ref="O18:O81" si="1">O17+N18</f>
        <v>0.60345945031680004</v>
      </c>
    </row>
    <row r="19" spans="2:15">
      <c r="B19" s="507">
        <f>B18+1</f>
        <v>1951</v>
      </c>
      <c r="C19" s="570">
        <f>Amnt_Deposited!O15*$D$10*(1-DOCF)*MSW!E20</f>
        <v>0</v>
      </c>
      <c r="D19" s="571">
        <f>Amnt_Deposited!C15*$F$10*(1-DOCF)*Food!E20</f>
        <v>0.24426930001320002</v>
      </c>
      <c r="E19" s="572">
        <f>Amnt_Deposited!F15*$F$11*(1-DOCF)*Garden!E20</f>
        <v>0</v>
      </c>
      <c r="F19" s="572">
        <f>Amnt_Deposited!D15*$D$11*(1-DOCF)*Paper!E20</f>
        <v>0.19316928552768003</v>
      </c>
      <c r="G19" s="572">
        <f>Amnt_Deposited!G15*$D$12*(1-DOCF)*Wood!E20</f>
        <v>0.15936466056033605</v>
      </c>
      <c r="H19" s="572">
        <f>Amnt_Deposited!H15*$F$12*(1-DOCF)*Textiles!E20</f>
        <v>2.4258468415104002E-2</v>
      </c>
      <c r="I19" s="573">
        <f>Amnt_Deposited!E15*$H$10*(1-DOCF)*Nappies!E20</f>
        <v>0</v>
      </c>
      <c r="J19" s="574">
        <f>Amnt_Deposited!N15*$H$11*(1-DOCF)*Sludge!E20</f>
        <v>0</v>
      </c>
      <c r="K19" s="575">
        <f>Amnt_Deposited!P15*$H$12*(1-DOCF)*Industry!D20</f>
        <v>0</v>
      </c>
      <c r="L19" s="572">
        <f>Amnt_Deposited!P15*Parameters!$E$58*$D$11*(1-DOCF)*Industry!E20</f>
        <v>0</v>
      </c>
      <c r="M19" s="573">
        <f>Amnt_Deposited!P15*Parameters!$E$59*$D$12*(1-DOCF)*Industry!E20</f>
        <v>0</v>
      </c>
      <c r="N19" s="508">
        <f t="shared" si="0"/>
        <v>0.62106171451632008</v>
      </c>
      <c r="O19" s="510">
        <f t="shared" si="1"/>
        <v>1.2245211648331202</v>
      </c>
    </row>
    <row r="20" spans="2:15">
      <c r="B20" s="507">
        <f t="shared" ref="B20:B83" si="2">B19+1</f>
        <v>1952</v>
      </c>
      <c r="C20" s="570">
        <f>Amnt_Deposited!O16*$D$10*(1-DOCF)*MSW!E21</f>
        <v>0</v>
      </c>
      <c r="D20" s="571">
        <f>Amnt_Deposited!C16*$F$10*(1-DOCF)*Food!E21</f>
        <v>0.25514069407199996</v>
      </c>
      <c r="E20" s="572">
        <f>Amnt_Deposited!F16*$F$11*(1-DOCF)*Garden!E21</f>
        <v>0</v>
      </c>
      <c r="F20" s="572">
        <f>Amnt_Deposited!D16*$D$11*(1-DOCF)*Paper!E21</f>
        <v>0.2017664339328</v>
      </c>
      <c r="G20" s="572">
        <f>Amnt_Deposited!G16*$D$12*(1-DOCF)*Wood!E21</f>
        <v>0.16645730799456002</v>
      </c>
      <c r="H20" s="572">
        <f>Amnt_Deposited!H16*$F$12*(1-DOCF)*Textiles!E21</f>
        <v>2.5338110307839997E-2</v>
      </c>
      <c r="I20" s="573">
        <f>Amnt_Deposited!E16*$H$10*(1-DOCF)*Nappies!E21</f>
        <v>0</v>
      </c>
      <c r="J20" s="574">
        <f>Amnt_Deposited!N16*$H$11*(1-DOCF)*Sludge!E21</f>
        <v>0</v>
      </c>
      <c r="K20" s="575">
        <f>Amnt_Deposited!P16*$H$12*(1-DOCF)*Industry!D21</f>
        <v>0</v>
      </c>
      <c r="L20" s="572">
        <f>Amnt_Deposited!P16*Parameters!$E$58*$D$11*(1-DOCF)*Industry!E21</f>
        <v>0</v>
      </c>
      <c r="M20" s="573">
        <f>Amnt_Deposited!P16*Parameters!$E$59*$D$12*(1-DOCF)*Industry!E21</f>
        <v>0</v>
      </c>
      <c r="N20" s="508">
        <f t="shared" si="0"/>
        <v>0.64870254630719992</v>
      </c>
      <c r="O20" s="510">
        <f t="shared" si="1"/>
        <v>1.8732237111403203</v>
      </c>
    </row>
    <row r="21" spans="2:15">
      <c r="B21" s="507">
        <f t="shared" si="2"/>
        <v>1953</v>
      </c>
      <c r="C21" s="570">
        <f>Amnt_Deposited!O17*$D$10*(1-DOCF)*MSW!E22</f>
        <v>0</v>
      </c>
      <c r="D21" s="571">
        <f>Amnt_Deposited!C17*$F$10*(1-DOCF)*Food!E22</f>
        <v>0.26313535991159998</v>
      </c>
      <c r="E21" s="572">
        <f>Amnt_Deposited!F17*$F$11*(1-DOCF)*Garden!E22</f>
        <v>0</v>
      </c>
      <c r="F21" s="572">
        <f>Amnt_Deposited!D17*$D$11*(1-DOCF)*Paper!E22</f>
        <v>0.20808865243583999</v>
      </c>
      <c r="G21" s="572">
        <f>Amnt_Deposited!G17*$D$12*(1-DOCF)*Wood!E22</f>
        <v>0.17167313825956798</v>
      </c>
      <c r="H21" s="572">
        <f>Amnt_Deposited!H17*$F$12*(1-DOCF)*Textiles!E22</f>
        <v>2.6132063329151994E-2</v>
      </c>
      <c r="I21" s="573">
        <f>Amnt_Deposited!E17*$H$10*(1-DOCF)*Nappies!E22</f>
        <v>0</v>
      </c>
      <c r="J21" s="574">
        <f>Amnt_Deposited!N17*$H$11*(1-DOCF)*Sludge!E22</f>
        <v>0</v>
      </c>
      <c r="K21" s="575">
        <f>Amnt_Deposited!P17*$H$12*(1-DOCF)*Industry!D22</f>
        <v>0</v>
      </c>
      <c r="L21" s="572">
        <f>Amnt_Deposited!P17*Parameters!$E$58*$D$11*(1-DOCF)*Industry!E22</f>
        <v>0</v>
      </c>
      <c r="M21" s="573">
        <f>Amnt_Deposited!P17*Parameters!$E$59*$D$12*(1-DOCF)*Industry!E22</f>
        <v>0</v>
      </c>
      <c r="N21" s="508">
        <f t="shared" si="0"/>
        <v>0.66902921393615988</v>
      </c>
      <c r="O21" s="510">
        <f t="shared" si="1"/>
        <v>2.5422529250764803</v>
      </c>
    </row>
    <row r="22" spans="2:15">
      <c r="B22" s="507">
        <f t="shared" si="2"/>
        <v>1954</v>
      </c>
      <c r="C22" s="570">
        <f>Amnt_Deposited!O18*$D$10*(1-DOCF)*MSW!E23</f>
        <v>0</v>
      </c>
      <c r="D22" s="571">
        <f>Amnt_Deposited!C18*$F$10*(1-DOCF)*Food!E23</f>
        <v>0.27081307079640005</v>
      </c>
      <c r="E22" s="572">
        <f>Amnt_Deposited!F18*$F$11*(1-DOCF)*Garden!E23</f>
        <v>0</v>
      </c>
      <c r="F22" s="572">
        <f>Amnt_Deposited!D18*$D$11*(1-DOCF)*Paper!E23</f>
        <v>0.21416022150336006</v>
      </c>
      <c r="G22" s="572">
        <f>Amnt_Deposited!G18*$D$12*(1-DOCF)*Wood!E23</f>
        <v>0.17668218274027203</v>
      </c>
      <c r="H22" s="572">
        <f>Amnt_Deposited!H18*$F$12*(1-DOCF)*Textiles!E23</f>
        <v>2.6894539444608009E-2</v>
      </c>
      <c r="I22" s="573">
        <f>Amnt_Deposited!E18*$H$10*(1-DOCF)*Nappies!E23</f>
        <v>0</v>
      </c>
      <c r="J22" s="574">
        <f>Amnt_Deposited!N18*$H$11*(1-DOCF)*Sludge!E23</f>
        <v>0</v>
      </c>
      <c r="K22" s="575">
        <f>Amnt_Deposited!P18*$H$12*(1-DOCF)*Industry!D23</f>
        <v>0</v>
      </c>
      <c r="L22" s="572">
        <f>Amnt_Deposited!P18*Parameters!$E$58*$D$11*(1-DOCF)*Industry!E23</f>
        <v>0</v>
      </c>
      <c r="M22" s="573">
        <f>Amnt_Deposited!P18*Parameters!$E$59*$D$12*(1-DOCF)*Industry!E23</f>
        <v>0</v>
      </c>
      <c r="N22" s="508">
        <f t="shared" si="0"/>
        <v>0.68855001448464004</v>
      </c>
      <c r="O22" s="510">
        <f t="shared" si="1"/>
        <v>3.2308029395611202</v>
      </c>
    </row>
    <row r="23" spans="2:15">
      <c r="B23" s="507">
        <f t="shared" si="2"/>
        <v>1955</v>
      </c>
      <c r="C23" s="570">
        <f>Amnt_Deposited!O19*$D$10*(1-DOCF)*MSW!E24</f>
        <v>0</v>
      </c>
      <c r="D23" s="571">
        <f>Amnt_Deposited!C19*$F$10*(1-DOCF)*Food!E24</f>
        <v>0.28453545054000001</v>
      </c>
      <c r="E23" s="572">
        <f>Amnt_Deposited!F19*$F$11*(1-DOCF)*Garden!E24</f>
        <v>0</v>
      </c>
      <c r="F23" s="572">
        <f>Amnt_Deposited!D19*$D$11*(1-DOCF)*Paper!E24</f>
        <v>0.22501194249599998</v>
      </c>
      <c r="G23" s="572">
        <f>Amnt_Deposited!G19*$D$12*(1-DOCF)*Wood!E24</f>
        <v>0.18563485255919998</v>
      </c>
      <c r="H23" s="572">
        <f>Amnt_Deposited!H19*$F$12*(1-DOCF)*Textiles!E24</f>
        <v>2.8257313708799994E-2</v>
      </c>
      <c r="I23" s="573">
        <f>Amnt_Deposited!E19*$H$10*(1-DOCF)*Nappies!E24</f>
        <v>0</v>
      </c>
      <c r="J23" s="574">
        <f>Amnt_Deposited!N19*$H$11*(1-DOCF)*Sludge!E24</f>
        <v>0</v>
      </c>
      <c r="K23" s="575">
        <f>Amnt_Deposited!P19*$H$12*(1-DOCF)*Industry!D24</f>
        <v>0</v>
      </c>
      <c r="L23" s="572">
        <f>Amnt_Deposited!P19*Parameters!$E$58*$D$11*(1-DOCF)*Industry!E24</f>
        <v>0</v>
      </c>
      <c r="M23" s="573">
        <f>Amnt_Deposited!P19*Parameters!$E$59*$D$12*(1-DOCF)*Industry!E24</f>
        <v>0</v>
      </c>
      <c r="N23" s="508">
        <f t="shared" si="0"/>
        <v>0.72343955930399995</v>
      </c>
      <c r="O23" s="510">
        <f t="shared" si="1"/>
        <v>3.9542424988651201</v>
      </c>
    </row>
    <row r="24" spans="2:15">
      <c r="B24" s="507">
        <f t="shared" si="2"/>
        <v>1956</v>
      </c>
      <c r="C24" s="570">
        <f>Amnt_Deposited!O20*$D$10*(1-DOCF)*MSW!E25</f>
        <v>0</v>
      </c>
      <c r="D24" s="571">
        <f>Amnt_Deposited!C20*$F$10*(1-DOCF)*Food!E25</f>
        <v>0.29243358187560003</v>
      </c>
      <c r="E24" s="572">
        <f>Amnt_Deposited!F20*$F$11*(1-DOCF)*Garden!E25</f>
        <v>0</v>
      </c>
      <c r="F24" s="572">
        <f>Amnt_Deposited!D20*$D$11*(1-DOCF)*Paper!E25</f>
        <v>0.23125782106944004</v>
      </c>
      <c r="G24" s="572">
        <f>Amnt_Deposited!G20*$D$12*(1-DOCF)*Wood!E25</f>
        <v>0.19078770238228804</v>
      </c>
      <c r="H24" s="572">
        <f>Amnt_Deposited!H20*$F$12*(1-DOCF)*Textiles!E25</f>
        <v>2.9041679855232008E-2</v>
      </c>
      <c r="I24" s="573">
        <f>Amnt_Deposited!E20*$H$10*(1-DOCF)*Nappies!E25</f>
        <v>0</v>
      </c>
      <c r="J24" s="574">
        <f>Amnt_Deposited!N20*$H$11*(1-DOCF)*Sludge!E25</f>
        <v>0</v>
      </c>
      <c r="K24" s="575">
        <f>Amnt_Deposited!P20*$H$12*(1-DOCF)*Industry!D25</f>
        <v>0</v>
      </c>
      <c r="L24" s="572">
        <f>Amnt_Deposited!P20*Parameters!$E$58*$D$11*(1-DOCF)*Industry!E25</f>
        <v>0</v>
      </c>
      <c r="M24" s="573">
        <f>Amnt_Deposited!P20*Parameters!$E$59*$D$12*(1-DOCF)*Industry!E25</f>
        <v>0</v>
      </c>
      <c r="N24" s="508">
        <f t="shared" si="0"/>
        <v>0.74352078518256015</v>
      </c>
      <c r="O24" s="510">
        <f t="shared" si="1"/>
        <v>4.6977632840476806</v>
      </c>
    </row>
    <row r="25" spans="2:15">
      <c r="B25" s="507">
        <f t="shared" si="2"/>
        <v>1957</v>
      </c>
      <c r="C25" s="570">
        <f>Amnt_Deposited!O21*$D$10*(1-DOCF)*MSW!E26</f>
        <v>0</v>
      </c>
      <c r="D25" s="571">
        <f>Amnt_Deposited!C21*$F$10*(1-DOCF)*Food!E26</f>
        <v>0.30042502989840003</v>
      </c>
      <c r="E25" s="572">
        <f>Amnt_Deposited!F21*$F$11*(1-DOCF)*Garden!E26</f>
        <v>0</v>
      </c>
      <c r="F25" s="572">
        <f>Amnt_Deposited!D21*$D$11*(1-DOCF)*Paper!E26</f>
        <v>0.23757749490816005</v>
      </c>
      <c r="G25" s="572">
        <f>Amnt_Deposited!G21*$D$12*(1-DOCF)*Wood!E26</f>
        <v>0.19600143329923203</v>
      </c>
      <c r="H25" s="572">
        <f>Amnt_Deposited!H21*$F$12*(1-DOCF)*Textiles!E26</f>
        <v>2.9835313314047998E-2</v>
      </c>
      <c r="I25" s="573">
        <f>Amnt_Deposited!E21*$H$10*(1-DOCF)*Nappies!E26</f>
        <v>0</v>
      </c>
      <c r="J25" s="574">
        <f>Amnt_Deposited!N21*$H$11*(1-DOCF)*Sludge!E26</f>
        <v>0</v>
      </c>
      <c r="K25" s="575">
        <f>Amnt_Deposited!P21*$H$12*(1-DOCF)*Industry!D26</f>
        <v>0</v>
      </c>
      <c r="L25" s="572">
        <f>Amnt_Deposited!P21*Parameters!$E$58*$D$11*(1-DOCF)*Industry!E26</f>
        <v>0</v>
      </c>
      <c r="M25" s="573">
        <f>Amnt_Deposited!P21*Parameters!$E$59*$D$12*(1-DOCF)*Industry!E26</f>
        <v>0</v>
      </c>
      <c r="N25" s="508">
        <f t="shared" si="0"/>
        <v>0.76383927141984009</v>
      </c>
      <c r="O25" s="510">
        <f t="shared" si="1"/>
        <v>5.4616025554675209</v>
      </c>
    </row>
    <row r="26" spans="2:15">
      <c r="B26" s="507">
        <f t="shared" si="2"/>
        <v>1958</v>
      </c>
      <c r="C26" s="570">
        <f>Amnt_Deposited!O22*$D$10*(1-DOCF)*MSW!E27</f>
        <v>0</v>
      </c>
      <c r="D26" s="571">
        <f>Amnt_Deposited!C22*$F$10*(1-DOCF)*Food!E27</f>
        <v>0.30847278971519998</v>
      </c>
      <c r="E26" s="572">
        <f>Amnt_Deposited!F22*$F$11*(1-DOCF)*Garden!E27</f>
        <v>0</v>
      </c>
      <c r="F26" s="572">
        <f>Amnt_Deposited!D22*$D$11*(1-DOCF)*Paper!E27</f>
        <v>0.24394170037248003</v>
      </c>
      <c r="G26" s="572">
        <f>Amnt_Deposited!G22*$D$12*(1-DOCF)*Wood!E27</f>
        <v>0.20125190280729599</v>
      </c>
      <c r="H26" s="572">
        <f>Amnt_Deposited!H22*$F$12*(1-DOCF)*Textiles!E27</f>
        <v>3.0634539116544002E-2</v>
      </c>
      <c r="I26" s="573">
        <f>Amnt_Deposited!E22*$H$10*(1-DOCF)*Nappies!E27</f>
        <v>0</v>
      </c>
      <c r="J26" s="574">
        <f>Amnt_Deposited!N22*$H$11*(1-DOCF)*Sludge!E27</f>
        <v>0</v>
      </c>
      <c r="K26" s="575">
        <f>Amnt_Deposited!P22*$H$12*(1-DOCF)*Industry!D27</f>
        <v>0</v>
      </c>
      <c r="L26" s="572">
        <f>Amnt_Deposited!P22*Parameters!$E$58*$D$11*(1-DOCF)*Industry!E27</f>
        <v>0</v>
      </c>
      <c r="M26" s="573">
        <f>Amnt_Deposited!P22*Parameters!$E$59*$D$12*(1-DOCF)*Industry!E27</f>
        <v>0</v>
      </c>
      <c r="N26" s="508">
        <f t="shared" si="0"/>
        <v>0.78430093201151996</v>
      </c>
      <c r="O26" s="510">
        <f t="shared" si="1"/>
        <v>6.2459034874790405</v>
      </c>
    </row>
    <row r="27" spans="2:15">
      <c r="B27" s="507">
        <f t="shared" si="2"/>
        <v>1959</v>
      </c>
      <c r="C27" s="570">
        <f>Amnt_Deposited!O23*$D$10*(1-DOCF)*MSW!E28</f>
        <v>0</v>
      </c>
      <c r="D27" s="571">
        <f>Amnt_Deposited!C23*$F$10*(1-DOCF)*Food!E28</f>
        <v>0.31653342079920005</v>
      </c>
      <c r="E27" s="572">
        <f>Amnt_Deposited!F23*$F$11*(1-DOCF)*Garden!E28</f>
        <v>0</v>
      </c>
      <c r="F27" s="572">
        <f>Amnt_Deposited!D23*$D$11*(1-DOCF)*Paper!E28</f>
        <v>0.25031608449408005</v>
      </c>
      <c r="G27" s="572">
        <f>Amnt_Deposited!G23*$D$12*(1-DOCF)*Wood!E28</f>
        <v>0.20651076970761603</v>
      </c>
      <c r="H27" s="572">
        <f>Amnt_Deposited!H23*$F$12*(1-DOCF)*Textiles!E28</f>
        <v>3.1435043169023999E-2</v>
      </c>
      <c r="I27" s="573">
        <f>Amnt_Deposited!E23*$H$10*(1-DOCF)*Nappies!E28</f>
        <v>0</v>
      </c>
      <c r="J27" s="574">
        <f>Amnt_Deposited!N23*$H$11*(1-DOCF)*Sludge!E28</f>
        <v>0</v>
      </c>
      <c r="K27" s="575">
        <f>Amnt_Deposited!P23*$H$12*(1-DOCF)*Industry!D28</f>
        <v>0</v>
      </c>
      <c r="L27" s="572">
        <f>Amnt_Deposited!P23*Parameters!$E$58*$D$11*(1-DOCF)*Industry!E28</f>
        <v>0</v>
      </c>
      <c r="M27" s="573">
        <f>Amnt_Deposited!P23*Parameters!$E$59*$D$12*(1-DOCF)*Industry!E28</f>
        <v>0</v>
      </c>
      <c r="N27" s="508">
        <f t="shared" si="0"/>
        <v>0.80479531816992012</v>
      </c>
      <c r="O27" s="510">
        <f t="shared" si="1"/>
        <v>7.0506988056489606</v>
      </c>
    </row>
    <row r="28" spans="2:15">
      <c r="B28" s="507">
        <f t="shared" si="2"/>
        <v>1960</v>
      </c>
      <c r="C28" s="570">
        <f>Amnt_Deposited!O24*$D$10*(1-DOCF)*MSW!E29</f>
        <v>0</v>
      </c>
      <c r="D28" s="571">
        <f>Amnt_Deposited!C24*$F$10*(1-DOCF)*Food!E29</f>
        <v>0.41129651665080003</v>
      </c>
      <c r="E28" s="572">
        <f>Amnt_Deposited!F24*$F$11*(1-DOCF)*Garden!E29</f>
        <v>0</v>
      </c>
      <c r="F28" s="572">
        <f>Amnt_Deposited!D24*$D$11*(1-DOCF)*Paper!E29</f>
        <v>0.32525517638592005</v>
      </c>
      <c r="G28" s="572">
        <f>Amnt_Deposited!G24*$D$12*(1-DOCF)*Wood!E29</f>
        <v>0.26833552051838405</v>
      </c>
      <c r="H28" s="572">
        <f>Amnt_Deposited!H24*$F$12*(1-DOCF)*Textiles!E29</f>
        <v>4.0845998894976004E-2</v>
      </c>
      <c r="I28" s="573">
        <f>Amnt_Deposited!E24*$H$10*(1-DOCF)*Nappies!E29</f>
        <v>0</v>
      </c>
      <c r="J28" s="574">
        <f>Amnt_Deposited!N24*$H$11*(1-DOCF)*Sludge!E29</f>
        <v>0</v>
      </c>
      <c r="K28" s="575">
        <f>Amnt_Deposited!P24*$H$12*(1-DOCF)*Industry!D29</f>
        <v>0</v>
      </c>
      <c r="L28" s="572">
        <f>Amnt_Deposited!P24*Parameters!$E$58*$D$11*(1-DOCF)*Industry!E29</f>
        <v>0</v>
      </c>
      <c r="M28" s="573">
        <f>Amnt_Deposited!P24*Parameters!$E$59*$D$12*(1-DOCF)*Industry!E29</f>
        <v>0</v>
      </c>
      <c r="N28" s="508">
        <f t="shared" si="0"/>
        <v>1.0457332124500802</v>
      </c>
      <c r="O28" s="510">
        <f t="shared" si="1"/>
        <v>8.0964320180990406</v>
      </c>
    </row>
    <row r="29" spans="2:15">
      <c r="B29" s="507">
        <f t="shared" si="2"/>
        <v>1961</v>
      </c>
      <c r="C29" s="570">
        <f>Amnt_Deposited!O25*$D$10*(1-DOCF)*MSW!E30</f>
        <v>0</v>
      </c>
      <c r="D29" s="571">
        <f>Amnt_Deposited!C25*$F$10*(1-DOCF)*Food!E30</f>
        <v>0.39399972750000001</v>
      </c>
      <c r="E29" s="572">
        <f>Amnt_Deposited!F25*$F$11*(1-DOCF)*Garden!E30</f>
        <v>0</v>
      </c>
      <c r="F29" s="572">
        <f>Amnt_Deposited!D25*$D$11*(1-DOCF)*Paper!E30</f>
        <v>0.31157679600000004</v>
      </c>
      <c r="G29" s="572">
        <f>Amnt_Deposited!G25*$D$12*(1-DOCF)*Wood!E30</f>
        <v>0.2570508567</v>
      </c>
      <c r="H29" s="572">
        <f>Amnt_Deposited!H25*$F$12*(1-DOCF)*Textiles!E30</f>
        <v>3.9128248800000001E-2</v>
      </c>
      <c r="I29" s="573">
        <f>Amnt_Deposited!E25*$H$10*(1-DOCF)*Nappies!E30</f>
        <v>0</v>
      </c>
      <c r="J29" s="574">
        <f>Amnt_Deposited!N25*$H$11*(1-DOCF)*Sludge!E30</f>
        <v>0</v>
      </c>
      <c r="K29" s="575">
        <f>Amnt_Deposited!P25*$H$12*(1-DOCF)*Industry!D30</f>
        <v>0</v>
      </c>
      <c r="L29" s="572">
        <f>Amnt_Deposited!P25*Parameters!$E$58*$D$11*(1-DOCF)*Industry!E30</f>
        <v>0</v>
      </c>
      <c r="M29" s="573">
        <f>Amnt_Deposited!P25*Parameters!$E$59*$D$12*(1-DOCF)*Industry!E30</f>
        <v>0</v>
      </c>
      <c r="N29" s="508">
        <f t="shared" si="0"/>
        <v>1.001755629</v>
      </c>
      <c r="O29" s="510">
        <f t="shared" si="1"/>
        <v>9.0981876470990404</v>
      </c>
    </row>
    <row r="30" spans="2:15">
      <c r="B30" s="507">
        <f t="shared" si="2"/>
        <v>1962</v>
      </c>
      <c r="C30" s="570">
        <f>Amnt_Deposited!O26*$D$10*(1-DOCF)*MSW!E31</f>
        <v>0</v>
      </c>
      <c r="D30" s="571">
        <f>Amnt_Deposited!C26*$F$10*(1-DOCF)*Food!E31</f>
        <v>0.4118717745360001</v>
      </c>
      <c r="E30" s="572">
        <f>Amnt_Deposited!F26*$F$11*(1-DOCF)*Garden!E31</f>
        <v>0</v>
      </c>
      <c r="F30" s="572">
        <f>Amnt_Deposited!D26*$D$11*(1-DOCF)*Paper!E31</f>
        <v>0.32571009296640008</v>
      </c>
      <c r="G30" s="572">
        <f>Amnt_Deposited!G26*$D$12*(1-DOCF)*Wood!E31</f>
        <v>0.26871082669728003</v>
      </c>
      <c r="H30" s="572">
        <f>Amnt_Deposited!H26*$F$12*(1-DOCF)*Textiles!E31</f>
        <v>4.090312795392001E-2</v>
      </c>
      <c r="I30" s="573">
        <f>Amnt_Deposited!E26*$H$10*(1-DOCF)*Nappies!E31</f>
        <v>0</v>
      </c>
      <c r="J30" s="574">
        <f>Amnt_Deposited!N26*$H$11*(1-DOCF)*Sludge!E31</f>
        <v>0</v>
      </c>
      <c r="K30" s="575">
        <f>Amnt_Deposited!P26*$H$12*(1-DOCF)*Industry!D31</f>
        <v>0</v>
      </c>
      <c r="L30" s="572">
        <f>Amnt_Deposited!P26*Parameters!$E$58*$D$11*(1-DOCF)*Industry!E31</f>
        <v>0</v>
      </c>
      <c r="M30" s="573">
        <f>Amnt_Deposited!P26*Parameters!$E$59*$D$12*(1-DOCF)*Industry!E31</f>
        <v>0</v>
      </c>
      <c r="N30" s="508">
        <f t="shared" si="0"/>
        <v>1.0471958221536002</v>
      </c>
      <c r="O30" s="510">
        <f t="shared" si="1"/>
        <v>10.145383469252641</v>
      </c>
    </row>
    <row r="31" spans="2:15">
      <c r="B31" s="507">
        <f t="shared" si="2"/>
        <v>1963</v>
      </c>
      <c r="C31" s="570">
        <f>Amnt_Deposited!O27*$D$10*(1-DOCF)*MSW!E32</f>
        <v>0</v>
      </c>
      <c r="D31" s="571">
        <f>Amnt_Deposited!C27*$F$10*(1-DOCF)*Food!E32</f>
        <v>0.43033326710399999</v>
      </c>
      <c r="E31" s="572">
        <f>Amnt_Deposited!F27*$F$11*(1-DOCF)*Garden!E32</f>
        <v>0</v>
      </c>
      <c r="F31" s="572">
        <f>Amnt_Deposited!D27*$D$11*(1-DOCF)*Paper!E32</f>
        <v>0.34030952616960009</v>
      </c>
      <c r="G31" s="572">
        <f>Amnt_Deposited!G27*$D$12*(1-DOCF)*Wood!E32</f>
        <v>0.28075535908992005</v>
      </c>
      <c r="H31" s="572">
        <f>Amnt_Deposited!H27*$F$12*(1-DOCF)*Textiles!E32</f>
        <v>4.2736545146880002E-2</v>
      </c>
      <c r="I31" s="573">
        <f>Amnt_Deposited!E27*$H$10*(1-DOCF)*Nappies!E32</f>
        <v>0</v>
      </c>
      <c r="J31" s="574">
        <f>Amnt_Deposited!N27*$H$11*(1-DOCF)*Sludge!E32</f>
        <v>0</v>
      </c>
      <c r="K31" s="575">
        <f>Amnt_Deposited!P27*$H$12*(1-DOCF)*Industry!D32</f>
        <v>0</v>
      </c>
      <c r="L31" s="572">
        <f>Amnt_Deposited!P27*Parameters!$E$58*$D$11*(1-DOCF)*Industry!E32</f>
        <v>0</v>
      </c>
      <c r="M31" s="573">
        <f>Amnt_Deposited!P27*Parameters!$E$59*$D$12*(1-DOCF)*Industry!E32</f>
        <v>0</v>
      </c>
      <c r="N31" s="508">
        <f t="shared" si="0"/>
        <v>1.0941346975104</v>
      </c>
      <c r="O31" s="510">
        <f t="shared" si="1"/>
        <v>11.239518166763041</v>
      </c>
    </row>
    <row r="32" spans="2:15">
      <c r="B32" s="507">
        <f t="shared" si="2"/>
        <v>1964</v>
      </c>
      <c r="C32" s="570">
        <f>Amnt_Deposited!O28*$D$10*(1-DOCF)*MSW!E33</f>
        <v>0</v>
      </c>
      <c r="D32" s="571">
        <f>Amnt_Deposited!C28*$F$10*(1-DOCF)*Food!E33</f>
        <v>0.44899367925600009</v>
      </c>
      <c r="E32" s="572">
        <f>Amnt_Deposited!F28*$F$11*(1-DOCF)*Garden!E33</f>
        <v>0</v>
      </c>
      <c r="F32" s="572">
        <f>Amnt_Deposited!D28*$D$11*(1-DOCF)*Paper!E33</f>
        <v>0.3550662658944001</v>
      </c>
      <c r="G32" s="572">
        <f>Amnt_Deposited!G28*$D$12*(1-DOCF)*Wood!E33</f>
        <v>0.29292966936288006</v>
      </c>
      <c r="H32" s="572">
        <f>Amnt_Deposited!H28*$F$12*(1-DOCF)*Textiles!E33</f>
        <v>4.4589717112320008E-2</v>
      </c>
      <c r="I32" s="573">
        <f>Amnt_Deposited!E28*$H$10*(1-DOCF)*Nappies!E33</f>
        <v>0</v>
      </c>
      <c r="J32" s="574">
        <f>Amnt_Deposited!N28*$H$11*(1-DOCF)*Sludge!E33</f>
        <v>0</v>
      </c>
      <c r="K32" s="575">
        <f>Amnt_Deposited!P28*$H$12*(1-DOCF)*Industry!D33</f>
        <v>0</v>
      </c>
      <c r="L32" s="572">
        <f>Amnt_Deposited!P28*Parameters!$E$58*$D$11*(1-DOCF)*Industry!E33</f>
        <v>0</v>
      </c>
      <c r="M32" s="573">
        <f>Amnt_Deposited!P28*Parameters!$E$59*$D$12*(1-DOCF)*Industry!E33</f>
        <v>0</v>
      </c>
      <c r="N32" s="508">
        <f t="shared" si="0"/>
        <v>1.1415793316256002</v>
      </c>
      <c r="O32" s="510">
        <f t="shared" si="1"/>
        <v>12.381097498388641</v>
      </c>
    </row>
    <row r="33" spans="2:15">
      <c r="B33" s="507">
        <f t="shared" si="2"/>
        <v>1965</v>
      </c>
      <c r="C33" s="570">
        <f>Amnt_Deposited!O29*$D$10*(1-DOCF)*MSW!E34</f>
        <v>0</v>
      </c>
      <c r="D33" s="571">
        <f>Amnt_Deposited!C29*$F$10*(1-DOCF)*Food!E34</f>
        <v>0.46821428405999993</v>
      </c>
      <c r="E33" s="572">
        <f>Amnt_Deposited!F29*$F$11*(1-DOCF)*Garden!E34</f>
        <v>0</v>
      </c>
      <c r="F33" s="572">
        <f>Amnt_Deposited!D29*$D$11*(1-DOCF)*Paper!E34</f>
        <v>0.37026600854399999</v>
      </c>
      <c r="G33" s="572">
        <f>Amnt_Deposited!G29*$D$12*(1-DOCF)*Wood!E34</f>
        <v>0.30546945704880002</v>
      </c>
      <c r="H33" s="572">
        <f>Amnt_Deposited!H29*$F$12*(1-DOCF)*Textiles!E34</f>
        <v>4.6498522003199996E-2</v>
      </c>
      <c r="I33" s="573">
        <f>Amnt_Deposited!E29*$H$10*(1-DOCF)*Nappies!E34</f>
        <v>0</v>
      </c>
      <c r="J33" s="574">
        <f>Amnt_Deposited!N29*$H$11*(1-DOCF)*Sludge!E34</f>
        <v>0</v>
      </c>
      <c r="K33" s="575">
        <f>Amnt_Deposited!P29*$H$12*(1-DOCF)*Industry!D34</f>
        <v>0</v>
      </c>
      <c r="L33" s="572">
        <f>Amnt_Deposited!P29*Parameters!$E$58*$D$11*(1-DOCF)*Industry!E34</f>
        <v>0</v>
      </c>
      <c r="M33" s="573">
        <f>Amnt_Deposited!P29*Parameters!$E$59*$D$12*(1-DOCF)*Industry!E34</f>
        <v>0</v>
      </c>
      <c r="N33" s="508">
        <f t="shared" si="0"/>
        <v>1.1904482716559999</v>
      </c>
      <c r="O33" s="510">
        <f t="shared" si="1"/>
        <v>13.57154577004464</v>
      </c>
    </row>
    <row r="34" spans="2:15">
      <c r="B34" s="507">
        <f t="shared" si="2"/>
        <v>1966</v>
      </c>
      <c r="C34" s="570">
        <f>Amnt_Deposited!O30*$D$10*(1-DOCF)*MSW!E35</f>
        <v>0</v>
      </c>
      <c r="D34" s="571">
        <f>Amnt_Deposited!C30*$F$10*(1-DOCF)*Food!E35</f>
        <v>0.48792487460400003</v>
      </c>
      <c r="E34" s="572">
        <f>Amnt_Deposited!F30*$F$11*(1-DOCF)*Garden!E35</f>
        <v>0</v>
      </c>
      <c r="F34" s="572">
        <f>Amnt_Deposited!D30*$D$11*(1-DOCF)*Paper!E35</f>
        <v>0.38585323416960005</v>
      </c>
      <c r="G34" s="572">
        <f>Amnt_Deposited!G30*$D$12*(1-DOCF)*Wood!E35</f>
        <v>0.31832891818992004</v>
      </c>
      <c r="H34" s="572">
        <f>Amnt_Deposited!H30*$F$12*(1-DOCF)*Textiles!E35</f>
        <v>4.8455987546879992E-2</v>
      </c>
      <c r="I34" s="573">
        <f>Amnt_Deposited!E30*$H$10*(1-DOCF)*Nappies!E35</f>
        <v>0</v>
      </c>
      <c r="J34" s="574">
        <f>Amnt_Deposited!N30*$H$11*(1-DOCF)*Sludge!E35</f>
        <v>0</v>
      </c>
      <c r="K34" s="575">
        <f>Amnt_Deposited!P30*$H$12*(1-DOCF)*Industry!D35</f>
        <v>0</v>
      </c>
      <c r="L34" s="572">
        <f>Amnt_Deposited!P30*Parameters!$E$58*$D$11*(1-DOCF)*Industry!E35</f>
        <v>0</v>
      </c>
      <c r="M34" s="573">
        <f>Amnt_Deposited!P30*Parameters!$E$59*$D$12*(1-DOCF)*Industry!E35</f>
        <v>0</v>
      </c>
      <c r="N34" s="508">
        <f t="shared" si="0"/>
        <v>1.2405630145104001</v>
      </c>
      <c r="O34" s="510">
        <f t="shared" si="1"/>
        <v>14.81210878455504</v>
      </c>
    </row>
    <row r="35" spans="2:15">
      <c r="B35" s="507">
        <f t="shared" si="2"/>
        <v>1967</v>
      </c>
      <c r="C35" s="570">
        <f>Amnt_Deposited!O31*$D$10*(1-DOCF)*MSW!E36</f>
        <v>0</v>
      </c>
      <c r="D35" s="571">
        <f>Amnt_Deposited!C31*$F$10*(1-DOCF)*Food!E36</f>
        <v>0.49017003314399993</v>
      </c>
      <c r="E35" s="572">
        <f>Amnt_Deposited!F31*$F$11*(1-DOCF)*Garden!E36</f>
        <v>0</v>
      </c>
      <c r="F35" s="572">
        <f>Amnt_Deposited!D31*$D$11*(1-DOCF)*Paper!E36</f>
        <v>0.38762871586559999</v>
      </c>
      <c r="G35" s="572">
        <f>Amnt_Deposited!G31*$D$12*(1-DOCF)*Wood!E36</f>
        <v>0.31979369058911999</v>
      </c>
      <c r="H35" s="572">
        <f>Amnt_Deposited!H31*$F$12*(1-DOCF)*Textiles!E36</f>
        <v>4.8678955015679995E-2</v>
      </c>
      <c r="I35" s="573">
        <f>Amnt_Deposited!E31*$H$10*(1-DOCF)*Nappies!E36</f>
        <v>0</v>
      </c>
      <c r="J35" s="574">
        <f>Amnt_Deposited!N31*$H$11*(1-DOCF)*Sludge!E36</f>
        <v>0</v>
      </c>
      <c r="K35" s="575">
        <f>Amnt_Deposited!P31*$H$12*(1-DOCF)*Industry!D36</f>
        <v>0</v>
      </c>
      <c r="L35" s="572">
        <f>Amnt_Deposited!P31*Parameters!$E$58*$D$11*(1-DOCF)*Industry!E36</f>
        <v>0</v>
      </c>
      <c r="M35" s="573">
        <f>Amnt_Deposited!P31*Parameters!$E$59*$D$12*(1-DOCF)*Industry!E36</f>
        <v>0</v>
      </c>
      <c r="N35" s="508">
        <f t="shared" si="0"/>
        <v>1.2462713946144</v>
      </c>
      <c r="O35" s="510">
        <f t="shared" si="1"/>
        <v>16.05838017916944</v>
      </c>
    </row>
    <row r="36" spans="2:15">
      <c r="B36" s="507">
        <f t="shared" si="2"/>
        <v>1968</v>
      </c>
      <c r="C36" s="570">
        <f>Amnt_Deposited!O32*$D$10*(1-DOCF)*MSW!E37</f>
        <v>0</v>
      </c>
      <c r="D36" s="571">
        <f>Amnt_Deposited!C32*$F$10*(1-DOCF)*Food!E37</f>
        <v>0.50844869521199998</v>
      </c>
      <c r="E36" s="572">
        <f>Amnt_Deposited!F32*$F$11*(1-DOCF)*Garden!E37</f>
        <v>0</v>
      </c>
      <c r="F36" s="572">
        <f>Amnt_Deposited!D32*$D$11*(1-DOCF)*Paper!E37</f>
        <v>0.40208356586880012</v>
      </c>
      <c r="G36" s="572">
        <f>Amnt_Deposited!G32*$D$12*(1-DOCF)*Wood!E37</f>
        <v>0.3317189418417601</v>
      </c>
      <c r="H36" s="572">
        <f>Amnt_Deposited!H32*$F$12*(1-DOCF)*Textiles!E37</f>
        <v>5.0494215248640006E-2</v>
      </c>
      <c r="I36" s="573">
        <f>Amnt_Deposited!E32*$H$10*(1-DOCF)*Nappies!E37</f>
        <v>0</v>
      </c>
      <c r="J36" s="574">
        <f>Amnt_Deposited!N32*$H$11*(1-DOCF)*Sludge!E37</f>
        <v>0</v>
      </c>
      <c r="K36" s="575">
        <f>Amnt_Deposited!P32*$H$12*(1-DOCF)*Industry!D37</f>
        <v>0</v>
      </c>
      <c r="L36" s="572">
        <f>Amnt_Deposited!P32*Parameters!$E$58*$D$11*(1-DOCF)*Industry!E37</f>
        <v>0</v>
      </c>
      <c r="M36" s="573">
        <f>Amnt_Deposited!P32*Parameters!$E$59*$D$12*(1-DOCF)*Industry!E37</f>
        <v>0</v>
      </c>
      <c r="N36" s="508">
        <f t="shared" si="0"/>
        <v>1.2927454181712001</v>
      </c>
      <c r="O36" s="510">
        <f t="shared" si="1"/>
        <v>17.351125597340641</v>
      </c>
    </row>
    <row r="37" spans="2:15">
      <c r="B37" s="507">
        <f t="shared" si="2"/>
        <v>1969</v>
      </c>
      <c r="C37" s="570">
        <f>Amnt_Deposited!O33*$D$10*(1-DOCF)*MSW!E38</f>
        <v>0</v>
      </c>
      <c r="D37" s="571">
        <f>Amnt_Deposited!C33*$F$10*(1-DOCF)*Food!E38</f>
        <v>0.52672735727999997</v>
      </c>
      <c r="E37" s="572">
        <f>Amnt_Deposited!F33*$F$11*(1-DOCF)*Garden!E38</f>
        <v>0</v>
      </c>
      <c r="F37" s="572">
        <f>Amnt_Deposited!D33*$D$11*(1-DOCF)*Paper!E38</f>
        <v>0.41653841587200002</v>
      </c>
      <c r="G37" s="572">
        <f>Amnt_Deposited!G33*$D$12*(1-DOCF)*Wood!E38</f>
        <v>0.34364419309440003</v>
      </c>
      <c r="H37" s="572">
        <f>Amnt_Deposited!H33*$F$12*(1-DOCF)*Textiles!E38</f>
        <v>5.230947548159999E-2</v>
      </c>
      <c r="I37" s="573">
        <f>Amnt_Deposited!E33*$H$10*(1-DOCF)*Nappies!E38</f>
        <v>0</v>
      </c>
      <c r="J37" s="574">
        <f>Amnt_Deposited!N33*$H$11*(1-DOCF)*Sludge!E38</f>
        <v>0</v>
      </c>
      <c r="K37" s="575">
        <f>Amnt_Deposited!P33*$H$12*(1-DOCF)*Industry!D38</f>
        <v>0</v>
      </c>
      <c r="L37" s="572">
        <f>Amnt_Deposited!P33*Parameters!$E$58*$D$11*(1-DOCF)*Industry!E38</f>
        <v>0</v>
      </c>
      <c r="M37" s="573">
        <f>Amnt_Deposited!P33*Parameters!$E$59*$D$12*(1-DOCF)*Industry!E38</f>
        <v>0</v>
      </c>
      <c r="N37" s="508">
        <f t="shared" si="0"/>
        <v>1.3392194417280001</v>
      </c>
      <c r="O37" s="510">
        <f t="shared" si="1"/>
        <v>18.690345039068642</v>
      </c>
    </row>
    <row r="38" spans="2:15">
      <c r="B38" s="507">
        <f t="shared" si="2"/>
        <v>1970</v>
      </c>
      <c r="C38" s="570">
        <f>Amnt_Deposited!O34*$D$10*(1-DOCF)*MSW!E39</f>
        <v>0</v>
      </c>
      <c r="D38" s="571">
        <f>Amnt_Deposited!C34*$F$10*(1-DOCF)*Food!E39</f>
        <v>0.54500601934799997</v>
      </c>
      <c r="E38" s="572">
        <f>Amnt_Deposited!F34*$F$11*(1-DOCF)*Garden!E39</f>
        <v>0</v>
      </c>
      <c r="F38" s="572">
        <f>Amnt_Deposited!D34*$D$11*(1-DOCF)*Paper!E39</f>
        <v>0.43099326587520015</v>
      </c>
      <c r="G38" s="572">
        <f>Amnt_Deposited!G34*$D$12*(1-DOCF)*Wood!E39</f>
        <v>0.35556944434704008</v>
      </c>
      <c r="H38" s="572">
        <f>Amnt_Deposited!H34*$F$12*(1-DOCF)*Textiles!E39</f>
        <v>5.4124735714560002E-2</v>
      </c>
      <c r="I38" s="573">
        <f>Amnt_Deposited!E34*$H$10*(1-DOCF)*Nappies!E39</f>
        <v>0</v>
      </c>
      <c r="J38" s="574">
        <f>Amnt_Deposited!N34*$H$11*(1-DOCF)*Sludge!E39</f>
        <v>0</v>
      </c>
      <c r="K38" s="575">
        <f>Amnt_Deposited!P34*$H$12*(1-DOCF)*Industry!D39</f>
        <v>0</v>
      </c>
      <c r="L38" s="572">
        <f>Amnt_Deposited!P34*Parameters!$E$58*$D$11*(1-DOCF)*Industry!E39</f>
        <v>0</v>
      </c>
      <c r="M38" s="573">
        <f>Amnt_Deposited!P34*Parameters!$E$59*$D$12*(1-DOCF)*Industry!E39</f>
        <v>0</v>
      </c>
      <c r="N38" s="508">
        <f t="shared" si="0"/>
        <v>1.3856934652848001</v>
      </c>
      <c r="O38" s="510">
        <f t="shared" si="1"/>
        <v>20.076038504353441</v>
      </c>
    </row>
    <row r="39" spans="2:15">
      <c r="B39" s="507">
        <f t="shared" si="2"/>
        <v>1971</v>
      </c>
      <c r="C39" s="570">
        <f>Amnt_Deposited!O35*$D$10*(1-DOCF)*MSW!E40</f>
        <v>0</v>
      </c>
      <c r="D39" s="571">
        <f>Amnt_Deposited!C35*$F$10*(1-DOCF)*Food!E40</f>
        <v>0.56328468141599997</v>
      </c>
      <c r="E39" s="572">
        <f>Amnt_Deposited!F35*$F$11*(1-DOCF)*Garden!E40</f>
        <v>0</v>
      </c>
      <c r="F39" s="572">
        <f>Amnt_Deposited!D35*$D$11*(1-DOCF)*Paper!E40</f>
        <v>0.44544811587840005</v>
      </c>
      <c r="G39" s="572">
        <f>Amnt_Deposited!G35*$D$12*(1-DOCF)*Wood!E40</f>
        <v>0.36749469559968001</v>
      </c>
      <c r="H39" s="572">
        <f>Amnt_Deposited!H35*$F$12*(1-DOCF)*Textiles!E40</f>
        <v>5.5939995947519999E-2</v>
      </c>
      <c r="I39" s="573">
        <f>Amnt_Deposited!E35*$H$10*(1-DOCF)*Nappies!E40</f>
        <v>0</v>
      </c>
      <c r="J39" s="574">
        <f>Amnt_Deposited!N35*$H$11*(1-DOCF)*Sludge!E40</f>
        <v>0</v>
      </c>
      <c r="K39" s="575">
        <f>Amnt_Deposited!P35*$H$12*(1-DOCF)*Industry!D40</f>
        <v>0</v>
      </c>
      <c r="L39" s="572">
        <f>Amnt_Deposited!P35*Parameters!$E$58*$D$11*(1-DOCF)*Industry!E40</f>
        <v>0</v>
      </c>
      <c r="M39" s="573">
        <f>Amnt_Deposited!P35*Parameters!$E$59*$D$12*(1-DOCF)*Industry!E40</f>
        <v>0</v>
      </c>
      <c r="N39" s="508">
        <f t="shared" si="0"/>
        <v>1.4321674888416001</v>
      </c>
      <c r="O39" s="510">
        <f t="shared" si="1"/>
        <v>21.508205993195041</v>
      </c>
    </row>
    <row r="40" spans="2:15">
      <c r="B40" s="507">
        <f t="shared" si="2"/>
        <v>1972</v>
      </c>
      <c r="C40" s="570">
        <f>Amnt_Deposited!O36*$D$10*(1-DOCF)*MSW!E41</f>
        <v>0</v>
      </c>
      <c r="D40" s="571">
        <f>Amnt_Deposited!C36*$F$10*(1-DOCF)*Food!E41</f>
        <v>0.58156334348400018</v>
      </c>
      <c r="E40" s="572">
        <f>Amnt_Deposited!F36*$F$11*(1-DOCF)*Garden!E41</f>
        <v>0</v>
      </c>
      <c r="F40" s="572">
        <f>Amnt_Deposited!D36*$D$11*(1-DOCF)*Paper!E41</f>
        <v>0.45990296588160007</v>
      </c>
      <c r="G40" s="572">
        <f>Amnt_Deposited!G36*$D$12*(1-DOCF)*Wood!E41</f>
        <v>0.37941994685232006</v>
      </c>
      <c r="H40" s="572">
        <f>Amnt_Deposited!H36*$F$12*(1-DOCF)*Textiles!E41</f>
        <v>5.7755256180479997E-2</v>
      </c>
      <c r="I40" s="573">
        <f>Amnt_Deposited!E36*$H$10*(1-DOCF)*Nappies!E41</f>
        <v>0</v>
      </c>
      <c r="J40" s="574">
        <f>Amnt_Deposited!N36*$H$11*(1-DOCF)*Sludge!E41</f>
        <v>0</v>
      </c>
      <c r="K40" s="575">
        <f>Amnt_Deposited!P36*$H$12*(1-DOCF)*Industry!D41</f>
        <v>0</v>
      </c>
      <c r="L40" s="572">
        <f>Amnt_Deposited!P36*Parameters!$E$58*$D$11*(1-DOCF)*Industry!E41</f>
        <v>0</v>
      </c>
      <c r="M40" s="573">
        <f>Amnt_Deposited!P36*Parameters!$E$59*$D$12*(1-DOCF)*Industry!E41</f>
        <v>0</v>
      </c>
      <c r="N40" s="508">
        <f t="shared" si="0"/>
        <v>1.4786415123984002</v>
      </c>
      <c r="O40" s="510">
        <f t="shared" si="1"/>
        <v>22.986847505593442</v>
      </c>
    </row>
    <row r="41" spans="2:15">
      <c r="B41" s="507">
        <f t="shared" si="2"/>
        <v>1973</v>
      </c>
      <c r="C41" s="570">
        <f>Amnt_Deposited!O37*$D$10*(1-DOCF)*MSW!E42</f>
        <v>0</v>
      </c>
      <c r="D41" s="571">
        <f>Amnt_Deposited!C37*$F$10*(1-DOCF)*Food!E42</f>
        <v>0.59984200555200018</v>
      </c>
      <c r="E41" s="572">
        <f>Amnt_Deposited!F37*$F$11*(1-DOCF)*Garden!E42</f>
        <v>0</v>
      </c>
      <c r="F41" s="572">
        <f>Amnt_Deposited!D37*$D$11*(1-DOCF)*Paper!E42</f>
        <v>0.47435781588480019</v>
      </c>
      <c r="G41" s="572">
        <f>Amnt_Deposited!G37*$D$12*(1-DOCF)*Wood!E42</f>
        <v>0.3913451981049601</v>
      </c>
      <c r="H41" s="572">
        <f>Amnt_Deposited!H37*$F$12*(1-DOCF)*Textiles!E42</f>
        <v>5.9570516413440001E-2</v>
      </c>
      <c r="I41" s="573">
        <f>Amnt_Deposited!E37*$H$10*(1-DOCF)*Nappies!E42</f>
        <v>0</v>
      </c>
      <c r="J41" s="574">
        <f>Amnt_Deposited!N37*$H$11*(1-DOCF)*Sludge!E42</f>
        <v>0</v>
      </c>
      <c r="K41" s="575">
        <f>Amnt_Deposited!P37*$H$12*(1-DOCF)*Industry!D42</f>
        <v>0</v>
      </c>
      <c r="L41" s="572">
        <f>Amnt_Deposited!P37*Parameters!$E$58*$D$11*(1-DOCF)*Industry!E42</f>
        <v>0</v>
      </c>
      <c r="M41" s="573">
        <f>Amnt_Deposited!P37*Parameters!$E$59*$D$12*(1-DOCF)*Industry!E42</f>
        <v>0</v>
      </c>
      <c r="N41" s="508">
        <f t="shared" si="0"/>
        <v>1.5251155359552004</v>
      </c>
      <c r="O41" s="510">
        <f t="shared" si="1"/>
        <v>24.511963041548643</v>
      </c>
    </row>
    <row r="42" spans="2:15">
      <c r="B42" s="507">
        <f t="shared" si="2"/>
        <v>1974</v>
      </c>
      <c r="C42" s="570">
        <f>Amnt_Deposited!O38*$D$10*(1-DOCF)*MSW!E43</f>
        <v>0</v>
      </c>
      <c r="D42" s="571">
        <f>Amnt_Deposited!C38*$F$10*(1-DOCF)*Food!E43</f>
        <v>0.61812066761999995</v>
      </c>
      <c r="E42" s="572">
        <f>Amnt_Deposited!F38*$F$11*(1-DOCF)*Garden!E43</f>
        <v>0</v>
      </c>
      <c r="F42" s="572">
        <f>Amnt_Deposited!D38*$D$11*(1-DOCF)*Paper!E43</f>
        <v>0.4888126658880001</v>
      </c>
      <c r="G42" s="572">
        <f>Amnt_Deposited!G38*$D$12*(1-DOCF)*Wood!E43</f>
        <v>0.40327044935760004</v>
      </c>
      <c r="H42" s="572">
        <f>Amnt_Deposited!H38*$F$12*(1-DOCF)*Textiles!E43</f>
        <v>6.1385776646400006E-2</v>
      </c>
      <c r="I42" s="573">
        <f>Amnt_Deposited!E38*$H$10*(1-DOCF)*Nappies!E43</f>
        <v>0</v>
      </c>
      <c r="J42" s="574">
        <f>Amnt_Deposited!N38*$H$11*(1-DOCF)*Sludge!E43</f>
        <v>0</v>
      </c>
      <c r="K42" s="575">
        <f>Amnt_Deposited!P38*$H$12*(1-DOCF)*Industry!D43</f>
        <v>0</v>
      </c>
      <c r="L42" s="572">
        <f>Amnt_Deposited!P38*Parameters!$E$58*$D$11*(1-DOCF)*Industry!E43</f>
        <v>0</v>
      </c>
      <c r="M42" s="573">
        <f>Amnt_Deposited!P38*Parameters!$E$59*$D$12*(1-DOCF)*Industry!E43</f>
        <v>0</v>
      </c>
      <c r="N42" s="508">
        <f t="shared" si="0"/>
        <v>1.5715895595120002</v>
      </c>
      <c r="O42" s="510">
        <f t="shared" si="1"/>
        <v>26.083552601060642</v>
      </c>
    </row>
    <row r="43" spans="2:15">
      <c r="B43" s="507">
        <f t="shared" si="2"/>
        <v>1975</v>
      </c>
      <c r="C43" s="570">
        <f>Amnt_Deposited!O39*$D$10*(1-DOCF)*MSW!E44</f>
        <v>0</v>
      </c>
      <c r="D43" s="571">
        <f>Amnt_Deposited!C39*$F$10*(1-DOCF)*Food!E44</f>
        <v>0.63639932968800017</v>
      </c>
      <c r="E43" s="572">
        <f>Amnt_Deposited!F39*$F$11*(1-DOCF)*Garden!E44</f>
        <v>0</v>
      </c>
      <c r="F43" s="572">
        <f>Amnt_Deposited!D39*$D$11*(1-DOCF)*Paper!E44</f>
        <v>0.50326751589120011</v>
      </c>
      <c r="G43" s="572">
        <f>Amnt_Deposited!G39*$D$12*(1-DOCF)*Wood!E44</f>
        <v>0.41519570061024008</v>
      </c>
      <c r="H43" s="572">
        <f>Amnt_Deposited!H39*$F$12*(1-DOCF)*Textiles!E44</f>
        <v>6.3201036879360017E-2</v>
      </c>
      <c r="I43" s="573">
        <f>Amnt_Deposited!E39*$H$10*(1-DOCF)*Nappies!E44</f>
        <v>0</v>
      </c>
      <c r="J43" s="574">
        <f>Amnt_Deposited!N39*$H$11*(1-DOCF)*Sludge!E44</f>
        <v>0</v>
      </c>
      <c r="K43" s="575">
        <f>Amnt_Deposited!P39*$H$12*(1-DOCF)*Industry!D44</f>
        <v>0</v>
      </c>
      <c r="L43" s="572">
        <f>Amnt_Deposited!P39*Parameters!$E$58*$D$11*(1-DOCF)*Industry!E44</f>
        <v>0</v>
      </c>
      <c r="M43" s="573">
        <f>Amnt_Deposited!P39*Parameters!$E$59*$D$12*(1-DOCF)*Industry!E44</f>
        <v>0</v>
      </c>
      <c r="N43" s="508">
        <f t="shared" si="0"/>
        <v>1.6180635830688004</v>
      </c>
      <c r="O43" s="510">
        <f t="shared" si="1"/>
        <v>27.701616184129442</v>
      </c>
    </row>
    <row r="44" spans="2:15">
      <c r="B44" s="507">
        <f t="shared" si="2"/>
        <v>1976</v>
      </c>
      <c r="C44" s="570">
        <f>Amnt_Deposited!O40*$D$10*(1-DOCF)*MSW!E45</f>
        <v>0</v>
      </c>
      <c r="D44" s="571">
        <f>Amnt_Deposited!C40*$F$10*(1-DOCF)*Food!E45</f>
        <v>0.65467799175599994</v>
      </c>
      <c r="E44" s="572">
        <f>Amnt_Deposited!F40*$F$11*(1-DOCF)*Garden!E45</f>
        <v>0</v>
      </c>
      <c r="F44" s="572">
        <f>Amnt_Deposited!D40*$D$11*(1-DOCF)*Paper!E45</f>
        <v>0.51772236589440013</v>
      </c>
      <c r="G44" s="572">
        <f>Amnt_Deposited!G40*$D$12*(1-DOCF)*Wood!E45</f>
        <v>0.42712095186288002</v>
      </c>
      <c r="H44" s="572">
        <f>Amnt_Deposited!H40*$F$12*(1-DOCF)*Textiles!E45</f>
        <v>6.5016297112320001E-2</v>
      </c>
      <c r="I44" s="573">
        <f>Amnt_Deposited!E40*$H$10*(1-DOCF)*Nappies!E45</f>
        <v>0</v>
      </c>
      <c r="J44" s="574">
        <f>Amnt_Deposited!N40*$H$11*(1-DOCF)*Sludge!E45</f>
        <v>0</v>
      </c>
      <c r="K44" s="575">
        <f>Amnt_Deposited!P40*$H$12*(1-DOCF)*Industry!D45</f>
        <v>0</v>
      </c>
      <c r="L44" s="572">
        <f>Amnt_Deposited!P40*Parameters!$E$58*$D$11*(1-DOCF)*Industry!E45</f>
        <v>0</v>
      </c>
      <c r="M44" s="573">
        <f>Amnt_Deposited!P40*Parameters!$E$59*$D$12*(1-DOCF)*Industry!E45</f>
        <v>0</v>
      </c>
      <c r="N44" s="508">
        <f t="shared" si="0"/>
        <v>1.6645376066256001</v>
      </c>
      <c r="O44" s="510">
        <f t="shared" si="1"/>
        <v>29.366153790755043</v>
      </c>
    </row>
    <row r="45" spans="2:15">
      <c r="B45" s="507">
        <f t="shared" si="2"/>
        <v>1977</v>
      </c>
      <c r="C45" s="570">
        <f>Amnt_Deposited!O41*$D$10*(1-DOCF)*MSW!E46</f>
        <v>0</v>
      </c>
      <c r="D45" s="571">
        <f>Amnt_Deposited!C41*$F$10*(1-DOCF)*Food!E46</f>
        <v>0.67295665382400016</v>
      </c>
      <c r="E45" s="572">
        <f>Amnt_Deposited!F41*$F$11*(1-DOCF)*Garden!E46</f>
        <v>0</v>
      </c>
      <c r="F45" s="572">
        <f>Amnt_Deposited!D41*$D$11*(1-DOCF)*Paper!E46</f>
        <v>0.53217721589760014</v>
      </c>
      <c r="G45" s="572">
        <f>Amnt_Deposited!G41*$D$12*(1-DOCF)*Wood!E46</f>
        <v>0.43904620311552006</v>
      </c>
      <c r="H45" s="572">
        <f>Amnt_Deposited!H41*$F$12*(1-DOCF)*Textiles!E46</f>
        <v>6.6831557345280013E-2</v>
      </c>
      <c r="I45" s="573">
        <f>Amnt_Deposited!E41*$H$10*(1-DOCF)*Nappies!E46</f>
        <v>0</v>
      </c>
      <c r="J45" s="574">
        <f>Amnt_Deposited!N41*$H$11*(1-DOCF)*Sludge!E46</f>
        <v>0</v>
      </c>
      <c r="K45" s="575">
        <f>Amnt_Deposited!P41*$H$12*(1-DOCF)*Industry!D46</f>
        <v>0</v>
      </c>
      <c r="L45" s="572">
        <f>Amnt_Deposited!P41*Parameters!$E$58*$D$11*(1-DOCF)*Industry!E46</f>
        <v>0</v>
      </c>
      <c r="M45" s="573">
        <f>Amnt_Deposited!P41*Parameters!$E$59*$D$12*(1-DOCF)*Industry!E46</f>
        <v>0</v>
      </c>
      <c r="N45" s="508">
        <f t="shared" si="0"/>
        <v>1.7110116301824003</v>
      </c>
      <c r="O45" s="510">
        <f t="shared" si="1"/>
        <v>31.077165420937444</v>
      </c>
    </row>
    <row r="46" spans="2:15">
      <c r="B46" s="507">
        <f t="shared" si="2"/>
        <v>1978</v>
      </c>
      <c r="C46" s="570">
        <f>Amnt_Deposited!O42*$D$10*(1-DOCF)*MSW!E47</f>
        <v>0</v>
      </c>
      <c r="D46" s="571">
        <f>Amnt_Deposited!C42*$F$10*(1-DOCF)*Food!E47</f>
        <v>0.69123531589199994</v>
      </c>
      <c r="E46" s="572">
        <f>Amnt_Deposited!F42*$F$11*(1-DOCF)*Garden!E47</f>
        <v>0</v>
      </c>
      <c r="F46" s="572">
        <f>Amnt_Deposited!D42*$D$11*(1-DOCF)*Paper!E47</f>
        <v>0.54663206590080005</v>
      </c>
      <c r="G46" s="572">
        <f>Amnt_Deposited!G42*$D$12*(1-DOCF)*Wood!E47</f>
        <v>0.45097145436816011</v>
      </c>
      <c r="H46" s="572">
        <f>Amnt_Deposited!H42*$F$12*(1-DOCF)*Textiles!E47</f>
        <v>6.864681757824001E-2</v>
      </c>
      <c r="I46" s="573">
        <f>Amnt_Deposited!E42*$H$10*(1-DOCF)*Nappies!E47</f>
        <v>0</v>
      </c>
      <c r="J46" s="574">
        <f>Amnt_Deposited!N42*$H$11*(1-DOCF)*Sludge!E47</f>
        <v>0</v>
      </c>
      <c r="K46" s="575">
        <f>Amnt_Deposited!P42*$H$12*(1-DOCF)*Industry!D47</f>
        <v>0</v>
      </c>
      <c r="L46" s="572">
        <f>Amnt_Deposited!P42*Parameters!$E$58*$D$11*(1-DOCF)*Industry!E47</f>
        <v>0</v>
      </c>
      <c r="M46" s="573">
        <f>Amnt_Deposited!P42*Parameters!$E$59*$D$12*(1-DOCF)*Industry!E47</f>
        <v>0</v>
      </c>
      <c r="N46" s="508">
        <f t="shared" si="0"/>
        <v>1.7574856537392001</v>
      </c>
      <c r="O46" s="510">
        <f t="shared" si="1"/>
        <v>32.834651074676643</v>
      </c>
    </row>
    <row r="47" spans="2:15">
      <c r="B47" s="507">
        <f t="shared" si="2"/>
        <v>1979</v>
      </c>
      <c r="C47" s="570">
        <f>Amnt_Deposited!O43*$D$10*(1-DOCF)*MSW!E48</f>
        <v>0</v>
      </c>
      <c r="D47" s="571">
        <f>Amnt_Deposited!C43*$F$10*(1-DOCF)*Food!E48</f>
        <v>0.70951397796000015</v>
      </c>
      <c r="E47" s="572">
        <f>Amnt_Deposited!F43*$F$11*(1-DOCF)*Garden!E48</f>
        <v>0</v>
      </c>
      <c r="F47" s="572">
        <f>Amnt_Deposited!D43*$D$11*(1-DOCF)*Paper!E48</f>
        <v>0.56108691590400006</v>
      </c>
      <c r="G47" s="572">
        <f>Amnt_Deposited!G43*$D$12*(1-DOCF)*Wood!E48</f>
        <v>0.46289670562080004</v>
      </c>
      <c r="H47" s="572">
        <f>Amnt_Deposited!H43*$F$12*(1-DOCF)*Textiles!E48</f>
        <v>7.0462077811200008E-2</v>
      </c>
      <c r="I47" s="573">
        <f>Amnt_Deposited!E43*$H$10*(1-DOCF)*Nappies!E48</f>
        <v>0</v>
      </c>
      <c r="J47" s="574">
        <f>Amnt_Deposited!N43*$H$11*(1-DOCF)*Sludge!E48</f>
        <v>0</v>
      </c>
      <c r="K47" s="575">
        <f>Amnt_Deposited!P43*$H$12*(1-DOCF)*Industry!D48</f>
        <v>0</v>
      </c>
      <c r="L47" s="572">
        <f>Amnt_Deposited!P43*Parameters!$E$58*$D$11*(1-DOCF)*Industry!E48</f>
        <v>0</v>
      </c>
      <c r="M47" s="573">
        <f>Amnt_Deposited!P43*Parameters!$E$59*$D$12*(1-DOCF)*Industry!E48</f>
        <v>0</v>
      </c>
      <c r="N47" s="508">
        <f t="shared" si="0"/>
        <v>1.803959677296</v>
      </c>
      <c r="O47" s="510">
        <f t="shared" si="1"/>
        <v>34.638610751972642</v>
      </c>
    </row>
    <row r="48" spans="2:15">
      <c r="B48" s="507">
        <f t="shared" si="2"/>
        <v>1980</v>
      </c>
      <c r="C48" s="570">
        <f>Amnt_Deposited!O44*$D$10*(1-DOCF)*MSW!E49</f>
        <v>0</v>
      </c>
      <c r="D48" s="571">
        <f>Amnt_Deposited!C44*$F$10*(1-DOCF)*Food!E49</f>
        <v>0.72779264002800004</v>
      </c>
      <c r="E48" s="572">
        <f>Amnt_Deposited!F44*$F$11*(1-DOCF)*Garden!E49</f>
        <v>0</v>
      </c>
      <c r="F48" s="572">
        <f>Amnt_Deposited!D44*$D$11*(1-DOCF)*Paper!E49</f>
        <v>0.57554176590720008</v>
      </c>
      <c r="G48" s="572">
        <f>Amnt_Deposited!G44*$D$12*(1-DOCF)*Wood!E49</f>
        <v>0.47482195687344009</v>
      </c>
      <c r="H48" s="572">
        <f>Amnt_Deposited!H44*$F$12*(1-DOCF)*Textiles!E49</f>
        <v>7.2277338044160006E-2</v>
      </c>
      <c r="I48" s="573">
        <f>Amnt_Deposited!E44*$H$10*(1-DOCF)*Nappies!E49</f>
        <v>0</v>
      </c>
      <c r="J48" s="574">
        <f>Amnt_Deposited!N44*$H$11*(1-DOCF)*Sludge!E49</f>
        <v>0</v>
      </c>
      <c r="K48" s="575">
        <f>Amnt_Deposited!P44*$H$12*(1-DOCF)*Industry!D49</f>
        <v>0</v>
      </c>
      <c r="L48" s="572">
        <f>Amnt_Deposited!P44*Parameters!$E$58*$D$11*(1-DOCF)*Industry!E49</f>
        <v>0</v>
      </c>
      <c r="M48" s="573">
        <f>Amnt_Deposited!P44*Parameters!$E$59*$D$12*(1-DOCF)*Industry!E49</f>
        <v>0</v>
      </c>
      <c r="N48" s="508">
        <f t="shared" si="0"/>
        <v>1.8504337008528</v>
      </c>
      <c r="O48" s="510">
        <f t="shared" si="1"/>
        <v>36.489044452825439</v>
      </c>
    </row>
    <row r="49" spans="2:15">
      <c r="B49" s="507">
        <f t="shared" si="2"/>
        <v>1981</v>
      </c>
      <c r="C49" s="570">
        <f>Amnt_Deposited!O45*$D$10*(1-DOCF)*MSW!E50</f>
        <v>0</v>
      </c>
      <c r="D49" s="571">
        <f>Amnt_Deposited!C45*$F$10*(1-DOCF)*Food!E50</f>
        <v>0</v>
      </c>
      <c r="E49" s="572">
        <f>Amnt_Deposited!F45*$F$11*(1-DOCF)*Garden!E50</f>
        <v>0</v>
      </c>
      <c r="F49" s="572">
        <f>Amnt_Deposited!D45*$D$11*(1-DOCF)*Paper!E50</f>
        <v>0</v>
      </c>
      <c r="G49" s="572">
        <f>Amnt_Deposited!G45*$D$12*(1-DOCF)*Wood!E50</f>
        <v>0</v>
      </c>
      <c r="H49" s="572">
        <f>Amnt_Deposited!H45*$F$12*(1-DOCF)*Textiles!E50</f>
        <v>0</v>
      </c>
      <c r="I49" s="573">
        <f>Amnt_Deposited!E45*$H$10*(1-DOCF)*Nappies!E50</f>
        <v>0</v>
      </c>
      <c r="J49" s="574">
        <f>Amnt_Deposited!N45*$H$11*(1-DOCF)*Sludge!E50</f>
        <v>0</v>
      </c>
      <c r="K49" s="575">
        <f>Amnt_Deposited!P45*$H$12*(1-DOCF)*Industry!D50</f>
        <v>0</v>
      </c>
      <c r="L49" s="572">
        <f>Amnt_Deposited!P45*Parameters!$E$58*$D$11*(1-DOCF)*Industry!E50</f>
        <v>0</v>
      </c>
      <c r="M49" s="573">
        <f>Amnt_Deposited!P45*Parameters!$E$59*$D$12*(1-DOCF)*Industry!E50</f>
        <v>0</v>
      </c>
      <c r="N49" s="508">
        <f t="shared" si="0"/>
        <v>0</v>
      </c>
      <c r="O49" s="510">
        <f t="shared" si="1"/>
        <v>36.489044452825439</v>
      </c>
    </row>
    <row r="50" spans="2:15">
      <c r="B50" s="507">
        <f t="shared" si="2"/>
        <v>1982</v>
      </c>
      <c r="C50" s="570">
        <f>Amnt_Deposited!O46*$D$10*(1-DOCF)*MSW!E51</f>
        <v>0</v>
      </c>
      <c r="D50" s="571">
        <f>Amnt_Deposited!C46*$F$10*(1-DOCF)*Food!E51</f>
        <v>0</v>
      </c>
      <c r="E50" s="572">
        <f>Amnt_Deposited!F46*$F$11*(1-DOCF)*Garden!E51</f>
        <v>0</v>
      </c>
      <c r="F50" s="572">
        <f>Amnt_Deposited!D46*$D$11*(1-DOCF)*Paper!E51</f>
        <v>0</v>
      </c>
      <c r="G50" s="572">
        <f>Amnt_Deposited!G46*$D$12*(1-DOCF)*Wood!E51</f>
        <v>0</v>
      </c>
      <c r="H50" s="572">
        <f>Amnt_Deposited!H46*$F$12*(1-DOCF)*Textiles!E51</f>
        <v>0</v>
      </c>
      <c r="I50" s="573">
        <f>Amnt_Deposited!E46*$H$10*(1-DOCF)*Nappies!E51</f>
        <v>0</v>
      </c>
      <c r="J50" s="574">
        <f>Amnt_Deposited!N46*$H$11*(1-DOCF)*Sludge!E51</f>
        <v>0</v>
      </c>
      <c r="K50" s="575">
        <f>Amnt_Deposited!P46*$H$12*(1-DOCF)*Industry!D51</f>
        <v>0</v>
      </c>
      <c r="L50" s="572">
        <f>Amnt_Deposited!P46*Parameters!$E$58*$D$11*(1-DOCF)*Industry!E51</f>
        <v>0</v>
      </c>
      <c r="M50" s="573">
        <f>Amnt_Deposited!P46*Parameters!$E$59*$D$12*(1-DOCF)*Industry!E51</f>
        <v>0</v>
      </c>
      <c r="N50" s="508">
        <f t="shared" ref="N50:N81" si="3">IF(Select2=2,C50+J50+K50, D50+E50+F50+G50+H50+I50+J50+K50)</f>
        <v>0</v>
      </c>
      <c r="O50" s="510">
        <f t="shared" si="1"/>
        <v>36.489044452825439</v>
      </c>
    </row>
    <row r="51" spans="2:15">
      <c r="B51" s="507">
        <f t="shared" si="2"/>
        <v>1983</v>
      </c>
      <c r="C51" s="570">
        <f>Amnt_Deposited!O47*$D$10*(1-DOCF)*MSW!E52</f>
        <v>0</v>
      </c>
      <c r="D51" s="571">
        <f>Amnt_Deposited!C47*$F$10*(1-DOCF)*Food!E52</f>
        <v>0</v>
      </c>
      <c r="E51" s="572">
        <f>Amnt_Deposited!F47*$F$11*(1-DOCF)*Garden!E52</f>
        <v>0</v>
      </c>
      <c r="F51" s="572">
        <f>Amnt_Deposited!D47*$D$11*(1-DOCF)*Paper!E52</f>
        <v>0</v>
      </c>
      <c r="G51" s="572">
        <f>Amnt_Deposited!G47*$D$12*(1-DOCF)*Wood!E52</f>
        <v>0</v>
      </c>
      <c r="H51" s="572">
        <f>Amnt_Deposited!H47*$F$12*(1-DOCF)*Textiles!E52</f>
        <v>0</v>
      </c>
      <c r="I51" s="573">
        <f>Amnt_Deposited!E47*$H$10*(1-DOCF)*Nappies!E52</f>
        <v>0</v>
      </c>
      <c r="J51" s="574">
        <f>Amnt_Deposited!N47*$H$11*(1-DOCF)*Sludge!E52</f>
        <v>0</v>
      </c>
      <c r="K51" s="575">
        <f>Amnt_Deposited!P47*$H$12*(1-DOCF)*Industry!D52</f>
        <v>0</v>
      </c>
      <c r="L51" s="572">
        <f>Amnt_Deposited!P47*Parameters!$E$58*$D$11*(1-DOCF)*Industry!E52</f>
        <v>0</v>
      </c>
      <c r="M51" s="573">
        <f>Amnt_Deposited!P47*Parameters!$E$59*$D$12*(1-DOCF)*Industry!E52</f>
        <v>0</v>
      </c>
      <c r="N51" s="508">
        <f t="shared" si="3"/>
        <v>0</v>
      </c>
      <c r="O51" s="510">
        <f t="shared" si="1"/>
        <v>36.489044452825439</v>
      </c>
    </row>
    <row r="52" spans="2:15">
      <c r="B52" s="507">
        <f t="shared" si="2"/>
        <v>1984</v>
      </c>
      <c r="C52" s="570">
        <f>Amnt_Deposited!O48*$D$10*(1-DOCF)*MSW!E53</f>
        <v>0</v>
      </c>
      <c r="D52" s="571">
        <f>Amnt_Deposited!C48*$F$10*(1-DOCF)*Food!E53</f>
        <v>0</v>
      </c>
      <c r="E52" s="572">
        <f>Amnt_Deposited!F48*$F$11*(1-DOCF)*Garden!E53</f>
        <v>0</v>
      </c>
      <c r="F52" s="572">
        <f>Amnt_Deposited!D48*$D$11*(1-DOCF)*Paper!E53</f>
        <v>0</v>
      </c>
      <c r="G52" s="572">
        <f>Amnt_Deposited!G48*$D$12*(1-DOCF)*Wood!E53</f>
        <v>0</v>
      </c>
      <c r="H52" s="572">
        <f>Amnt_Deposited!H48*$F$12*(1-DOCF)*Textiles!E53</f>
        <v>0</v>
      </c>
      <c r="I52" s="573">
        <f>Amnt_Deposited!E48*$H$10*(1-DOCF)*Nappies!E53</f>
        <v>0</v>
      </c>
      <c r="J52" s="574">
        <f>Amnt_Deposited!N48*$H$11*(1-DOCF)*Sludge!E53</f>
        <v>0</v>
      </c>
      <c r="K52" s="575">
        <f>Amnt_Deposited!P48*$H$12*(1-DOCF)*Industry!D53</f>
        <v>0</v>
      </c>
      <c r="L52" s="572">
        <f>Amnt_Deposited!P48*Parameters!$E$58*$D$11*(1-DOCF)*Industry!E53</f>
        <v>0</v>
      </c>
      <c r="M52" s="573">
        <f>Amnt_Deposited!P48*Parameters!$E$59*$D$12*(1-DOCF)*Industry!E53</f>
        <v>0</v>
      </c>
      <c r="N52" s="508">
        <f t="shared" si="3"/>
        <v>0</v>
      </c>
      <c r="O52" s="510">
        <f t="shared" si="1"/>
        <v>36.489044452825439</v>
      </c>
    </row>
    <row r="53" spans="2:15">
      <c r="B53" s="507">
        <f t="shared" si="2"/>
        <v>1985</v>
      </c>
      <c r="C53" s="570">
        <f>Amnt_Deposited!O49*$D$10*(1-DOCF)*MSW!E54</f>
        <v>0</v>
      </c>
      <c r="D53" s="571">
        <f>Amnt_Deposited!C49*$F$10*(1-DOCF)*Food!E54</f>
        <v>0</v>
      </c>
      <c r="E53" s="572">
        <f>Amnt_Deposited!F49*$F$11*(1-DOCF)*Garden!E54</f>
        <v>0</v>
      </c>
      <c r="F53" s="572">
        <f>Amnt_Deposited!D49*$D$11*(1-DOCF)*Paper!E54</f>
        <v>0</v>
      </c>
      <c r="G53" s="572">
        <f>Amnt_Deposited!G49*$D$12*(1-DOCF)*Wood!E54</f>
        <v>0</v>
      </c>
      <c r="H53" s="572">
        <f>Amnt_Deposited!H49*$F$12*(1-DOCF)*Textiles!E54</f>
        <v>0</v>
      </c>
      <c r="I53" s="573">
        <f>Amnt_Deposited!E49*$H$10*(1-DOCF)*Nappies!E54</f>
        <v>0</v>
      </c>
      <c r="J53" s="574">
        <f>Amnt_Deposited!N49*$H$11*(1-DOCF)*Sludge!E54</f>
        <v>0</v>
      </c>
      <c r="K53" s="575">
        <f>Amnt_Deposited!P49*$H$12*(1-DOCF)*Industry!D54</f>
        <v>0</v>
      </c>
      <c r="L53" s="572">
        <f>Amnt_Deposited!P49*Parameters!$E$58*$D$11*(1-DOCF)*Industry!E54</f>
        <v>0</v>
      </c>
      <c r="M53" s="573">
        <f>Amnt_Deposited!P49*Parameters!$E$59*$D$12*(1-DOCF)*Industry!E54</f>
        <v>0</v>
      </c>
      <c r="N53" s="508">
        <f t="shared" si="3"/>
        <v>0</v>
      </c>
      <c r="O53" s="510">
        <f t="shared" si="1"/>
        <v>36.489044452825439</v>
      </c>
    </row>
    <row r="54" spans="2:15">
      <c r="B54" s="507">
        <f t="shared" si="2"/>
        <v>1986</v>
      </c>
      <c r="C54" s="570">
        <f>Amnt_Deposited!O50*$D$10*(1-DOCF)*MSW!E55</f>
        <v>0</v>
      </c>
      <c r="D54" s="571">
        <f>Amnt_Deposited!C50*$F$10*(1-DOCF)*Food!E55</f>
        <v>0</v>
      </c>
      <c r="E54" s="572">
        <f>Amnt_Deposited!F50*$F$11*(1-DOCF)*Garden!E55</f>
        <v>0</v>
      </c>
      <c r="F54" s="572">
        <f>Amnt_Deposited!D50*$D$11*(1-DOCF)*Paper!E55</f>
        <v>0</v>
      </c>
      <c r="G54" s="572">
        <f>Amnt_Deposited!G50*$D$12*(1-DOCF)*Wood!E55</f>
        <v>0</v>
      </c>
      <c r="H54" s="572">
        <f>Amnt_Deposited!H50*$F$12*(1-DOCF)*Textiles!E55</f>
        <v>0</v>
      </c>
      <c r="I54" s="573">
        <f>Amnt_Deposited!E50*$H$10*(1-DOCF)*Nappies!E55</f>
        <v>0</v>
      </c>
      <c r="J54" s="574">
        <f>Amnt_Deposited!N50*$H$11*(1-DOCF)*Sludge!E55</f>
        <v>0</v>
      </c>
      <c r="K54" s="575">
        <f>Amnt_Deposited!P50*$H$12*(1-DOCF)*Industry!D55</f>
        <v>0</v>
      </c>
      <c r="L54" s="572">
        <f>Amnt_Deposited!P50*Parameters!$E$58*$D$11*(1-DOCF)*Industry!E55</f>
        <v>0</v>
      </c>
      <c r="M54" s="573">
        <f>Amnt_Deposited!P50*Parameters!$E$59*$D$12*(1-DOCF)*Industry!E55</f>
        <v>0</v>
      </c>
      <c r="N54" s="508">
        <f t="shared" si="3"/>
        <v>0</v>
      </c>
      <c r="O54" s="510">
        <f t="shared" si="1"/>
        <v>36.489044452825439</v>
      </c>
    </row>
    <row r="55" spans="2:15">
      <c r="B55" s="507">
        <f t="shared" si="2"/>
        <v>1987</v>
      </c>
      <c r="C55" s="570">
        <f>Amnt_Deposited!O51*$D$10*(1-DOCF)*MSW!E56</f>
        <v>0</v>
      </c>
      <c r="D55" s="571">
        <f>Amnt_Deposited!C51*$F$10*(1-DOCF)*Food!E56</f>
        <v>0</v>
      </c>
      <c r="E55" s="572">
        <f>Amnt_Deposited!F51*$F$11*(1-DOCF)*Garden!E56</f>
        <v>0</v>
      </c>
      <c r="F55" s="572">
        <f>Amnt_Deposited!D51*$D$11*(1-DOCF)*Paper!E56</f>
        <v>0</v>
      </c>
      <c r="G55" s="572">
        <f>Amnt_Deposited!G51*$D$12*(1-DOCF)*Wood!E56</f>
        <v>0</v>
      </c>
      <c r="H55" s="572">
        <f>Amnt_Deposited!H51*$F$12*(1-DOCF)*Textiles!E56</f>
        <v>0</v>
      </c>
      <c r="I55" s="573">
        <f>Amnt_Deposited!E51*$H$10*(1-DOCF)*Nappies!E56</f>
        <v>0</v>
      </c>
      <c r="J55" s="574">
        <f>Amnt_Deposited!N51*$H$11*(1-DOCF)*Sludge!E56</f>
        <v>0</v>
      </c>
      <c r="K55" s="575">
        <f>Amnt_Deposited!P51*$H$12*(1-DOCF)*Industry!D56</f>
        <v>0</v>
      </c>
      <c r="L55" s="572">
        <f>Amnt_Deposited!P51*Parameters!$E$58*$D$11*(1-DOCF)*Industry!E56</f>
        <v>0</v>
      </c>
      <c r="M55" s="573">
        <f>Amnt_Deposited!P51*Parameters!$E$59*$D$12*(1-DOCF)*Industry!E56</f>
        <v>0</v>
      </c>
      <c r="N55" s="508">
        <f t="shared" si="3"/>
        <v>0</v>
      </c>
      <c r="O55" s="510">
        <f t="shared" si="1"/>
        <v>36.489044452825439</v>
      </c>
    </row>
    <row r="56" spans="2:15">
      <c r="B56" s="507">
        <f t="shared" si="2"/>
        <v>1988</v>
      </c>
      <c r="C56" s="570">
        <f>Amnt_Deposited!O52*$D$10*(1-DOCF)*MSW!E57</f>
        <v>0</v>
      </c>
      <c r="D56" s="571">
        <f>Amnt_Deposited!C52*$F$10*(1-DOCF)*Food!E57</f>
        <v>0</v>
      </c>
      <c r="E56" s="572">
        <f>Amnt_Deposited!F52*$F$11*(1-DOCF)*Garden!E57</f>
        <v>0</v>
      </c>
      <c r="F56" s="572">
        <f>Amnt_Deposited!D52*$D$11*(1-DOCF)*Paper!E57</f>
        <v>0</v>
      </c>
      <c r="G56" s="572">
        <f>Amnt_Deposited!G52*$D$12*(1-DOCF)*Wood!E57</f>
        <v>0</v>
      </c>
      <c r="H56" s="572">
        <f>Amnt_Deposited!H52*$F$12*(1-DOCF)*Textiles!E57</f>
        <v>0</v>
      </c>
      <c r="I56" s="573">
        <f>Amnt_Deposited!E52*$H$10*(1-DOCF)*Nappies!E57</f>
        <v>0</v>
      </c>
      <c r="J56" s="574">
        <f>Amnt_Deposited!N52*$H$11*(1-DOCF)*Sludge!E57</f>
        <v>0</v>
      </c>
      <c r="K56" s="575">
        <f>Amnt_Deposited!P52*$H$12*(1-DOCF)*Industry!D57</f>
        <v>0</v>
      </c>
      <c r="L56" s="572">
        <f>Amnt_Deposited!P52*Parameters!$E$58*$D$11*(1-DOCF)*Industry!E57</f>
        <v>0</v>
      </c>
      <c r="M56" s="573">
        <f>Amnt_Deposited!P52*Parameters!$E$59*$D$12*(1-DOCF)*Industry!E57</f>
        <v>0</v>
      </c>
      <c r="N56" s="508">
        <f t="shared" si="3"/>
        <v>0</v>
      </c>
      <c r="O56" s="510">
        <f t="shared" si="1"/>
        <v>36.489044452825439</v>
      </c>
    </row>
    <row r="57" spans="2:15">
      <c r="B57" s="507">
        <f t="shared" si="2"/>
        <v>1989</v>
      </c>
      <c r="C57" s="570">
        <f>Amnt_Deposited!O53*$D$10*(1-DOCF)*MSW!E58</f>
        <v>0</v>
      </c>
      <c r="D57" s="571">
        <f>Amnt_Deposited!C53*$F$10*(1-DOCF)*Food!E58</f>
        <v>0</v>
      </c>
      <c r="E57" s="572">
        <f>Amnt_Deposited!F53*$F$11*(1-DOCF)*Garden!E58</f>
        <v>0</v>
      </c>
      <c r="F57" s="572">
        <f>Amnt_Deposited!D53*$D$11*(1-DOCF)*Paper!E58</f>
        <v>0</v>
      </c>
      <c r="G57" s="572">
        <f>Amnt_Deposited!G53*$D$12*(1-DOCF)*Wood!E58</f>
        <v>0</v>
      </c>
      <c r="H57" s="572">
        <f>Amnt_Deposited!H53*$F$12*(1-DOCF)*Textiles!E58</f>
        <v>0</v>
      </c>
      <c r="I57" s="573">
        <f>Amnt_Deposited!E53*$H$10*(1-DOCF)*Nappies!E58</f>
        <v>0</v>
      </c>
      <c r="J57" s="574">
        <f>Amnt_Deposited!N53*$H$11*(1-DOCF)*Sludge!E58</f>
        <v>0</v>
      </c>
      <c r="K57" s="575">
        <f>Amnt_Deposited!P53*$H$12*(1-DOCF)*Industry!D58</f>
        <v>0</v>
      </c>
      <c r="L57" s="572">
        <f>Amnt_Deposited!P53*Parameters!$E$58*$D$11*(1-DOCF)*Industry!E58</f>
        <v>0</v>
      </c>
      <c r="M57" s="573">
        <f>Amnt_Deposited!P53*Parameters!$E$59*$D$12*(1-DOCF)*Industry!E58</f>
        <v>0</v>
      </c>
      <c r="N57" s="508">
        <f t="shared" si="3"/>
        <v>0</v>
      </c>
      <c r="O57" s="510">
        <f t="shared" si="1"/>
        <v>36.489044452825439</v>
      </c>
    </row>
    <row r="58" spans="2:15">
      <c r="B58" s="507">
        <f t="shared" si="2"/>
        <v>1990</v>
      </c>
      <c r="C58" s="570">
        <f>Amnt_Deposited!O54*$D$10*(1-DOCF)*MSW!E59</f>
        <v>0</v>
      </c>
      <c r="D58" s="571">
        <f>Amnt_Deposited!C54*$F$10*(1-DOCF)*Food!E59</f>
        <v>0</v>
      </c>
      <c r="E58" s="572">
        <f>Amnt_Deposited!F54*$F$11*(1-DOCF)*Garden!E59</f>
        <v>0</v>
      </c>
      <c r="F58" s="572">
        <f>Amnt_Deposited!D54*$D$11*(1-DOCF)*Paper!E59</f>
        <v>0</v>
      </c>
      <c r="G58" s="572">
        <f>Amnt_Deposited!G54*$D$12*(1-DOCF)*Wood!E59</f>
        <v>0</v>
      </c>
      <c r="H58" s="572">
        <f>Amnt_Deposited!H54*$F$12*(1-DOCF)*Textiles!E59</f>
        <v>0</v>
      </c>
      <c r="I58" s="573">
        <f>Amnt_Deposited!E54*$H$10*(1-DOCF)*Nappies!E59</f>
        <v>0</v>
      </c>
      <c r="J58" s="574">
        <f>Amnt_Deposited!N54*$H$11*(1-DOCF)*Sludge!E59</f>
        <v>0</v>
      </c>
      <c r="K58" s="575">
        <f>Amnt_Deposited!P54*$H$12*(1-DOCF)*Industry!D59</f>
        <v>0</v>
      </c>
      <c r="L58" s="572">
        <f>Amnt_Deposited!P54*Parameters!$E$58*$D$11*(1-DOCF)*Industry!E59</f>
        <v>0</v>
      </c>
      <c r="M58" s="573">
        <f>Amnt_Deposited!P54*Parameters!$E$59*$D$12*(1-DOCF)*Industry!E59</f>
        <v>0</v>
      </c>
      <c r="N58" s="508">
        <f t="shared" si="3"/>
        <v>0</v>
      </c>
      <c r="O58" s="510">
        <f t="shared" si="1"/>
        <v>36.489044452825439</v>
      </c>
    </row>
    <row r="59" spans="2:15">
      <c r="B59" s="507">
        <f t="shared" si="2"/>
        <v>1991</v>
      </c>
      <c r="C59" s="570">
        <f>Amnt_Deposited!O55*$D$10*(1-DOCF)*MSW!E60</f>
        <v>0</v>
      </c>
      <c r="D59" s="571">
        <f>Amnt_Deposited!C55*$F$10*(1-DOCF)*Food!E60</f>
        <v>0</v>
      </c>
      <c r="E59" s="572">
        <f>Amnt_Deposited!F55*$F$11*(1-DOCF)*Garden!E60</f>
        <v>0</v>
      </c>
      <c r="F59" s="572">
        <f>Amnt_Deposited!D55*$D$11*(1-DOCF)*Paper!E60</f>
        <v>0</v>
      </c>
      <c r="G59" s="572">
        <f>Amnt_Deposited!G55*$D$12*(1-DOCF)*Wood!E60</f>
        <v>0</v>
      </c>
      <c r="H59" s="572">
        <f>Amnt_Deposited!H55*$F$12*(1-DOCF)*Textiles!E60</f>
        <v>0</v>
      </c>
      <c r="I59" s="573">
        <f>Amnt_Deposited!E55*$H$10*(1-DOCF)*Nappies!E60</f>
        <v>0</v>
      </c>
      <c r="J59" s="574">
        <f>Amnt_Deposited!N55*$H$11*(1-DOCF)*Sludge!E60</f>
        <v>0</v>
      </c>
      <c r="K59" s="575">
        <f>Amnt_Deposited!P55*$H$12*(1-DOCF)*Industry!D60</f>
        <v>0</v>
      </c>
      <c r="L59" s="572">
        <f>Amnt_Deposited!P55*Parameters!$E$58*$D$11*(1-DOCF)*Industry!E60</f>
        <v>0</v>
      </c>
      <c r="M59" s="573">
        <f>Amnt_Deposited!P55*Parameters!$E$59*$D$12*(1-DOCF)*Industry!E60</f>
        <v>0</v>
      </c>
      <c r="N59" s="508">
        <f t="shared" si="3"/>
        <v>0</v>
      </c>
      <c r="O59" s="510">
        <f t="shared" si="1"/>
        <v>36.489044452825439</v>
      </c>
    </row>
    <row r="60" spans="2:15">
      <c r="B60" s="507">
        <f t="shared" si="2"/>
        <v>1992</v>
      </c>
      <c r="C60" s="570">
        <f>Amnt_Deposited!O56*$D$10*(1-DOCF)*MSW!E61</f>
        <v>0</v>
      </c>
      <c r="D60" s="571">
        <f>Amnt_Deposited!C56*$F$10*(1-DOCF)*Food!E61</f>
        <v>0</v>
      </c>
      <c r="E60" s="572">
        <f>Amnt_Deposited!F56*$F$11*(1-DOCF)*Garden!E61</f>
        <v>0</v>
      </c>
      <c r="F60" s="572">
        <f>Amnt_Deposited!D56*$D$11*(1-DOCF)*Paper!E61</f>
        <v>0</v>
      </c>
      <c r="G60" s="572">
        <f>Amnt_Deposited!G56*$D$12*(1-DOCF)*Wood!E61</f>
        <v>0</v>
      </c>
      <c r="H60" s="572">
        <f>Amnt_Deposited!H56*$F$12*(1-DOCF)*Textiles!E61</f>
        <v>0</v>
      </c>
      <c r="I60" s="573">
        <f>Amnt_Deposited!E56*$H$10*(1-DOCF)*Nappies!E61</f>
        <v>0</v>
      </c>
      <c r="J60" s="574">
        <f>Amnt_Deposited!N56*$H$11*(1-DOCF)*Sludge!E61</f>
        <v>0</v>
      </c>
      <c r="K60" s="575">
        <f>Amnt_Deposited!P56*$H$12*(1-DOCF)*Industry!D61</f>
        <v>0</v>
      </c>
      <c r="L60" s="572">
        <f>Amnt_Deposited!P56*Parameters!$E$58*$D$11*(1-DOCF)*Industry!E61</f>
        <v>0</v>
      </c>
      <c r="M60" s="573">
        <f>Amnt_Deposited!P56*Parameters!$E$59*$D$12*(1-DOCF)*Industry!E61</f>
        <v>0</v>
      </c>
      <c r="N60" s="508">
        <f t="shared" si="3"/>
        <v>0</v>
      </c>
      <c r="O60" s="510">
        <f t="shared" si="1"/>
        <v>36.489044452825439</v>
      </c>
    </row>
    <row r="61" spans="2:15">
      <c r="B61" s="507">
        <f t="shared" si="2"/>
        <v>1993</v>
      </c>
      <c r="C61" s="570">
        <f>Amnt_Deposited!O57*$D$10*(1-DOCF)*MSW!E62</f>
        <v>0</v>
      </c>
      <c r="D61" s="571">
        <f>Amnt_Deposited!C57*$F$10*(1-DOCF)*Food!E62</f>
        <v>0</v>
      </c>
      <c r="E61" s="572">
        <f>Amnt_Deposited!F57*$F$11*(1-DOCF)*Garden!E62</f>
        <v>0</v>
      </c>
      <c r="F61" s="572">
        <f>Amnt_Deposited!D57*$D$11*(1-DOCF)*Paper!E62</f>
        <v>0</v>
      </c>
      <c r="G61" s="572">
        <f>Amnt_Deposited!G57*$D$12*(1-DOCF)*Wood!E62</f>
        <v>0</v>
      </c>
      <c r="H61" s="572">
        <f>Amnt_Deposited!H57*$F$12*(1-DOCF)*Textiles!E62</f>
        <v>0</v>
      </c>
      <c r="I61" s="573">
        <f>Amnt_Deposited!E57*$H$10*(1-DOCF)*Nappies!E62</f>
        <v>0</v>
      </c>
      <c r="J61" s="574">
        <f>Amnt_Deposited!N57*$H$11*(1-DOCF)*Sludge!E62</f>
        <v>0</v>
      </c>
      <c r="K61" s="575">
        <f>Amnt_Deposited!P57*$H$12*(1-DOCF)*Industry!D62</f>
        <v>0</v>
      </c>
      <c r="L61" s="572">
        <f>Amnt_Deposited!P57*Parameters!$E$58*$D$11*(1-DOCF)*Industry!E62</f>
        <v>0</v>
      </c>
      <c r="M61" s="573">
        <f>Amnt_Deposited!P57*Parameters!$E$59*$D$12*(1-DOCF)*Industry!E62</f>
        <v>0</v>
      </c>
      <c r="N61" s="508">
        <f t="shared" si="3"/>
        <v>0</v>
      </c>
      <c r="O61" s="510">
        <f t="shared" si="1"/>
        <v>36.489044452825439</v>
      </c>
    </row>
    <row r="62" spans="2:15">
      <c r="B62" s="507">
        <f t="shared" si="2"/>
        <v>1994</v>
      </c>
      <c r="C62" s="570">
        <f>Amnt_Deposited!O58*$D$10*(1-DOCF)*MSW!E63</f>
        <v>0</v>
      </c>
      <c r="D62" s="571">
        <f>Amnt_Deposited!C58*$F$10*(1-DOCF)*Food!E63</f>
        <v>0</v>
      </c>
      <c r="E62" s="572">
        <f>Amnt_Deposited!F58*$F$11*(1-DOCF)*Garden!E63</f>
        <v>0</v>
      </c>
      <c r="F62" s="572">
        <f>Amnt_Deposited!D58*$D$11*(1-DOCF)*Paper!E63</f>
        <v>0</v>
      </c>
      <c r="G62" s="572">
        <f>Amnt_Deposited!G58*$D$12*(1-DOCF)*Wood!E63</f>
        <v>0</v>
      </c>
      <c r="H62" s="572">
        <f>Amnt_Deposited!H58*$F$12*(1-DOCF)*Textiles!E63</f>
        <v>0</v>
      </c>
      <c r="I62" s="573">
        <f>Amnt_Deposited!E58*$H$10*(1-DOCF)*Nappies!E63</f>
        <v>0</v>
      </c>
      <c r="J62" s="574">
        <f>Amnt_Deposited!N58*$H$11*(1-DOCF)*Sludge!E63</f>
        <v>0</v>
      </c>
      <c r="K62" s="575">
        <f>Amnt_Deposited!P58*$H$12*(1-DOCF)*Industry!D63</f>
        <v>0</v>
      </c>
      <c r="L62" s="572">
        <f>Amnt_Deposited!P58*Parameters!$E$58*$D$11*(1-DOCF)*Industry!E63</f>
        <v>0</v>
      </c>
      <c r="M62" s="573">
        <f>Amnt_Deposited!P58*Parameters!$E$59*$D$12*(1-DOCF)*Industry!E63</f>
        <v>0</v>
      </c>
      <c r="N62" s="508">
        <f t="shared" si="3"/>
        <v>0</v>
      </c>
      <c r="O62" s="510">
        <f t="shared" si="1"/>
        <v>36.489044452825439</v>
      </c>
    </row>
    <row r="63" spans="2:15">
      <c r="B63" s="507">
        <f t="shared" si="2"/>
        <v>1995</v>
      </c>
      <c r="C63" s="570">
        <f>Amnt_Deposited!O59*$D$10*(1-DOCF)*MSW!E64</f>
        <v>0</v>
      </c>
      <c r="D63" s="571">
        <f>Amnt_Deposited!C59*$F$10*(1-DOCF)*Food!E64</f>
        <v>0</v>
      </c>
      <c r="E63" s="572">
        <f>Amnt_Deposited!F59*$F$11*(1-DOCF)*Garden!E64</f>
        <v>0</v>
      </c>
      <c r="F63" s="572">
        <f>Amnt_Deposited!D59*$D$11*(1-DOCF)*Paper!E64</f>
        <v>0</v>
      </c>
      <c r="G63" s="572">
        <f>Amnt_Deposited!G59*$D$12*(1-DOCF)*Wood!E64</f>
        <v>0</v>
      </c>
      <c r="H63" s="572">
        <f>Amnt_Deposited!H59*$F$12*(1-DOCF)*Textiles!E64</f>
        <v>0</v>
      </c>
      <c r="I63" s="573">
        <f>Amnt_Deposited!E59*$H$10*(1-DOCF)*Nappies!E64</f>
        <v>0</v>
      </c>
      <c r="J63" s="574">
        <f>Amnt_Deposited!N59*$H$11*(1-DOCF)*Sludge!E64</f>
        <v>0</v>
      </c>
      <c r="K63" s="575">
        <f>Amnt_Deposited!P59*$H$12*(1-DOCF)*Industry!D64</f>
        <v>0</v>
      </c>
      <c r="L63" s="572">
        <f>Amnt_Deposited!P59*Parameters!$E$58*$D$11*(1-DOCF)*Industry!E64</f>
        <v>0</v>
      </c>
      <c r="M63" s="573">
        <f>Amnt_Deposited!P59*Parameters!$E$59*$D$12*(1-DOCF)*Industry!E64</f>
        <v>0</v>
      </c>
      <c r="N63" s="508">
        <f t="shared" si="3"/>
        <v>0</v>
      </c>
      <c r="O63" s="510">
        <f t="shared" si="1"/>
        <v>36.489044452825439</v>
      </c>
    </row>
    <row r="64" spans="2:15">
      <c r="B64" s="507">
        <f t="shared" si="2"/>
        <v>1996</v>
      </c>
      <c r="C64" s="570">
        <f>Amnt_Deposited!O60*$D$10*(1-DOCF)*MSW!E65</f>
        <v>0</v>
      </c>
      <c r="D64" s="571">
        <f>Amnt_Deposited!C60*$F$10*(1-DOCF)*Food!E65</f>
        <v>0</v>
      </c>
      <c r="E64" s="572">
        <f>Amnt_Deposited!F60*$F$11*(1-DOCF)*Garden!E65</f>
        <v>0</v>
      </c>
      <c r="F64" s="572">
        <f>Amnt_Deposited!D60*$D$11*(1-DOCF)*Paper!E65</f>
        <v>0</v>
      </c>
      <c r="G64" s="572">
        <f>Amnt_Deposited!G60*$D$12*(1-DOCF)*Wood!E65</f>
        <v>0</v>
      </c>
      <c r="H64" s="572">
        <f>Amnt_Deposited!H60*$F$12*(1-DOCF)*Textiles!E65</f>
        <v>0</v>
      </c>
      <c r="I64" s="573">
        <f>Amnt_Deposited!E60*$H$10*(1-DOCF)*Nappies!E65</f>
        <v>0</v>
      </c>
      <c r="J64" s="574">
        <f>Amnt_Deposited!N60*$H$11*(1-DOCF)*Sludge!E65</f>
        <v>0</v>
      </c>
      <c r="K64" s="575">
        <f>Amnt_Deposited!P60*$H$12*(1-DOCF)*Industry!D65</f>
        <v>0</v>
      </c>
      <c r="L64" s="572">
        <f>Amnt_Deposited!P60*Parameters!$E$58*$D$11*(1-DOCF)*Industry!E65</f>
        <v>0</v>
      </c>
      <c r="M64" s="573">
        <f>Amnt_Deposited!P60*Parameters!$E$59*$D$12*(1-DOCF)*Industry!E65</f>
        <v>0</v>
      </c>
      <c r="N64" s="508">
        <f t="shared" si="3"/>
        <v>0</v>
      </c>
      <c r="O64" s="510">
        <f t="shared" si="1"/>
        <v>36.489044452825439</v>
      </c>
    </row>
    <row r="65" spans="2:15">
      <c r="B65" s="507">
        <f t="shared" si="2"/>
        <v>1997</v>
      </c>
      <c r="C65" s="570">
        <f>Amnt_Deposited!O61*$D$10*(1-DOCF)*MSW!E66</f>
        <v>0</v>
      </c>
      <c r="D65" s="571">
        <f>Amnt_Deposited!C61*$F$10*(1-DOCF)*Food!E66</f>
        <v>0</v>
      </c>
      <c r="E65" s="572">
        <f>Amnt_Deposited!F61*$F$11*(1-DOCF)*Garden!E66</f>
        <v>0</v>
      </c>
      <c r="F65" s="572">
        <f>Amnt_Deposited!D61*$D$11*(1-DOCF)*Paper!E66</f>
        <v>0</v>
      </c>
      <c r="G65" s="572">
        <f>Amnt_Deposited!G61*$D$12*(1-DOCF)*Wood!E66</f>
        <v>0</v>
      </c>
      <c r="H65" s="572">
        <f>Amnt_Deposited!H61*$F$12*(1-DOCF)*Textiles!E66</f>
        <v>0</v>
      </c>
      <c r="I65" s="573">
        <f>Amnt_Deposited!E61*$H$10*(1-DOCF)*Nappies!E66</f>
        <v>0</v>
      </c>
      <c r="J65" s="574">
        <f>Amnt_Deposited!N61*$H$11*(1-DOCF)*Sludge!E66</f>
        <v>0</v>
      </c>
      <c r="K65" s="575">
        <f>Amnt_Deposited!P61*$H$12*(1-DOCF)*Industry!D66</f>
        <v>0</v>
      </c>
      <c r="L65" s="572">
        <f>Amnt_Deposited!P61*Parameters!$E$58*$D$11*(1-DOCF)*Industry!E66</f>
        <v>0</v>
      </c>
      <c r="M65" s="573">
        <f>Amnt_Deposited!P61*Parameters!$E$59*$D$12*(1-DOCF)*Industry!E66</f>
        <v>0</v>
      </c>
      <c r="N65" s="508">
        <f t="shared" si="3"/>
        <v>0</v>
      </c>
      <c r="O65" s="510">
        <f t="shared" si="1"/>
        <v>36.489044452825439</v>
      </c>
    </row>
    <row r="66" spans="2:15">
      <c r="B66" s="507">
        <f t="shared" si="2"/>
        <v>1998</v>
      </c>
      <c r="C66" s="570">
        <f>Amnt_Deposited!O62*$D$10*(1-DOCF)*MSW!E67</f>
        <v>0</v>
      </c>
      <c r="D66" s="571">
        <f>Amnt_Deposited!C62*$F$10*(1-DOCF)*Food!E67</f>
        <v>0</v>
      </c>
      <c r="E66" s="572">
        <f>Amnt_Deposited!F62*$F$11*(1-DOCF)*Garden!E67</f>
        <v>0</v>
      </c>
      <c r="F66" s="572">
        <f>Amnt_Deposited!D62*$D$11*(1-DOCF)*Paper!E67</f>
        <v>0</v>
      </c>
      <c r="G66" s="572">
        <f>Amnt_Deposited!G62*$D$12*(1-DOCF)*Wood!E67</f>
        <v>0</v>
      </c>
      <c r="H66" s="572">
        <f>Amnt_Deposited!H62*$F$12*(1-DOCF)*Textiles!E67</f>
        <v>0</v>
      </c>
      <c r="I66" s="573">
        <f>Amnt_Deposited!E62*$H$10*(1-DOCF)*Nappies!E67</f>
        <v>0</v>
      </c>
      <c r="J66" s="574">
        <f>Amnt_Deposited!N62*$H$11*(1-DOCF)*Sludge!E67</f>
        <v>0</v>
      </c>
      <c r="K66" s="575">
        <f>Amnt_Deposited!P62*$H$12*(1-DOCF)*Industry!D67</f>
        <v>0</v>
      </c>
      <c r="L66" s="572">
        <f>Amnt_Deposited!P62*Parameters!$E$58*$D$11*(1-DOCF)*Industry!E67</f>
        <v>0</v>
      </c>
      <c r="M66" s="573">
        <f>Amnt_Deposited!P62*Parameters!$E$59*$D$12*(1-DOCF)*Industry!E67</f>
        <v>0</v>
      </c>
      <c r="N66" s="508">
        <f t="shared" si="3"/>
        <v>0</v>
      </c>
      <c r="O66" s="510">
        <f t="shared" si="1"/>
        <v>36.489044452825439</v>
      </c>
    </row>
    <row r="67" spans="2:15">
      <c r="B67" s="507">
        <f t="shared" si="2"/>
        <v>1999</v>
      </c>
      <c r="C67" s="570">
        <f>Amnt_Deposited!O63*$D$10*(1-DOCF)*MSW!E68</f>
        <v>0</v>
      </c>
      <c r="D67" s="571">
        <f>Amnt_Deposited!C63*$F$10*(1-DOCF)*Food!E68</f>
        <v>0</v>
      </c>
      <c r="E67" s="572">
        <f>Amnt_Deposited!F63*$F$11*(1-DOCF)*Garden!E68</f>
        <v>0</v>
      </c>
      <c r="F67" s="572">
        <f>Amnt_Deposited!D63*$D$11*(1-DOCF)*Paper!E68</f>
        <v>0</v>
      </c>
      <c r="G67" s="572">
        <f>Amnt_Deposited!G63*$D$12*(1-DOCF)*Wood!E68</f>
        <v>0</v>
      </c>
      <c r="H67" s="572">
        <f>Amnt_Deposited!H63*$F$12*(1-DOCF)*Textiles!E68</f>
        <v>0</v>
      </c>
      <c r="I67" s="573">
        <f>Amnt_Deposited!E63*$H$10*(1-DOCF)*Nappies!E68</f>
        <v>0</v>
      </c>
      <c r="J67" s="574">
        <f>Amnt_Deposited!N63*$H$11*(1-DOCF)*Sludge!E68</f>
        <v>0</v>
      </c>
      <c r="K67" s="575">
        <f>Amnt_Deposited!P63*$H$12*(1-DOCF)*Industry!D68</f>
        <v>0</v>
      </c>
      <c r="L67" s="572">
        <f>Amnt_Deposited!P63*Parameters!$E$58*$D$11*(1-DOCF)*Industry!E68</f>
        <v>0</v>
      </c>
      <c r="M67" s="573">
        <f>Amnt_Deposited!P63*Parameters!$E$59*$D$12*(1-DOCF)*Industry!E68</f>
        <v>0</v>
      </c>
      <c r="N67" s="508">
        <f t="shared" si="3"/>
        <v>0</v>
      </c>
      <c r="O67" s="510">
        <f t="shared" si="1"/>
        <v>36.489044452825439</v>
      </c>
    </row>
    <row r="68" spans="2:15">
      <c r="B68" s="507">
        <f t="shared" si="2"/>
        <v>2000</v>
      </c>
      <c r="C68" s="570">
        <f>Amnt_Deposited!O64*$D$10*(1-DOCF)*MSW!E69</f>
        <v>0</v>
      </c>
      <c r="D68" s="571">
        <f>Amnt_Deposited!C64*$F$10*(1-DOCF)*Food!E69</f>
        <v>0</v>
      </c>
      <c r="E68" s="572">
        <f>Amnt_Deposited!F64*$F$11*(1-DOCF)*Garden!E69</f>
        <v>0</v>
      </c>
      <c r="F68" s="572">
        <f>Amnt_Deposited!D64*$D$11*(1-DOCF)*Paper!E69</f>
        <v>0</v>
      </c>
      <c r="G68" s="572">
        <f>Amnt_Deposited!G64*$D$12*(1-DOCF)*Wood!E69</f>
        <v>0</v>
      </c>
      <c r="H68" s="572">
        <f>Amnt_Deposited!H64*$F$12*(1-DOCF)*Textiles!E69</f>
        <v>0</v>
      </c>
      <c r="I68" s="573">
        <f>Amnt_Deposited!E64*$H$10*(1-DOCF)*Nappies!E69</f>
        <v>0</v>
      </c>
      <c r="J68" s="574">
        <f>Amnt_Deposited!N64*$H$11*(1-DOCF)*Sludge!E69</f>
        <v>0</v>
      </c>
      <c r="K68" s="575">
        <f>Amnt_Deposited!P64*$H$12*(1-DOCF)*Industry!D69</f>
        <v>0</v>
      </c>
      <c r="L68" s="572">
        <f>Amnt_Deposited!P64*Parameters!$E$58*$D$11*(1-DOCF)*Industry!E69</f>
        <v>0</v>
      </c>
      <c r="M68" s="573">
        <f>Amnt_Deposited!P64*Parameters!$E$59*$D$12*(1-DOCF)*Industry!E69</f>
        <v>0</v>
      </c>
      <c r="N68" s="508">
        <f t="shared" si="3"/>
        <v>0</v>
      </c>
      <c r="O68" s="510">
        <f t="shared" si="1"/>
        <v>36.489044452825439</v>
      </c>
    </row>
    <row r="69" spans="2:15">
      <c r="B69" s="507">
        <f t="shared" si="2"/>
        <v>2001</v>
      </c>
      <c r="C69" s="570">
        <f>Amnt_Deposited!O65*$D$10*(1-DOCF)*MSW!E70</f>
        <v>0</v>
      </c>
      <c r="D69" s="571">
        <f>Amnt_Deposited!C65*$F$10*(1-DOCF)*Food!E70</f>
        <v>0</v>
      </c>
      <c r="E69" s="572">
        <f>Amnt_Deposited!F65*$F$11*(1-DOCF)*Garden!E70</f>
        <v>0</v>
      </c>
      <c r="F69" s="572">
        <f>Amnt_Deposited!D65*$D$11*(1-DOCF)*Paper!E70</f>
        <v>0</v>
      </c>
      <c r="G69" s="572">
        <f>Amnt_Deposited!G65*$D$12*(1-DOCF)*Wood!E70</f>
        <v>0</v>
      </c>
      <c r="H69" s="572">
        <f>Amnt_Deposited!H65*$F$12*(1-DOCF)*Textiles!E70</f>
        <v>0</v>
      </c>
      <c r="I69" s="573">
        <f>Amnt_Deposited!E65*$H$10*(1-DOCF)*Nappies!E70</f>
        <v>0</v>
      </c>
      <c r="J69" s="574">
        <f>Amnt_Deposited!N65*$H$11*(1-DOCF)*Sludge!E70</f>
        <v>0</v>
      </c>
      <c r="K69" s="575">
        <f>Amnt_Deposited!P65*$H$12*(1-DOCF)*Industry!D70</f>
        <v>0</v>
      </c>
      <c r="L69" s="572">
        <f>Amnt_Deposited!P65*Parameters!$E$58*$D$11*(1-DOCF)*Industry!E70</f>
        <v>0</v>
      </c>
      <c r="M69" s="573">
        <f>Amnt_Deposited!P65*Parameters!$E$59*$D$12*(1-DOCF)*Industry!E70</f>
        <v>0</v>
      </c>
      <c r="N69" s="508">
        <f t="shared" si="3"/>
        <v>0</v>
      </c>
      <c r="O69" s="510">
        <f t="shared" si="1"/>
        <v>36.489044452825439</v>
      </c>
    </row>
    <row r="70" spans="2:15">
      <c r="B70" s="507">
        <f t="shared" si="2"/>
        <v>2002</v>
      </c>
      <c r="C70" s="570">
        <f>Amnt_Deposited!O66*$D$10*(1-DOCF)*MSW!E71</f>
        <v>0</v>
      </c>
      <c r="D70" s="571">
        <f>Amnt_Deposited!C66*$F$10*(1-DOCF)*Food!E71</f>
        <v>0</v>
      </c>
      <c r="E70" s="572">
        <f>Amnt_Deposited!F66*$F$11*(1-DOCF)*Garden!E71</f>
        <v>0</v>
      </c>
      <c r="F70" s="572">
        <f>Amnt_Deposited!D66*$D$11*(1-DOCF)*Paper!E71</f>
        <v>0</v>
      </c>
      <c r="G70" s="572">
        <f>Amnt_Deposited!G66*$D$12*(1-DOCF)*Wood!E71</f>
        <v>0</v>
      </c>
      <c r="H70" s="572">
        <f>Amnt_Deposited!H66*$F$12*(1-DOCF)*Textiles!E71</f>
        <v>0</v>
      </c>
      <c r="I70" s="573">
        <f>Amnt_Deposited!E66*$H$10*(1-DOCF)*Nappies!E71</f>
        <v>0</v>
      </c>
      <c r="J70" s="574">
        <f>Amnt_Deposited!N66*$H$11*(1-DOCF)*Sludge!E71</f>
        <v>0</v>
      </c>
      <c r="K70" s="575">
        <f>Amnt_Deposited!P66*$H$12*(1-DOCF)*Industry!D71</f>
        <v>0</v>
      </c>
      <c r="L70" s="572">
        <f>Amnt_Deposited!P66*Parameters!$E$58*$D$11*(1-DOCF)*Industry!E71</f>
        <v>0</v>
      </c>
      <c r="M70" s="573">
        <f>Amnt_Deposited!P66*Parameters!$E$59*$D$12*(1-DOCF)*Industry!E71</f>
        <v>0</v>
      </c>
      <c r="N70" s="508">
        <f t="shared" si="3"/>
        <v>0</v>
      </c>
      <c r="O70" s="510">
        <f t="shared" si="1"/>
        <v>36.489044452825439</v>
      </c>
    </row>
    <row r="71" spans="2:15">
      <c r="B71" s="507">
        <f t="shared" si="2"/>
        <v>2003</v>
      </c>
      <c r="C71" s="570">
        <f>Amnt_Deposited!O67*$D$10*(1-DOCF)*MSW!E72</f>
        <v>0</v>
      </c>
      <c r="D71" s="571">
        <f>Amnt_Deposited!C67*$F$10*(1-DOCF)*Food!E72</f>
        <v>0</v>
      </c>
      <c r="E71" s="572">
        <f>Amnt_Deposited!F67*$F$11*(1-DOCF)*Garden!E72</f>
        <v>0</v>
      </c>
      <c r="F71" s="572">
        <f>Amnt_Deposited!D67*$D$11*(1-DOCF)*Paper!E72</f>
        <v>0</v>
      </c>
      <c r="G71" s="572">
        <f>Amnt_Deposited!G67*$D$12*(1-DOCF)*Wood!E72</f>
        <v>0</v>
      </c>
      <c r="H71" s="572">
        <f>Amnt_Deposited!H67*$F$12*(1-DOCF)*Textiles!E72</f>
        <v>0</v>
      </c>
      <c r="I71" s="573">
        <f>Amnt_Deposited!E67*$H$10*(1-DOCF)*Nappies!E72</f>
        <v>0</v>
      </c>
      <c r="J71" s="574">
        <f>Amnt_Deposited!N67*$H$11*(1-DOCF)*Sludge!E72</f>
        <v>0</v>
      </c>
      <c r="K71" s="575">
        <f>Amnt_Deposited!P67*$H$12*(1-DOCF)*Industry!D72</f>
        <v>0</v>
      </c>
      <c r="L71" s="572">
        <f>Amnt_Deposited!P67*Parameters!$E$58*$D$11*(1-DOCF)*Industry!E72</f>
        <v>0</v>
      </c>
      <c r="M71" s="573">
        <f>Amnt_Deposited!P67*Parameters!$E$59*$D$12*(1-DOCF)*Industry!E72</f>
        <v>0</v>
      </c>
      <c r="N71" s="508">
        <f t="shared" si="3"/>
        <v>0</v>
      </c>
      <c r="O71" s="510">
        <f t="shared" si="1"/>
        <v>36.489044452825439</v>
      </c>
    </row>
    <row r="72" spans="2:15">
      <c r="B72" s="507">
        <f t="shared" si="2"/>
        <v>2004</v>
      </c>
      <c r="C72" s="570">
        <f>Amnt_Deposited!O68*$D$10*(1-DOCF)*MSW!E73</f>
        <v>0</v>
      </c>
      <c r="D72" s="571">
        <f>Amnt_Deposited!C68*$F$10*(1-DOCF)*Food!E73</f>
        <v>0</v>
      </c>
      <c r="E72" s="572">
        <f>Amnt_Deposited!F68*$F$11*(1-DOCF)*Garden!E73</f>
        <v>0</v>
      </c>
      <c r="F72" s="572">
        <f>Amnt_Deposited!D68*$D$11*(1-DOCF)*Paper!E73</f>
        <v>0</v>
      </c>
      <c r="G72" s="572">
        <f>Amnt_Deposited!G68*$D$12*(1-DOCF)*Wood!E73</f>
        <v>0</v>
      </c>
      <c r="H72" s="572">
        <f>Amnt_Deposited!H68*$F$12*(1-DOCF)*Textiles!E73</f>
        <v>0</v>
      </c>
      <c r="I72" s="573">
        <f>Amnt_Deposited!E68*$H$10*(1-DOCF)*Nappies!E73</f>
        <v>0</v>
      </c>
      <c r="J72" s="574">
        <f>Amnt_Deposited!N68*$H$11*(1-DOCF)*Sludge!E73</f>
        <v>0</v>
      </c>
      <c r="K72" s="575">
        <f>Amnt_Deposited!P68*$H$12*(1-DOCF)*Industry!D73</f>
        <v>0</v>
      </c>
      <c r="L72" s="572">
        <f>Amnt_Deposited!P68*Parameters!$E$58*$D$11*(1-DOCF)*Industry!E73</f>
        <v>0</v>
      </c>
      <c r="M72" s="573">
        <f>Amnt_Deposited!P68*Parameters!$E$59*$D$12*(1-DOCF)*Industry!E73</f>
        <v>0</v>
      </c>
      <c r="N72" s="508">
        <f t="shared" si="3"/>
        <v>0</v>
      </c>
      <c r="O72" s="510">
        <f t="shared" si="1"/>
        <v>36.489044452825439</v>
      </c>
    </row>
    <row r="73" spans="2:15">
      <c r="B73" s="507">
        <f t="shared" si="2"/>
        <v>2005</v>
      </c>
      <c r="C73" s="570">
        <f>Amnt_Deposited!O69*$D$10*(1-DOCF)*MSW!E74</f>
        <v>0</v>
      </c>
      <c r="D73" s="571">
        <f>Amnt_Deposited!C69*$F$10*(1-DOCF)*Food!E74</f>
        <v>0</v>
      </c>
      <c r="E73" s="572">
        <f>Amnt_Deposited!F69*$F$11*(1-DOCF)*Garden!E74</f>
        <v>0</v>
      </c>
      <c r="F73" s="572">
        <f>Amnt_Deposited!D69*$D$11*(1-DOCF)*Paper!E74</f>
        <v>0</v>
      </c>
      <c r="G73" s="572">
        <f>Amnt_Deposited!G69*$D$12*(1-DOCF)*Wood!E74</f>
        <v>0</v>
      </c>
      <c r="H73" s="572">
        <f>Amnt_Deposited!H69*$F$12*(1-DOCF)*Textiles!E74</f>
        <v>0</v>
      </c>
      <c r="I73" s="573">
        <f>Amnt_Deposited!E69*$H$10*(1-DOCF)*Nappies!E74</f>
        <v>0</v>
      </c>
      <c r="J73" s="574">
        <f>Amnt_Deposited!N69*$H$11*(1-DOCF)*Sludge!E74</f>
        <v>0</v>
      </c>
      <c r="K73" s="575">
        <f>Amnt_Deposited!P69*$H$12*(1-DOCF)*Industry!D74</f>
        <v>0</v>
      </c>
      <c r="L73" s="572">
        <f>Amnt_Deposited!P69*Parameters!$E$58*$D$11*(1-DOCF)*Industry!E74</f>
        <v>0</v>
      </c>
      <c r="M73" s="573">
        <f>Amnt_Deposited!P69*Parameters!$E$59*$D$12*(1-DOCF)*Industry!E74</f>
        <v>0</v>
      </c>
      <c r="N73" s="508">
        <f t="shared" si="3"/>
        <v>0</v>
      </c>
      <c r="O73" s="510">
        <f t="shared" si="1"/>
        <v>36.489044452825439</v>
      </c>
    </row>
    <row r="74" spans="2:15">
      <c r="B74" s="507">
        <f t="shared" si="2"/>
        <v>2006</v>
      </c>
      <c r="C74" s="570">
        <f>Amnt_Deposited!O70*$D$10*(1-DOCF)*MSW!E75</f>
        <v>0</v>
      </c>
      <c r="D74" s="571">
        <f>Amnt_Deposited!C70*$F$10*(1-DOCF)*Food!E75</f>
        <v>0</v>
      </c>
      <c r="E74" s="572">
        <f>Amnt_Deposited!F70*$F$11*(1-DOCF)*Garden!E75</f>
        <v>0</v>
      </c>
      <c r="F74" s="572">
        <f>Amnt_Deposited!D70*$D$11*(1-DOCF)*Paper!E75</f>
        <v>0</v>
      </c>
      <c r="G74" s="572">
        <f>Amnt_Deposited!G70*$D$12*(1-DOCF)*Wood!E75</f>
        <v>0</v>
      </c>
      <c r="H74" s="572">
        <f>Amnt_Deposited!H70*$F$12*(1-DOCF)*Textiles!E75</f>
        <v>0</v>
      </c>
      <c r="I74" s="573">
        <f>Amnt_Deposited!E70*$H$10*(1-DOCF)*Nappies!E75</f>
        <v>0</v>
      </c>
      <c r="J74" s="574">
        <f>Amnt_Deposited!N70*$H$11*(1-DOCF)*Sludge!E75</f>
        <v>0</v>
      </c>
      <c r="K74" s="575">
        <f>Amnt_Deposited!P70*$H$12*(1-DOCF)*Industry!D75</f>
        <v>0</v>
      </c>
      <c r="L74" s="572">
        <f>Amnt_Deposited!P70*Parameters!$E$58*$D$11*(1-DOCF)*Industry!E75</f>
        <v>0</v>
      </c>
      <c r="M74" s="573">
        <f>Amnt_Deposited!P70*Parameters!$E$59*$D$12*(1-DOCF)*Industry!E75</f>
        <v>0</v>
      </c>
      <c r="N74" s="508">
        <f t="shared" si="3"/>
        <v>0</v>
      </c>
      <c r="O74" s="510">
        <f t="shared" si="1"/>
        <v>36.489044452825439</v>
      </c>
    </row>
    <row r="75" spans="2:15">
      <c r="B75" s="507">
        <f t="shared" si="2"/>
        <v>2007</v>
      </c>
      <c r="C75" s="570">
        <f>Amnt_Deposited!O71*$D$10*(1-DOCF)*MSW!E76</f>
        <v>0</v>
      </c>
      <c r="D75" s="571">
        <f>Amnt_Deposited!C71*$F$10*(1-DOCF)*Food!E76</f>
        <v>0</v>
      </c>
      <c r="E75" s="572">
        <f>Amnt_Deposited!F71*$F$11*(1-DOCF)*Garden!E76</f>
        <v>0</v>
      </c>
      <c r="F75" s="572">
        <f>Amnt_Deposited!D71*$D$11*(1-DOCF)*Paper!E76</f>
        <v>0</v>
      </c>
      <c r="G75" s="572">
        <f>Amnt_Deposited!G71*$D$12*(1-DOCF)*Wood!E76</f>
        <v>0</v>
      </c>
      <c r="H75" s="572">
        <f>Amnt_Deposited!H71*$F$12*(1-DOCF)*Textiles!E76</f>
        <v>0</v>
      </c>
      <c r="I75" s="573">
        <f>Amnt_Deposited!E71*$H$10*(1-DOCF)*Nappies!E76</f>
        <v>0</v>
      </c>
      <c r="J75" s="574">
        <f>Amnt_Deposited!N71*$H$11*(1-DOCF)*Sludge!E76</f>
        <v>0</v>
      </c>
      <c r="K75" s="575">
        <f>Amnt_Deposited!P71*$H$12*(1-DOCF)*Industry!D76</f>
        <v>0</v>
      </c>
      <c r="L75" s="572">
        <f>Amnt_Deposited!P71*Parameters!$E$58*$D$11*(1-DOCF)*Industry!E76</f>
        <v>0</v>
      </c>
      <c r="M75" s="573">
        <f>Amnt_Deposited!P71*Parameters!$E$59*$D$12*(1-DOCF)*Industry!E76</f>
        <v>0</v>
      </c>
      <c r="N75" s="508">
        <f t="shared" si="3"/>
        <v>0</v>
      </c>
      <c r="O75" s="510">
        <f t="shared" si="1"/>
        <v>36.489044452825439</v>
      </c>
    </row>
    <row r="76" spans="2:15">
      <c r="B76" s="507">
        <f t="shared" si="2"/>
        <v>2008</v>
      </c>
      <c r="C76" s="570">
        <f>Amnt_Deposited!O72*$D$10*(1-DOCF)*MSW!E77</f>
        <v>0</v>
      </c>
      <c r="D76" s="571">
        <f>Amnt_Deposited!C72*$F$10*(1-DOCF)*Food!E77</f>
        <v>0</v>
      </c>
      <c r="E76" s="572">
        <f>Amnt_Deposited!F72*$F$11*(1-DOCF)*Garden!E77</f>
        <v>0</v>
      </c>
      <c r="F76" s="572">
        <f>Amnt_Deposited!D72*$D$11*(1-DOCF)*Paper!E77</f>
        <v>0</v>
      </c>
      <c r="G76" s="572">
        <f>Amnt_Deposited!G72*$D$12*(1-DOCF)*Wood!E77</f>
        <v>0</v>
      </c>
      <c r="H76" s="572">
        <f>Amnt_Deposited!H72*$F$12*(1-DOCF)*Textiles!E77</f>
        <v>0</v>
      </c>
      <c r="I76" s="573">
        <f>Amnt_Deposited!E72*$H$10*(1-DOCF)*Nappies!E77</f>
        <v>0</v>
      </c>
      <c r="J76" s="574">
        <f>Amnt_Deposited!N72*$H$11*(1-DOCF)*Sludge!E77</f>
        <v>0</v>
      </c>
      <c r="K76" s="575">
        <f>Amnt_Deposited!P72*$H$12*(1-DOCF)*Industry!D77</f>
        <v>0</v>
      </c>
      <c r="L76" s="572">
        <f>Amnt_Deposited!P72*Parameters!$E$58*$D$11*(1-DOCF)*Industry!E77</f>
        <v>0</v>
      </c>
      <c r="M76" s="573">
        <f>Amnt_Deposited!P72*Parameters!$E$59*$D$12*(1-DOCF)*Industry!E77</f>
        <v>0</v>
      </c>
      <c r="N76" s="508">
        <f t="shared" si="3"/>
        <v>0</v>
      </c>
      <c r="O76" s="510">
        <f t="shared" si="1"/>
        <v>36.489044452825439</v>
      </c>
    </row>
    <row r="77" spans="2:15">
      <c r="B77" s="507">
        <f t="shared" si="2"/>
        <v>2009</v>
      </c>
      <c r="C77" s="570">
        <f>Amnt_Deposited!O73*$D$10*(1-DOCF)*MSW!E78</f>
        <v>0</v>
      </c>
      <c r="D77" s="571">
        <f>Amnt_Deposited!C73*$F$10*(1-DOCF)*Food!E78</f>
        <v>0</v>
      </c>
      <c r="E77" s="572">
        <f>Amnt_Deposited!F73*$F$11*(1-DOCF)*Garden!E78</f>
        <v>0</v>
      </c>
      <c r="F77" s="572">
        <f>Amnt_Deposited!D73*$D$11*(1-DOCF)*Paper!E78</f>
        <v>0</v>
      </c>
      <c r="G77" s="572">
        <f>Amnt_Deposited!G73*$D$12*(1-DOCF)*Wood!E78</f>
        <v>0</v>
      </c>
      <c r="H77" s="572">
        <f>Amnt_Deposited!H73*$F$12*(1-DOCF)*Textiles!E78</f>
        <v>0</v>
      </c>
      <c r="I77" s="573">
        <f>Amnt_Deposited!E73*$H$10*(1-DOCF)*Nappies!E78</f>
        <v>0</v>
      </c>
      <c r="J77" s="574">
        <f>Amnt_Deposited!N73*$H$11*(1-DOCF)*Sludge!E78</f>
        <v>0</v>
      </c>
      <c r="K77" s="575">
        <f>Amnt_Deposited!P73*$H$12*(1-DOCF)*Industry!D78</f>
        <v>0</v>
      </c>
      <c r="L77" s="572">
        <f>Amnt_Deposited!P73*Parameters!$E$58*$D$11*(1-DOCF)*Industry!E78</f>
        <v>0</v>
      </c>
      <c r="M77" s="573">
        <f>Amnt_Deposited!P73*Parameters!$E$59*$D$12*(1-DOCF)*Industry!E78</f>
        <v>0</v>
      </c>
      <c r="N77" s="508">
        <f t="shared" si="3"/>
        <v>0</v>
      </c>
      <c r="O77" s="510">
        <f t="shared" si="1"/>
        <v>36.489044452825439</v>
      </c>
    </row>
    <row r="78" spans="2:15">
      <c r="B78" s="507">
        <f t="shared" si="2"/>
        <v>2010</v>
      </c>
      <c r="C78" s="570">
        <f>Amnt_Deposited!O74*$D$10*(1-DOCF)*MSW!E79</f>
        <v>0</v>
      </c>
      <c r="D78" s="571">
        <f>Amnt_Deposited!C74*$F$10*(1-DOCF)*Food!E79</f>
        <v>0</v>
      </c>
      <c r="E78" s="572">
        <f>Amnt_Deposited!F74*$F$11*(1-DOCF)*Garden!E79</f>
        <v>0</v>
      </c>
      <c r="F78" s="572">
        <f>Amnt_Deposited!D74*$D$11*(1-DOCF)*Paper!E79</f>
        <v>0</v>
      </c>
      <c r="G78" s="572">
        <f>Amnt_Deposited!G74*$D$12*(1-DOCF)*Wood!E79</f>
        <v>0</v>
      </c>
      <c r="H78" s="572">
        <f>Amnt_Deposited!H74*$F$12*(1-DOCF)*Textiles!E79</f>
        <v>0</v>
      </c>
      <c r="I78" s="573">
        <f>Amnt_Deposited!E74*$H$10*(1-DOCF)*Nappies!E79</f>
        <v>0</v>
      </c>
      <c r="J78" s="574">
        <f>Amnt_Deposited!N74*$H$11*(1-DOCF)*Sludge!E79</f>
        <v>0</v>
      </c>
      <c r="K78" s="575">
        <f>Amnt_Deposited!P74*$H$12*(1-DOCF)*Industry!D79</f>
        <v>0</v>
      </c>
      <c r="L78" s="572">
        <f>Amnt_Deposited!P74*Parameters!$E$58*$D$11*(1-DOCF)*Industry!E79</f>
        <v>0</v>
      </c>
      <c r="M78" s="573">
        <f>Amnt_Deposited!P74*Parameters!$E$59*$D$12*(1-DOCF)*Industry!E79</f>
        <v>0</v>
      </c>
      <c r="N78" s="508">
        <f t="shared" si="3"/>
        <v>0</v>
      </c>
      <c r="O78" s="510">
        <f t="shared" si="1"/>
        <v>36.489044452825439</v>
      </c>
    </row>
    <row r="79" spans="2:15">
      <c r="B79" s="507">
        <f t="shared" si="2"/>
        <v>2011</v>
      </c>
      <c r="C79" s="570">
        <f>Amnt_Deposited!O75*$D$10*(1-DOCF)*MSW!E80</f>
        <v>0</v>
      </c>
      <c r="D79" s="571">
        <f>Amnt_Deposited!C75*$F$10*(1-DOCF)*Food!E80</f>
        <v>0</v>
      </c>
      <c r="E79" s="572">
        <f>Amnt_Deposited!F75*$F$11*(1-DOCF)*Garden!E80</f>
        <v>0</v>
      </c>
      <c r="F79" s="572">
        <f>Amnt_Deposited!D75*$D$11*(1-DOCF)*Paper!E80</f>
        <v>0</v>
      </c>
      <c r="G79" s="572">
        <f>Amnt_Deposited!G75*$D$12*(1-DOCF)*Wood!E80</f>
        <v>0</v>
      </c>
      <c r="H79" s="572">
        <f>Amnt_Deposited!H75*$F$12*(1-DOCF)*Textiles!E80</f>
        <v>0</v>
      </c>
      <c r="I79" s="573">
        <f>Amnt_Deposited!E75*$H$10*(1-DOCF)*Nappies!E80</f>
        <v>0</v>
      </c>
      <c r="J79" s="574">
        <f>Amnt_Deposited!N75*$H$11*(1-DOCF)*Sludge!E80</f>
        <v>0</v>
      </c>
      <c r="K79" s="575">
        <f>Amnt_Deposited!P75*$H$12*(1-DOCF)*Industry!D80</f>
        <v>0</v>
      </c>
      <c r="L79" s="572">
        <f>Amnt_Deposited!P75*Parameters!$E$58*$D$11*(1-DOCF)*Industry!E80</f>
        <v>0</v>
      </c>
      <c r="M79" s="573">
        <f>Amnt_Deposited!P75*Parameters!$E$59*$D$12*(1-DOCF)*Industry!E80</f>
        <v>0</v>
      </c>
      <c r="N79" s="508">
        <f t="shared" si="3"/>
        <v>0</v>
      </c>
      <c r="O79" s="510">
        <f t="shared" si="1"/>
        <v>36.489044452825439</v>
      </c>
    </row>
    <row r="80" spans="2:15">
      <c r="B80" s="507">
        <f t="shared" si="2"/>
        <v>2012</v>
      </c>
      <c r="C80" s="570">
        <f>Amnt_Deposited!O76*$D$10*(1-DOCF)*MSW!E81</f>
        <v>0</v>
      </c>
      <c r="D80" s="571">
        <f>Amnt_Deposited!C76*$F$10*(1-DOCF)*Food!E81</f>
        <v>0</v>
      </c>
      <c r="E80" s="572">
        <f>Amnt_Deposited!F76*$F$11*(1-DOCF)*Garden!E81</f>
        <v>0</v>
      </c>
      <c r="F80" s="572">
        <f>Amnt_Deposited!D76*$D$11*(1-DOCF)*Paper!E81</f>
        <v>0</v>
      </c>
      <c r="G80" s="572">
        <f>Amnt_Deposited!G76*$D$12*(1-DOCF)*Wood!E81</f>
        <v>0</v>
      </c>
      <c r="H80" s="572">
        <f>Amnt_Deposited!H76*$F$12*(1-DOCF)*Textiles!E81</f>
        <v>0</v>
      </c>
      <c r="I80" s="573">
        <f>Amnt_Deposited!E76*$H$10*(1-DOCF)*Nappies!E81</f>
        <v>0</v>
      </c>
      <c r="J80" s="574">
        <f>Amnt_Deposited!N76*$H$11*(1-DOCF)*Sludge!E81</f>
        <v>0</v>
      </c>
      <c r="K80" s="575">
        <f>Amnt_Deposited!P76*$H$12*(1-DOCF)*Industry!D81</f>
        <v>0</v>
      </c>
      <c r="L80" s="572">
        <f>Amnt_Deposited!P76*Parameters!$E$58*$D$11*(1-DOCF)*Industry!E81</f>
        <v>0</v>
      </c>
      <c r="M80" s="573">
        <f>Amnt_Deposited!P76*Parameters!$E$59*$D$12*(1-DOCF)*Industry!E81</f>
        <v>0</v>
      </c>
      <c r="N80" s="508">
        <f t="shared" si="3"/>
        <v>0</v>
      </c>
      <c r="O80" s="510">
        <f t="shared" si="1"/>
        <v>36.489044452825439</v>
      </c>
    </row>
    <row r="81" spans="2:15">
      <c r="B81" s="507">
        <f t="shared" si="2"/>
        <v>2013</v>
      </c>
      <c r="C81" s="570">
        <f>Amnt_Deposited!O77*$D$10*(1-DOCF)*MSW!E82</f>
        <v>0</v>
      </c>
      <c r="D81" s="571">
        <f>Amnt_Deposited!C77*$F$10*(1-DOCF)*Food!E82</f>
        <v>0</v>
      </c>
      <c r="E81" s="572">
        <f>Amnt_Deposited!F77*$F$11*(1-DOCF)*Garden!E82</f>
        <v>0</v>
      </c>
      <c r="F81" s="572">
        <f>Amnt_Deposited!D77*$D$11*(1-DOCF)*Paper!E82</f>
        <v>0</v>
      </c>
      <c r="G81" s="572">
        <f>Amnt_Deposited!G77*$D$12*(1-DOCF)*Wood!E82</f>
        <v>0</v>
      </c>
      <c r="H81" s="572">
        <f>Amnt_Deposited!H77*$F$12*(1-DOCF)*Textiles!E82</f>
        <v>0</v>
      </c>
      <c r="I81" s="573">
        <f>Amnt_Deposited!E77*$H$10*(1-DOCF)*Nappies!E82</f>
        <v>0</v>
      </c>
      <c r="J81" s="574">
        <f>Amnt_Deposited!N77*$H$11*(1-DOCF)*Sludge!E82</f>
        <v>0</v>
      </c>
      <c r="K81" s="575">
        <f>Amnt_Deposited!P77*$H$12*(1-DOCF)*Industry!D82</f>
        <v>0</v>
      </c>
      <c r="L81" s="572">
        <f>Amnt_Deposited!P77*Parameters!$E$58*$D$11*(1-DOCF)*Industry!E82</f>
        <v>0</v>
      </c>
      <c r="M81" s="573">
        <f>Amnt_Deposited!P77*Parameters!$E$59*$D$12*(1-DOCF)*Industry!E82</f>
        <v>0</v>
      </c>
      <c r="N81" s="508">
        <f t="shared" si="3"/>
        <v>0</v>
      </c>
      <c r="O81" s="510">
        <f t="shared" si="1"/>
        <v>36.489044452825439</v>
      </c>
    </row>
    <row r="82" spans="2:15">
      <c r="B82" s="507">
        <f t="shared" si="2"/>
        <v>2014</v>
      </c>
      <c r="C82" s="570">
        <f>Amnt_Deposited!O78*$D$10*(1-DOCF)*MSW!E83</f>
        <v>0</v>
      </c>
      <c r="D82" s="571">
        <f>Amnt_Deposited!C78*$F$10*(1-DOCF)*Food!E83</f>
        <v>0</v>
      </c>
      <c r="E82" s="572">
        <f>Amnt_Deposited!F78*$F$11*(1-DOCF)*Garden!E83</f>
        <v>0</v>
      </c>
      <c r="F82" s="572">
        <f>Amnt_Deposited!D78*$D$11*(1-DOCF)*Paper!E83</f>
        <v>0</v>
      </c>
      <c r="G82" s="572">
        <f>Amnt_Deposited!G78*$D$12*(1-DOCF)*Wood!E83</f>
        <v>0</v>
      </c>
      <c r="H82" s="572">
        <f>Amnt_Deposited!H78*$F$12*(1-DOCF)*Textiles!E83</f>
        <v>0</v>
      </c>
      <c r="I82" s="573">
        <f>Amnt_Deposited!E78*$H$10*(1-DOCF)*Nappies!E83</f>
        <v>0</v>
      </c>
      <c r="J82" s="574">
        <f>Amnt_Deposited!N78*$H$11*(1-DOCF)*Sludge!E83</f>
        <v>0</v>
      </c>
      <c r="K82" s="575">
        <f>Amnt_Deposited!P78*$H$12*(1-DOCF)*Industry!D83</f>
        <v>0</v>
      </c>
      <c r="L82" s="572">
        <f>Amnt_Deposited!P78*Parameters!$E$58*$D$11*(1-DOCF)*Industry!E83</f>
        <v>0</v>
      </c>
      <c r="M82" s="573">
        <f>Amnt_Deposited!P78*Parameters!$E$59*$D$12*(1-DOCF)*Industry!E83</f>
        <v>0</v>
      </c>
      <c r="N82" s="508">
        <f t="shared" ref="N82:N98" si="4">IF(Select2=2,C82+J82+K82, D82+E82+F82+G82+H82+I82+J82+K82)</f>
        <v>0</v>
      </c>
      <c r="O82" s="510">
        <f t="shared" ref="O82:O98" si="5">O81+N82</f>
        <v>36.489044452825439</v>
      </c>
    </row>
    <row r="83" spans="2:15">
      <c r="B83" s="507">
        <f t="shared" si="2"/>
        <v>2015</v>
      </c>
      <c r="C83" s="570">
        <f>Amnt_Deposited!O79*$D$10*(1-DOCF)*MSW!E84</f>
        <v>0</v>
      </c>
      <c r="D83" s="571">
        <f>Amnt_Deposited!C79*$F$10*(1-DOCF)*Food!E84</f>
        <v>0</v>
      </c>
      <c r="E83" s="572">
        <f>Amnt_Deposited!F79*$F$11*(1-DOCF)*Garden!E84</f>
        <v>0</v>
      </c>
      <c r="F83" s="572">
        <f>Amnt_Deposited!D79*$D$11*(1-DOCF)*Paper!E84</f>
        <v>0</v>
      </c>
      <c r="G83" s="572">
        <f>Amnt_Deposited!G79*$D$12*(1-DOCF)*Wood!E84</f>
        <v>0</v>
      </c>
      <c r="H83" s="572">
        <f>Amnt_Deposited!H79*$F$12*(1-DOCF)*Textiles!E84</f>
        <v>0</v>
      </c>
      <c r="I83" s="573">
        <f>Amnt_Deposited!E79*$H$10*(1-DOCF)*Nappies!E84</f>
        <v>0</v>
      </c>
      <c r="J83" s="574">
        <f>Amnt_Deposited!N79*$H$11*(1-DOCF)*Sludge!E84</f>
        <v>0</v>
      </c>
      <c r="K83" s="575">
        <f>Amnt_Deposited!P79*$H$12*(1-DOCF)*Industry!D84</f>
        <v>0</v>
      </c>
      <c r="L83" s="572">
        <f>Amnt_Deposited!P79*Parameters!$E$58*$D$11*(1-DOCF)*Industry!E84</f>
        <v>0</v>
      </c>
      <c r="M83" s="573">
        <f>Amnt_Deposited!P79*Parameters!$E$59*$D$12*(1-DOCF)*Industry!E84</f>
        <v>0</v>
      </c>
      <c r="N83" s="508">
        <f t="shared" si="4"/>
        <v>0</v>
      </c>
      <c r="O83" s="510">
        <f t="shared" si="5"/>
        <v>36.489044452825439</v>
      </c>
    </row>
    <row r="84" spans="2:15">
      <c r="B84" s="507">
        <f t="shared" ref="B84:B98" si="6">B83+1</f>
        <v>2016</v>
      </c>
      <c r="C84" s="570">
        <f>Amnt_Deposited!O80*$D$10*(1-DOCF)*MSW!E85</f>
        <v>0</v>
      </c>
      <c r="D84" s="571">
        <f>Amnt_Deposited!C80*$F$10*(1-DOCF)*Food!E85</f>
        <v>0</v>
      </c>
      <c r="E84" s="572">
        <f>Amnt_Deposited!F80*$F$11*(1-DOCF)*Garden!E85</f>
        <v>0</v>
      </c>
      <c r="F84" s="572">
        <f>Amnt_Deposited!D80*$D$11*(1-DOCF)*Paper!E85</f>
        <v>0</v>
      </c>
      <c r="G84" s="572">
        <f>Amnt_Deposited!G80*$D$12*(1-DOCF)*Wood!E85</f>
        <v>0</v>
      </c>
      <c r="H84" s="572">
        <f>Amnt_Deposited!H80*$F$12*(1-DOCF)*Textiles!E85</f>
        <v>0</v>
      </c>
      <c r="I84" s="573">
        <f>Amnt_Deposited!E80*$H$10*(1-DOCF)*Nappies!E85</f>
        <v>0</v>
      </c>
      <c r="J84" s="574">
        <f>Amnt_Deposited!N80*$H$11*(1-DOCF)*Sludge!E85</f>
        <v>0</v>
      </c>
      <c r="K84" s="575">
        <f>Amnt_Deposited!P80*$H$12*(1-DOCF)*Industry!D85</f>
        <v>0</v>
      </c>
      <c r="L84" s="572">
        <f>Amnt_Deposited!P80*Parameters!$E$58*$D$11*(1-DOCF)*Industry!E85</f>
        <v>0</v>
      </c>
      <c r="M84" s="573">
        <f>Amnt_Deposited!P80*Parameters!$E$59*$D$12*(1-DOCF)*Industry!E85</f>
        <v>0</v>
      </c>
      <c r="N84" s="508">
        <f t="shared" si="4"/>
        <v>0</v>
      </c>
      <c r="O84" s="510">
        <f t="shared" si="5"/>
        <v>36.489044452825439</v>
      </c>
    </row>
    <row r="85" spans="2:15">
      <c r="B85" s="507">
        <f t="shared" si="6"/>
        <v>2017</v>
      </c>
      <c r="C85" s="570">
        <f>Amnt_Deposited!O81*$D$10*(1-DOCF)*MSW!E86</f>
        <v>0</v>
      </c>
      <c r="D85" s="571">
        <f>Amnt_Deposited!C81*$F$10*(1-DOCF)*Food!E86</f>
        <v>0</v>
      </c>
      <c r="E85" s="572">
        <f>Amnt_Deposited!F81*$F$11*(1-DOCF)*Garden!E86</f>
        <v>0</v>
      </c>
      <c r="F85" s="572">
        <f>Amnt_Deposited!D81*$D$11*(1-DOCF)*Paper!E86</f>
        <v>0</v>
      </c>
      <c r="G85" s="572">
        <f>Amnt_Deposited!G81*$D$12*(1-DOCF)*Wood!E86</f>
        <v>0</v>
      </c>
      <c r="H85" s="572">
        <f>Amnt_Deposited!H81*$F$12*(1-DOCF)*Textiles!E86</f>
        <v>0</v>
      </c>
      <c r="I85" s="573">
        <f>Amnt_Deposited!E81*$H$10*(1-DOCF)*Nappies!E86</f>
        <v>0</v>
      </c>
      <c r="J85" s="574">
        <f>Amnt_Deposited!N81*$H$11*(1-DOCF)*Sludge!E86</f>
        <v>0</v>
      </c>
      <c r="K85" s="575">
        <f>Amnt_Deposited!P81*$H$12*(1-DOCF)*Industry!D86</f>
        <v>0</v>
      </c>
      <c r="L85" s="572">
        <f>Amnt_Deposited!P81*Parameters!$E$58*$D$11*(1-DOCF)*Industry!E86</f>
        <v>0</v>
      </c>
      <c r="M85" s="573">
        <f>Amnt_Deposited!P81*Parameters!$E$59*$D$12*(1-DOCF)*Industry!E86</f>
        <v>0</v>
      </c>
      <c r="N85" s="508">
        <f t="shared" si="4"/>
        <v>0</v>
      </c>
      <c r="O85" s="510">
        <f t="shared" si="5"/>
        <v>36.489044452825439</v>
      </c>
    </row>
    <row r="86" spans="2:15">
      <c r="B86" s="507">
        <f t="shared" si="6"/>
        <v>2018</v>
      </c>
      <c r="C86" s="570">
        <f>Amnt_Deposited!O82*$D$10*(1-DOCF)*MSW!E87</f>
        <v>0</v>
      </c>
      <c r="D86" s="571">
        <f>Amnt_Deposited!C82*$F$10*(1-DOCF)*Food!E87</f>
        <v>0</v>
      </c>
      <c r="E86" s="572">
        <f>Amnt_Deposited!F82*$F$11*(1-DOCF)*Garden!E87</f>
        <v>0</v>
      </c>
      <c r="F86" s="572">
        <f>Amnt_Deposited!D82*$D$11*(1-DOCF)*Paper!E87</f>
        <v>0</v>
      </c>
      <c r="G86" s="572">
        <f>Amnt_Deposited!G82*$D$12*(1-DOCF)*Wood!E87</f>
        <v>0</v>
      </c>
      <c r="H86" s="572">
        <f>Amnt_Deposited!H82*$F$12*(1-DOCF)*Textiles!E87</f>
        <v>0</v>
      </c>
      <c r="I86" s="573">
        <f>Amnt_Deposited!E82*$H$10*(1-DOCF)*Nappies!E87</f>
        <v>0</v>
      </c>
      <c r="J86" s="574">
        <f>Amnt_Deposited!N82*$H$11*(1-DOCF)*Sludge!E87</f>
        <v>0</v>
      </c>
      <c r="K86" s="575">
        <f>Amnt_Deposited!P82*$H$12*(1-DOCF)*Industry!D87</f>
        <v>0</v>
      </c>
      <c r="L86" s="572">
        <f>Amnt_Deposited!P82*Parameters!$E$58*$D$11*(1-DOCF)*Industry!E87</f>
        <v>0</v>
      </c>
      <c r="M86" s="573">
        <f>Amnt_Deposited!P82*Parameters!$E$59*$D$12*(1-DOCF)*Industry!E87</f>
        <v>0</v>
      </c>
      <c r="N86" s="508">
        <f t="shared" si="4"/>
        <v>0</v>
      </c>
      <c r="O86" s="510">
        <f t="shared" si="5"/>
        <v>36.489044452825439</v>
      </c>
    </row>
    <row r="87" spans="2:15">
      <c r="B87" s="507">
        <f t="shared" si="6"/>
        <v>2019</v>
      </c>
      <c r="C87" s="570">
        <f>Amnt_Deposited!O83*$D$10*(1-DOCF)*MSW!E88</f>
        <v>0</v>
      </c>
      <c r="D87" s="571">
        <f>Amnt_Deposited!C83*$F$10*(1-DOCF)*Food!E88</f>
        <v>0</v>
      </c>
      <c r="E87" s="572">
        <f>Amnt_Deposited!F83*$F$11*(1-DOCF)*Garden!E88</f>
        <v>0</v>
      </c>
      <c r="F87" s="572">
        <f>Amnt_Deposited!D83*$D$11*(1-DOCF)*Paper!E88</f>
        <v>0</v>
      </c>
      <c r="G87" s="572">
        <f>Amnt_Deposited!G83*$D$12*(1-DOCF)*Wood!E88</f>
        <v>0</v>
      </c>
      <c r="H87" s="572">
        <f>Amnt_Deposited!H83*$F$12*(1-DOCF)*Textiles!E88</f>
        <v>0</v>
      </c>
      <c r="I87" s="573">
        <f>Amnt_Deposited!E83*$H$10*(1-DOCF)*Nappies!E88</f>
        <v>0</v>
      </c>
      <c r="J87" s="574">
        <f>Amnt_Deposited!N83*$H$11*(1-DOCF)*Sludge!E88</f>
        <v>0</v>
      </c>
      <c r="K87" s="575">
        <f>Amnt_Deposited!P83*$H$12*(1-DOCF)*Industry!D88</f>
        <v>0</v>
      </c>
      <c r="L87" s="572">
        <f>Amnt_Deposited!P83*Parameters!$E$58*$D$11*(1-DOCF)*Industry!E88</f>
        <v>0</v>
      </c>
      <c r="M87" s="573">
        <f>Amnt_Deposited!P83*Parameters!$E$59*$D$12*(1-DOCF)*Industry!E88</f>
        <v>0</v>
      </c>
      <c r="N87" s="508">
        <f t="shared" si="4"/>
        <v>0</v>
      </c>
      <c r="O87" s="510">
        <f t="shared" si="5"/>
        <v>36.489044452825439</v>
      </c>
    </row>
    <row r="88" spans="2:15">
      <c r="B88" s="507">
        <f t="shared" si="6"/>
        <v>2020</v>
      </c>
      <c r="C88" s="570">
        <f>Amnt_Deposited!O84*$D$10*(1-DOCF)*MSW!E89</f>
        <v>0</v>
      </c>
      <c r="D88" s="571">
        <f>Amnt_Deposited!C84*$F$10*(1-DOCF)*Food!E89</f>
        <v>0</v>
      </c>
      <c r="E88" s="572">
        <f>Amnt_Deposited!F84*$F$11*(1-DOCF)*Garden!E89</f>
        <v>0</v>
      </c>
      <c r="F88" s="572">
        <f>Amnt_Deposited!D84*$D$11*(1-DOCF)*Paper!E89</f>
        <v>0</v>
      </c>
      <c r="G88" s="572">
        <f>Amnt_Deposited!G84*$D$12*(1-DOCF)*Wood!E89</f>
        <v>0</v>
      </c>
      <c r="H88" s="572">
        <f>Amnt_Deposited!H84*$F$12*(1-DOCF)*Textiles!E89</f>
        <v>0</v>
      </c>
      <c r="I88" s="573">
        <f>Amnt_Deposited!E84*$H$10*(1-DOCF)*Nappies!E89</f>
        <v>0</v>
      </c>
      <c r="J88" s="574">
        <f>Amnt_Deposited!N84*$H$11*(1-DOCF)*Sludge!E89</f>
        <v>0</v>
      </c>
      <c r="K88" s="575">
        <f>Amnt_Deposited!P84*$H$12*(1-DOCF)*Industry!D89</f>
        <v>0</v>
      </c>
      <c r="L88" s="572">
        <f>Amnt_Deposited!P84*Parameters!$E$58*$D$11*(1-DOCF)*Industry!E89</f>
        <v>0</v>
      </c>
      <c r="M88" s="573">
        <f>Amnt_Deposited!P84*Parameters!$E$59*$D$12*(1-DOCF)*Industry!E89</f>
        <v>0</v>
      </c>
      <c r="N88" s="508">
        <f t="shared" si="4"/>
        <v>0</v>
      </c>
      <c r="O88" s="510">
        <f t="shared" si="5"/>
        <v>36.489044452825439</v>
      </c>
    </row>
    <row r="89" spans="2:15">
      <c r="B89" s="507">
        <f t="shared" si="6"/>
        <v>2021</v>
      </c>
      <c r="C89" s="570">
        <f>Amnt_Deposited!O85*$D$10*(1-DOCF)*MSW!E90</f>
        <v>0</v>
      </c>
      <c r="D89" s="571">
        <f>Amnt_Deposited!C85*$F$10*(1-DOCF)*Food!E90</f>
        <v>0</v>
      </c>
      <c r="E89" s="572">
        <f>Amnt_Deposited!F85*$F$11*(1-DOCF)*Garden!E90</f>
        <v>0</v>
      </c>
      <c r="F89" s="572">
        <f>Amnt_Deposited!D85*$D$11*(1-DOCF)*Paper!E90</f>
        <v>0</v>
      </c>
      <c r="G89" s="572">
        <f>Amnt_Deposited!G85*$D$12*(1-DOCF)*Wood!E90</f>
        <v>0</v>
      </c>
      <c r="H89" s="572">
        <f>Amnt_Deposited!H85*$F$12*(1-DOCF)*Textiles!E90</f>
        <v>0</v>
      </c>
      <c r="I89" s="573">
        <f>Amnt_Deposited!E85*$H$10*(1-DOCF)*Nappies!E90</f>
        <v>0</v>
      </c>
      <c r="J89" s="574">
        <f>Amnt_Deposited!N85*$H$11*(1-DOCF)*Sludge!E90</f>
        <v>0</v>
      </c>
      <c r="K89" s="575">
        <f>Amnt_Deposited!P85*$H$12*(1-DOCF)*Industry!D90</f>
        <v>0</v>
      </c>
      <c r="L89" s="572">
        <f>Amnt_Deposited!P85*Parameters!$E$58*$D$11*(1-DOCF)*Industry!E90</f>
        <v>0</v>
      </c>
      <c r="M89" s="573">
        <f>Amnt_Deposited!P85*Parameters!$E$59*$D$12*(1-DOCF)*Industry!E90</f>
        <v>0</v>
      </c>
      <c r="N89" s="508">
        <f t="shared" si="4"/>
        <v>0</v>
      </c>
      <c r="O89" s="510">
        <f t="shared" si="5"/>
        <v>36.489044452825439</v>
      </c>
    </row>
    <row r="90" spans="2:15">
      <c r="B90" s="507">
        <f t="shared" si="6"/>
        <v>2022</v>
      </c>
      <c r="C90" s="570">
        <f>Amnt_Deposited!O86*$D$10*(1-DOCF)*MSW!E91</f>
        <v>0</v>
      </c>
      <c r="D90" s="571">
        <f>Amnt_Deposited!C86*$F$10*(1-DOCF)*Food!E91</f>
        <v>0</v>
      </c>
      <c r="E90" s="572">
        <f>Amnt_Deposited!F86*$F$11*(1-DOCF)*Garden!E91</f>
        <v>0</v>
      </c>
      <c r="F90" s="572">
        <f>Amnt_Deposited!D86*$D$11*(1-DOCF)*Paper!E91</f>
        <v>0</v>
      </c>
      <c r="G90" s="572">
        <f>Amnt_Deposited!G86*$D$12*(1-DOCF)*Wood!E91</f>
        <v>0</v>
      </c>
      <c r="H90" s="572">
        <f>Amnt_Deposited!H86*$F$12*(1-DOCF)*Textiles!E91</f>
        <v>0</v>
      </c>
      <c r="I90" s="573">
        <f>Amnt_Deposited!E86*$H$10*(1-DOCF)*Nappies!E91</f>
        <v>0</v>
      </c>
      <c r="J90" s="574">
        <f>Amnt_Deposited!N86*$H$11*(1-DOCF)*Sludge!E91</f>
        <v>0</v>
      </c>
      <c r="K90" s="575">
        <f>Amnt_Deposited!P86*$H$12*(1-DOCF)*Industry!D91</f>
        <v>0</v>
      </c>
      <c r="L90" s="572">
        <f>Amnt_Deposited!P86*Parameters!$E$58*$D$11*(1-DOCF)*Industry!E91</f>
        <v>0</v>
      </c>
      <c r="M90" s="573">
        <f>Amnt_Deposited!P86*Parameters!$E$59*$D$12*(1-DOCF)*Industry!E91</f>
        <v>0</v>
      </c>
      <c r="N90" s="508">
        <f t="shared" si="4"/>
        <v>0</v>
      </c>
      <c r="O90" s="510">
        <f t="shared" si="5"/>
        <v>36.489044452825439</v>
      </c>
    </row>
    <row r="91" spans="2:15">
      <c r="B91" s="507">
        <f t="shared" si="6"/>
        <v>2023</v>
      </c>
      <c r="C91" s="570">
        <f>Amnt_Deposited!O87*$D$10*(1-DOCF)*MSW!E92</f>
        <v>0</v>
      </c>
      <c r="D91" s="571">
        <f>Amnt_Deposited!C87*$F$10*(1-DOCF)*Food!E92</f>
        <v>0</v>
      </c>
      <c r="E91" s="572">
        <f>Amnt_Deposited!F87*$F$11*(1-DOCF)*Garden!E92</f>
        <v>0</v>
      </c>
      <c r="F91" s="572">
        <f>Amnt_Deposited!D87*$D$11*(1-DOCF)*Paper!E92</f>
        <v>0</v>
      </c>
      <c r="G91" s="572">
        <f>Amnt_Deposited!G87*$D$12*(1-DOCF)*Wood!E92</f>
        <v>0</v>
      </c>
      <c r="H91" s="572">
        <f>Amnt_Deposited!H87*$F$12*(1-DOCF)*Textiles!E92</f>
        <v>0</v>
      </c>
      <c r="I91" s="573">
        <f>Amnt_Deposited!E87*$H$10*(1-DOCF)*Nappies!E92</f>
        <v>0</v>
      </c>
      <c r="J91" s="574">
        <f>Amnt_Deposited!N87*$H$11*(1-DOCF)*Sludge!E92</f>
        <v>0</v>
      </c>
      <c r="K91" s="575">
        <f>Amnt_Deposited!P87*$H$12*(1-DOCF)*Industry!D92</f>
        <v>0</v>
      </c>
      <c r="L91" s="572">
        <f>Amnt_Deposited!P87*Parameters!$E$58*$D$11*(1-DOCF)*Industry!E92</f>
        <v>0</v>
      </c>
      <c r="M91" s="573">
        <f>Amnt_Deposited!P87*Parameters!$E$59*$D$12*(1-DOCF)*Industry!E92</f>
        <v>0</v>
      </c>
      <c r="N91" s="508">
        <f t="shared" si="4"/>
        <v>0</v>
      </c>
      <c r="O91" s="510">
        <f t="shared" si="5"/>
        <v>36.489044452825439</v>
      </c>
    </row>
    <row r="92" spans="2:15">
      <c r="B92" s="507">
        <f t="shared" si="6"/>
        <v>2024</v>
      </c>
      <c r="C92" s="570">
        <f>Amnt_Deposited!O88*$D$10*(1-DOCF)*MSW!E93</f>
        <v>0</v>
      </c>
      <c r="D92" s="571">
        <f>Amnt_Deposited!C88*$F$10*(1-DOCF)*Food!E93</f>
        <v>0</v>
      </c>
      <c r="E92" s="572">
        <f>Amnt_Deposited!F88*$F$11*(1-DOCF)*Garden!E93</f>
        <v>0</v>
      </c>
      <c r="F92" s="572">
        <f>Amnt_Deposited!D88*$D$11*(1-DOCF)*Paper!E93</f>
        <v>0</v>
      </c>
      <c r="G92" s="572">
        <f>Amnt_Deposited!G88*$D$12*(1-DOCF)*Wood!E93</f>
        <v>0</v>
      </c>
      <c r="H92" s="572">
        <f>Amnt_Deposited!H88*$F$12*(1-DOCF)*Textiles!E93</f>
        <v>0</v>
      </c>
      <c r="I92" s="573">
        <f>Amnt_Deposited!E88*$H$10*(1-DOCF)*Nappies!E93</f>
        <v>0</v>
      </c>
      <c r="J92" s="574">
        <f>Amnt_Deposited!N88*$H$11*(1-DOCF)*Sludge!E93</f>
        <v>0</v>
      </c>
      <c r="K92" s="575">
        <f>Amnt_Deposited!P88*$H$12*(1-DOCF)*Industry!D93</f>
        <v>0</v>
      </c>
      <c r="L92" s="572">
        <f>Amnt_Deposited!P88*Parameters!$E$58*$D$11*(1-DOCF)*Industry!E93</f>
        <v>0</v>
      </c>
      <c r="M92" s="573">
        <f>Amnt_Deposited!P88*Parameters!$E$59*$D$12*(1-DOCF)*Industry!E93</f>
        <v>0</v>
      </c>
      <c r="N92" s="508">
        <f t="shared" si="4"/>
        <v>0</v>
      </c>
      <c r="O92" s="510">
        <f t="shared" si="5"/>
        <v>36.489044452825439</v>
      </c>
    </row>
    <row r="93" spans="2:15">
      <c r="B93" s="507">
        <f t="shared" si="6"/>
        <v>2025</v>
      </c>
      <c r="C93" s="570">
        <f>Amnt_Deposited!O89*$D$10*(1-DOCF)*MSW!E94</f>
        <v>0</v>
      </c>
      <c r="D93" s="571">
        <f>Amnt_Deposited!C89*$F$10*(1-DOCF)*Food!E94</f>
        <v>0</v>
      </c>
      <c r="E93" s="572">
        <f>Amnt_Deposited!F89*$F$11*(1-DOCF)*Garden!E94</f>
        <v>0</v>
      </c>
      <c r="F93" s="572">
        <f>Amnt_Deposited!D89*$D$11*(1-DOCF)*Paper!E94</f>
        <v>0</v>
      </c>
      <c r="G93" s="572">
        <f>Amnt_Deposited!G89*$D$12*(1-DOCF)*Wood!E94</f>
        <v>0</v>
      </c>
      <c r="H93" s="572">
        <f>Amnt_Deposited!H89*$F$12*(1-DOCF)*Textiles!E94</f>
        <v>0</v>
      </c>
      <c r="I93" s="573">
        <f>Amnt_Deposited!E89*$H$10*(1-DOCF)*Nappies!E94</f>
        <v>0</v>
      </c>
      <c r="J93" s="574">
        <f>Amnt_Deposited!N89*$H$11*(1-DOCF)*Sludge!E94</f>
        <v>0</v>
      </c>
      <c r="K93" s="575">
        <f>Amnt_Deposited!P89*$H$12*(1-DOCF)*Industry!D94</f>
        <v>0</v>
      </c>
      <c r="L93" s="572">
        <f>Amnt_Deposited!P89*Parameters!$E$58*$D$11*(1-DOCF)*Industry!E94</f>
        <v>0</v>
      </c>
      <c r="M93" s="573">
        <f>Amnt_Deposited!P89*Parameters!$E$59*$D$12*(1-DOCF)*Industry!E94</f>
        <v>0</v>
      </c>
      <c r="N93" s="508">
        <f t="shared" si="4"/>
        <v>0</v>
      </c>
      <c r="O93" s="510">
        <f t="shared" si="5"/>
        <v>36.489044452825439</v>
      </c>
    </row>
    <row r="94" spans="2:15">
      <c r="B94" s="507">
        <f t="shared" si="6"/>
        <v>2026</v>
      </c>
      <c r="C94" s="570">
        <f>Amnt_Deposited!O90*$D$10*(1-DOCF)*MSW!E95</f>
        <v>0</v>
      </c>
      <c r="D94" s="571">
        <f>Amnt_Deposited!C90*$F$10*(1-DOCF)*Food!E95</f>
        <v>0</v>
      </c>
      <c r="E94" s="572">
        <f>Amnt_Deposited!F90*$F$11*(1-DOCF)*Garden!E95</f>
        <v>0</v>
      </c>
      <c r="F94" s="572">
        <f>Amnt_Deposited!D90*$D$11*(1-DOCF)*Paper!E95</f>
        <v>0</v>
      </c>
      <c r="G94" s="572">
        <f>Amnt_Deposited!G90*$D$12*(1-DOCF)*Wood!E95</f>
        <v>0</v>
      </c>
      <c r="H94" s="572">
        <f>Amnt_Deposited!H90*$F$12*(1-DOCF)*Textiles!E95</f>
        <v>0</v>
      </c>
      <c r="I94" s="573">
        <f>Amnt_Deposited!E90*$H$10*(1-DOCF)*Nappies!E95</f>
        <v>0</v>
      </c>
      <c r="J94" s="574">
        <f>Amnt_Deposited!N90*$H$11*(1-DOCF)*Sludge!E95</f>
        <v>0</v>
      </c>
      <c r="K94" s="575">
        <f>Amnt_Deposited!P90*$H$12*(1-DOCF)*Industry!D95</f>
        <v>0</v>
      </c>
      <c r="L94" s="572">
        <f>Amnt_Deposited!P90*Parameters!$E$58*$D$11*(1-DOCF)*Industry!E95</f>
        <v>0</v>
      </c>
      <c r="M94" s="573">
        <f>Amnt_Deposited!P90*Parameters!$E$59*$D$12*(1-DOCF)*Industry!E95</f>
        <v>0</v>
      </c>
      <c r="N94" s="508">
        <f t="shared" si="4"/>
        <v>0</v>
      </c>
      <c r="O94" s="510">
        <f t="shared" si="5"/>
        <v>36.489044452825439</v>
      </c>
    </row>
    <row r="95" spans="2:15">
      <c r="B95" s="507">
        <f t="shared" si="6"/>
        <v>2027</v>
      </c>
      <c r="C95" s="570">
        <f>Amnt_Deposited!O91*$D$10*(1-DOCF)*MSW!E96</f>
        <v>0</v>
      </c>
      <c r="D95" s="571">
        <f>Amnt_Deposited!C91*$F$10*(1-DOCF)*Food!E96</f>
        <v>0</v>
      </c>
      <c r="E95" s="572">
        <f>Amnt_Deposited!F91*$F$11*(1-DOCF)*Garden!E96</f>
        <v>0</v>
      </c>
      <c r="F95" s="572">
        <f>Amnt_Deposited!D91*$D$11*(1-DOCF)*Paper!E96</f>
        <v>0</v>
      </c>
      <c r="G95" s="572">
        <f>Amnt_Deposited!G91*$D$12*(1-DOCF)*Wood!E96</f>
        <v>0</v>
      </c>
      <c r="H95" s="572">
        <f>Amnt_Deposited!H91*$F$12*(1-DOCF)*Textiles!E96</f>
        <v>0</v>
      </c>
      <c r="I95" s="573">
        <f>Amnt_Deposited!E91*$H$10*(1-DOCF)*Nappies!E96</f>
        <v>0</v>
      </c>
      <c r="J95" s="574">
        <f>Amnt_Deposited!N91*$H$11*(1-DOCF)*Sludge!E96</f>
        <v>0</v>
      </c>
      <c r="K95" s="575">
        <f>Amnt_Deposited!P91*$H$12*(1-DOCF)*Industry!D96</f>
        <v>0</v>
      </c>
      <c r="L95" s="572">
        <f>Amnt_Deposited!P91*Parameters!$E$58*$D$11*(1-DOCF)*Industry!E96</f>
        <v>0</v>
      </c>
      <c r="M95" s="573">
        <f>Amnt_Deposited!P91*Parameters!$E$59*$D$12*(1-DOCF)*Industry!E96</f>
        <v>0</v>
      </c>
      <c r="N95" s="508">
        <f t="shared" si="4"/>
        <v>0</v>
      </c>
      <c r="O95" s="510">
        <f t="shared" si="5"/>
        <v>36.489044452825439</v>
      </c>
    </row>
    <row r="96" spans="2:15">
      <c r="B96" s="507">
        <f t="shared" si="6"/>
        <v>2028</v>
      </c>
      <c r="C96" s="570">
        <f>Amnt_Deposited!O92*$D$10*(1-DOCF)*MSW!E97</f>
        <v>0</v>
      </c>
      <c r="D96" s="571">
        <f>Amnt_Deposited!C92*$F$10*(1-DOCF)*Food!E97</f>
        <v>0</v>
      </c>
      <c r="E96" s="572">
        <f>Amnt_Deposited!F92*$F$11*(1-DOCF)*Garden!E97</f>
        <v>0</v>
      </c>
      <c r="F96" s="572">
        <f>Amnt_Deposited!D92*$D$11*(1-DOCF)*Paper!E97</f>
        <v>0</v>
      </c>
      <c r="G96" s="572">
        <f>Amnt_Deposited!G92*$D$12*(1-DOCF)*Wood!E97</f>
        <v>0</v>
      </c>
      <c r="H96" s="572">
        <f>Amnt_Deposited!H92*$F$12*(1-DOCF)*Textiles!E97</f>
        <v>0</v>
      </c>
      <c r="I96" s="573">
        <f>Amnt_Deposited!E92*$H$10*(1-DOCF)*Nappies!E97</f>
        <v>0</v>
      </c>
      <c r="J96" s="574">
        <f>Amnt_Deposited!N92*$H$11*(1-DOCF)*Sludge!E97</f>
        <v>0</v>
      </c>
      <c r="K96" s="575">
        <f>Amnt_Deposited!P92*$H$12*(1-DOCF)*Industry!D97</f>
        <v>0</v>
      </c>
      <c r="L96" s="572">
        <f>Amnt_Deposited!P92*Parameters!$E$58*$D$11*(1-DOCF)*Industry!E97</f>
        <v>0</v>
      </c>
      <c r="M96" s="573">
        <f>Amnt_Deposited!P92*Parameters!$E$59*$D$12*(1-DOCF)*Industry!E97</f>
        <v>0</v>
      </c>
      <c r="N96" s="508">
        <f t="shared" si="4"/>
        <v>0</v>
      </c>
      <c r="O96" s="510">
        <f t="shared" si="5"/>
        <v>36.489044452825439</v>
      </c>
    </row>
    <row r="97" spans="2:15">
      <c r="B97" s="507">
        <f t="shared" si="6"/>
        <v>2029</v>
      </c>
      <c r="C97" s="570">
        <f>Amnt_Deposited!O93*$D$10*(1-DOCF)*MSW!E98</f>
        <v>0</v>
      </c>
      <c r="D97" s="571">
        <f>Amnt_Deposited!C93*$F$10*(1-DOCF)*Food!E98</f>
        <v>0</v>
      </c>
      <c r="E97" s="572">
        <f>Amnt_Deposited!F93*$F$11*(1-DOCF)*Garden!E98</f>
        <v>0</v>
      </c>
      <c r="F97" s="572">
        <f>Amnt_Deposited!D93*$D$11*(1-DOCF)*Paper!E98</f>
        <v>0</v>
      </c>
      <c r="G97" s="572">
        <f>Amnt_Deposited!G93*$D$12*(1-DOCF)*Wood!E98</f>
        <v>0</v>
      </c>
      <c r="H97" s="572">
        <f>Amnt_Deposited!H93*$F$12*(1-DOCF)*Textiles!E98</f>
        <v>0</v>
      </c>
      <c r="I97" s="573">
        <f>Amnt_Deposited!E93*$H$10*(1-DOCF)*Nappies!E98</f>
        <v>0</v>
      </c>
      <c r="J97" s="574">
        <f>Amnt_Deposited!N93*$H$11*(1-DOCF)*Sludge!E98</f>
        <v>0</v>
      </c>
      <c r="K97" s="575">
        <f>Amnt_Deposited!P93*$H$12*(1-DOCF)*Industry!D98</f>
        <v>0</v>
      </c>
      <c r="L97" s="572">
        <f>Amnt_Deposited!P93*Parameters!$E$58*$D$11*(1-DOCF)*Industry!E98</f>
        <v>0</v>
      </c>
      <c r="M97" s="573">
        <f>Amnt_Deposited!P93*Parameters!$E$59*$D$12*(1-DOCF)*Industry!E98</f>
        <v>0</v>
      </c>
      <c r="N97" s="508">
        <f t="shared" si="4"/>
        <v>0</v>
      </c>
      <c r="O97" s="510">
        <f t="shared" si="5"/>
        <v>36.489044452825439</v>
      </c>
    </row>
    <row r="98" spans="2:15" ht="13.5" thickBot="1">
      <c r="B98" s="516">
        <f t="shared" si="6"/>
        <v>2030</v>
      </c>
      <c r="C98" s="570">
        <f>Amnt_Deposited!O94*$D$10*(1-DOCF)*MSW!E99</f>
        <v>0</v>
      </c>
      <c r="D98" s="571">
        <f>Amnt_Deposited!C94*$F$10*(1-DOCF)*Food!E99</f>
        <v>0</v>
      </c>
      <c r="E98" s="572">
        <f>Amnt_Deposited!F94*$F$11*(1-DOCF)*Garden!E99</f>
        <v>0</v>
      </c>
      <c r="F98" s="572">
        <f>Amnt_Deposited!D94*$D$11*(1-DOCF)*Paper!E99</f>
        <v>0</v>
      </c>
      <c r="G98" s="572">
        <f>Amnt_Deposited!G94*$D$12*(1-DOCF)*Wood!E99</f>
        <v>0</v>
      </c>
      <c r="H98" s="572">
        <f>Amnt_Deposited!H94*$F$12*(1-DOCF)*Textiles!E99</f>
        <v>0</v>
      </c>
      <c r="I98" s="573">
        <f>Amnt_Deposited!E94*$H$10*(1-DOCF)*Nappies!E99</f>
        <v>0</v>
      </c>
      <c r="J98" s="574">
        <f>Amnt_Deposited!N94*$H$11*(1-DOCF)*Sludge!E99</f>
        <v>0</v>
      </c>
      <c r="K98" s="575">
        <f>Amnt_Deposited!P94*$H$12*(1-DOCF)*Industry!D99</f>
        <v>0</v>
      </c>
      <c r="L98" s="572">
        <f>Amnt_Deposited!P94*Parameters!$E$58*$D$11*(1-DOCF)*Industry!E99</f>
        <v>0</v>
      </c>
      <c r="M98" s="573">
        <f>Amnt_Deposited!P94*Parameters!$E$59*$D$12*(1-DOCF)*Industry!E99</f>
        <v>0</v>
      </c>
      <c r="N98" s="517">
        <f t="shared" si="4"/>
        <v>0</v>
      </c>
      <c r="O98" s="519">
        <f t="shared" si="5"/>
        <v>36.489044452825439</v>
      </c>
    </row>
  </sheetData>
  <mergeCells count="5">
    <mergeCell ref="D4:F4"/>
    <mergeCell ref="H4:K4"/>
    <mergeCell ref="H5:K5"/>
    <mergeCell ref="D3:F3"/>
    <mergeCell ref="D2:F2"/>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indexed="44"/>
  </sheetPr>
  <dimension ref="B1:M5"/>
  <sheetViews>
    <sheetView showGridLines="0" workbookViewId="0">
      <selection activeCell="L78" sqref="L78"/>
    </sheetView>
  </sheetViews>
  <sheetFormatPr defaultColWidth="11.42578125" defaultRowHeight="12.75"/>
  <cols>
    <col min="1" max="1" width="1" style="10" customWidth="1"/>
    <col min="2" max="7" width="11.42578125" style="10" customWidth="1"/>
    <col min="8" max="8" width="18.140625" style="10" customWidth="1"/>
    <col min="9" max="11" width="11.42578125" style="10" customWidth="1"/>
    <col min="12" max="12" width="8.7109375" style="10" customWidth="1"/>
    <col min="13" max="13" width="11.42578125" style="10" hidden="1" customWidth="1"/>
    <col min="14" max="16384" width="11.42578125" style="10"/>
  </cols>
  <sheetData>
    <row r="1" spans="2:5" ht="6.75" customHeight="1"/>
    <row r="2" spans="2:5" ht="15">
      <c r="B2" s="160" t="s">
        <v>17</v>
      </c>
    </row>
    <row r="3" spans="2:5" ht="9" customHeight="1"/>
    <row r="4" spans="2:5" ht="15.75">
      <c r="B4" s="11" t="s">
        <v>202</v>
      </c>
      <c r="D4" s="157"/>
      <c r="E4" s="157"/>
    </row>
    <row r="5" spans="2:5" ht="5.25" customHeight="1">
      <c r="B5" s="157"/>
      <c r="C5" s="157"/>
      <c r="D5" s="157"/>
      <c r="E5" s="157"/>
    </row>
  </sheetData>
  <sheetProtection password="CF65" sheet="1" objects="1" scenarios="1"/>
  <customSheetViews>
    <customSheetView guid="{B400968E-E9A7-41C3-9739-36597C9C6BC6}" showGridLines="0" showRuler="0" topLeftCell="A8">
      <selection activeCell="J11" sqref="J11"/>
      <pageMargins left="0.7" right="0.7" top="0.75" bottom="0.75" header="0.3" footer="0.3"/>
      <pageSetup paperSize="9" orientation="portrait"/>
      <headerFooter alignWithMargins="0"/>
    </customSheetView>
  </customSheetViews>
  <phoneticPr fontId="16" type="noConversion"/>
  <pageMargins left="0.75" right="0.75" top="0.75" bottom="0.75" header="0.5" footer="0.5"/>
  <headerFooter alignWithMargins="0"/>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indexed="44"/>
  </sheetPr>
  <dimension ref="A1:AI64"/>
  <sheetViews>
    <sheetView showGridLines="0" topLeftCell="Q1" workbookViewId="0">
      <pane ySplit="3" topLeftCell="A4" activePane="bottomLeft" state="frozen"/>
      <selection activeCell="E19" sqref="E19"/>
      <selection pane="bottomLeft" activeCell="W10" sqref="W10"/>
    </sheetView>
  </sheetViews>
  <sheetFormatPr defaultColWidth="8.85546875" defaultRowHeight="12.75"/>
  <cols>
    <col min="1" max="1" width="2.85546875" style="89" customWidth="1"/>
    <col min="2" max="2" width="16.42578125" style="89" customWidth="1"/>
    <col min="3" max="3" width="16" style="89" customWidth="1"/>
    <col min="4" max="4" width="12.140625" style="89" customWidth="1"/>
    <col min="5" max="5" width="11.7109375" style="89" customWidth="1"/>
    <col min="6" max="6" width="9.7109375" style="89" customWidth="1"/>
    <col min="7" max="7" width="11" style="89" customWidth="1"/>
    <col min="8" max="8" width="9.7109375" style="89" customWidth="1"/>
    <col min="9" max="9" width="11.42578125" style="89" customWidth="1"/>
    <col min="10" max="10" width="9.7109375" style="89" customWidth="1"/>
    <col min="11" max="11" width="12.140625" style="89" customWidth="1"/>
    <col min="12" max="12" width="9.7109375" style="89" customWidth="1"/>
    <col min="13" max="14" width="10.7109375" style="89" customWidth="1"/>
    <col min="15" max="15" width="16.140625" style="89" customWidth="1"/>
    <col min="16" max="21" width="8.85546875" style="89"/>
    <col min="22" max="22" width="19.42578125" style="176" customWidth="1"/>
    <col min="23" max="23" width="11" style="89" customWidth="1"/>
    <col min="24" max="24" width="10.140625" style="89" customWidth="1"/>
    <col min="25" max="31" width="9.7109375" style="89" customWidth="1"/>
    <col min="32" max="32" width="12.140625" style="89" customWidth="1"/>
    <col min="33" max="34" width="9.7109375" style="89" customWidth="1"/>
    <col min="35" max="16384" width="8.85546875" style="89"/>
  </cols>
  <sheetData>
    <row r="1" spans="1:35" ht="15">
      <c r="B1" s="91" t="s">
        <v>205</v>
      </c>
      <c r="O1" s="91" t="s">
        <v>112</v>
      </c>
      <c r="V1" s="91" t="s">
        <v>128</v>
      </c>
    </row>
    <row r="2" spans="1:35" ht="12.75" customHeight="1">
      <c r="B2" s="837" t="s">
        <v>52</v>
      </c>
      <c r="C2" s="837"/>
      <c r="D2" s="837"/>
      <c r="E2" s="837"/>
      <c r="F2" s="837"/>
      <c r="G2" s="837"/>
      <c r="H2" s="837"/>
    </row>
    <row r="3" spans="1:35" ht="13.5" thickBot="1">
      <c r="B3" s="837"/>
      <c r="C3" s="837"/>
      <c r="D3" s="837"/>
      <c r="E3" s="837"/>
      <c r="F3" s="837"/>
      <c r="G3" s="837"/>
      <c r="H3" s="837"/>
    </row>
    <row r="4" spans="1:35" ht="13.5" thickBot="1">
      <c r="P4" s="841" t="s">
        <v>242</v>
      </c>
      <c r="Q4" s="842"/>
      <c r="R4" s="843" t="s">
        <v>243</v>
      </c>
      <c r="S4" s="844"/>
      <c r="V4" s="199" t="s">
        <v>155</v>
      </c>
      <c r="W4" s="159">
        <f>P7</f>
        <v>0.44</v>
      </c>
      <c r="X4" s="261">
        <f>P9</f>
        <v>0.3</v>
      </c>
      <c r="Y4" s="261">
        <f>P6</f>
        <v>0.38</v>
      </c>
      <c r="Z4" s="261">
        <f>P11</f>
        <v>0.5</v>
      </c>
      <c r="AA4" s="261">
        <f>P8</f>
        <v>0.49</v>
      </c>
      <c r="AB4" s="261">
        <f>P12</f>
        <v>0.6</v>
      </c>
      <c r="AC4" s="261">
        <f>R18</f>
        <v>0.05</v>
      </c>
      <c r="AD4" s="261">
        <f>P10</f>
        <v>0.47</v>
      </c>
      <c r="AE4" s="262">
        <v>0</v>
      </c>
    </row>
    <row r="5" spans="1:35" ht="13.5" customHeight="1" thickBot="1">
      <c r="B5" s="92"/>
      <c r="C5" s="161"/>
      <c r="D5" s="838" t="s">
        <v>47</v>
      </c>
      <c r="E5" s="839"/>
      <c r="F5" s="839"/>
      <c r="G5" s="840"/>
      <c r="H5" s="839" t="s">
        <v>57</v>
      </c>
      <c r="I5" s="839"/>
      <c r="J5" s="839"/>
      <c r="K5" s="840"/>
      <c r="L5" s="155"/>
      <c r="M5" s="155"/>
      <c r="N5" s="155"/>
      <c r="O5" s="190"/>
      <c r="P5" s="234" t="s">
        <v>116</v>
      </c>
      <c r="Q5" s="235" t="s">
        <v>113</v>
      </c>
      <c r="R5" s="234" t="s">
        <v>116</v>
      </c>
      <c r="S5" s="235" t="s">
        <v>113</v>
      </c>
      <c r="V5" s="340" t="s">
        <v>118</v>
      </c>
      <c r="W5" s="341">
        <v>3</v>
      </c>
      <c r="AF5" s="828" t="s">
        <v>126</v>
      </c>
      <c r="AG5" s="828" t="s">
        <v>129</v>
      </c>
      <c r="AH5" s="828" t="s">
        <v>154</v>
      </c>
      <c r="AI5"/>
    </row>
    <row r="6" spans="1:35" ht="13.5" thickBot="1">
      <c r="B6" s="193"/>
      <c r="C6" s="179"/>
      <c r="D6" s="833" t="s">
        <v>45</v>
      </c>
      <c r="E6" s="833"/>
      <c r="F6" s="833" t="s">
        <v>46</v>
      </c>
      <c r="G6" s="833"/>
      <c r="H6" s="833" t="s">
        <v>45</v>
      </c>
      <c r="I6" s="833"/>
      <c r="J6" s="833" t="s">
        <v>99</v>
      </c>
      <c r="K6" s="833"/>
      <c r="L6" s="155"/>
      <c r="M6" s="155"/>
      <c r="N6" s="155"/>
      <c r="O6" s="230" t="s">
        <v>6</v>
      </c>
      <c r="P6" s="189">
        <v>0.38</v>
      </c>
      <c r="Q6" s="191" t="s">
        <v>234</v>
      </c>
      <c r="R6" s="189">
        <v>0.15</v>
      </c>
      <c r="S6" s="191" t="s">
        <v>244</v>
      </c>
      <c r="W6" s="834" t="s">
        <v>125</v>
      </c>
      <c r="X6" s="836"/>
      <c r="Y6" s="836"/>
      <c r="Z6" s="836"/>
      <c r="AA6" s="836"/>
      <c r="AB6" s="836"/>
      <c r="AC6" s="836"/>
      <c r="AD6" s="836"/>
      <c r="AE6" s="836"/>
      <c r="AF6" s="829"/>
      <c r="AG6" s="829"/>
      <c r="AH6" s="829"/>
      <c r="AI6"/>
    </row>
    <row r="7" spans="1:35" ht="26.25" thickBot="1">
      <c r="B7" s="834" t="s">
        <v>133</v>
      </c>
      <c r="C7" s="835"/>
      <c r="D7" s="234" t="s">
        <v>116</v>
      </c>
      <c r="E7" s="235" t="s">
        <v>113</v>
      </c>
      <c r="F7" s="236" t="s">
        <v>116</v>
      </c>
      <c r="G7" s="235" t="s">
        <v>113</v>
      </c>
      <c r="H7" s="236" t="s">
        <v>116</v>
      </c>
      <c r="I7" s="235" t="s">
        <v>113</v>
      </c>
      <c r="J7" s="236" t="s">
        <v>116</v>
      </c>
      <c r="K7" s="235" t="s">
        <v>113</v>
      </c>
      <c r="M7" s="154"/>
      <c r="N7" s="154"/>
      <c r="O7" s="231" t="s">
        <v>256</v>
      </c>
      <c r="P7" s="188">
        <v>0.44</v>
      </c>
      <c r="Q7" s="192" t="s">
        <v>235</v>
      </c>
      <c r="R7" s="188">
        <v>0.4</v>
      </c>
      <c r="S7" s="192" t="s">
        <v>245</v>
      </c>
      <c r="T7" s="198"/>
      <c r="V7" s="199"/>
      <c r="W7" s="219" t="s">
        <v>127</v>
      </c>
      <c r="X7" s="208" t="s">
        <v>16</v>
      </c>
      <c r="Y7" s="208" t="s">
        <v>6</v>
      </c>
      <c r="Z7" s="208" t="s">
        <v>2</v>
      </c>
      <c r="AA7" s="208" t="s">
        <v>139</v>
      </c>
      <c r="AB7" s="208" t="s">
        <v>140</v>
      </c>
      <c r="AC7" s="208" t="s">
        <v>135</v>
      </c>
      <c r="AD7" s="208" t="s">
        <v>141</v>
      </c>
      <c r="AE7" s="208" t="s">
        <v>142</v>
      </c>
      <c r="AF7" s="830"/>
      <c r="AG7" s="830"/>
      <c r="AH7" s="830"/>
      <c r="AI7"/>
    </row>
    <row r="8" spans="1:35" ht="25.5" customHeight="1">
      <c r="B8" s="831" t="s">
        <v>48</v>
      </c>
      <c r="C8" s="164" t="s">
        <v>56</v>
      </c>
      <c r="D8" s="110">
        <v>0.04</v>
      </c>
      <c r="E8" s="180" t="s">
        <v>169</v>
      </c>
      <c r="F8" s="194">
        <v>0.06</v>
      </c>
      <c r="G8" s="197" t="s">
        <v>170</v>
      </c>
      <c r="H8" s="110">
        <v>4.4999999999999998E-2</v>
      </c>
      <c r="I8" s="180" t="s">
        <v>167</v>
      </c>
      <c r="J8" s="194">
        <v>7.0000000000000007E-2</v>
      </c>
      <c r="K8" s="180" t="s">
        <v>176</v>
      </c>
      <c r="M8" s="156"/>
      <c r="N8" s="156"/>
      <c r="O8" s="231" t="s">
        <v>255</v>
      </c>
      <c r="P8" s="188">
        <v>0.49</v>
      </c>
      <c r="Q8" s="192" t="s">
        <v>236</v>
      </c>
      <c r="R8" s="188">
        <v>0.2</v>
      </c>
      <c r="S8" s="192" t="s">
        <v>246</v>
      </c>
      <c r="T8" s="198"/>
      <c r="U8" s="198">
        <v>1</v>
      </c>
      <c r="V8" s="201" t="s">
        <v>119</v>
      </c>
      <c r="W8" s="217">
        <v>18.8</v>
      </c>
      <c r="X8" s="218">
        <v>3.5</v>
      </c>
      <c r="Y8" s="218">
        <v>26.2</v>
      </c>
      <c r="Z8" s="218">
        <v>3.5</v>
      </c>
      <c r="AA8" s="218"/>
      <c r="AB8" s="218"/>
      <c r="AC8" s="218"/>
      <c r="AD8" s="218">
        <v>1</v>
      </c>
      <c r="AE8" s="218">
        <f>100-SUM(W8:AD8)</f>
        <v>47</v>
      </c>
      <c r="AF8" s="209">
        <v>0.55000000000000004</v>
      </c>
      <c r="AG8" s="212">
        <v>0.55000000000000004</v>
      </c>
      <c r="AH8" s="263">
        <f>ROUND((W8*W$4+X8*X$4+Y8*Y$4+Z8*Z$4+AA8*AA$4+AB8*AB$4+AC8*AC$4+AD8*AD$4)/100,2)</f>
        <v>0.21</v>
      </c>
      <c r="AI8"/>
    </row>
    <row r="9" spans="1:35" ht="25.5">
      <c r="B9" s="832"/>
      <c r="C9" s="222" t="s">
        <v>134</v>
      </c>
      <c r="D9" s="224">
        <v>0.02</v>
      </c>
      <c r="E9" s="225" t="s">
        <v>168</v>
      </c>
      <c r="F9" s="226">
        <v>0.03</v>
      </c>
      <c r="G9" s="227" t="s">
        <v>171</v>
      </c>
      <c r="H9" s="224">
        <v>2.5000000000000001E-2</v>
      </c>
      <c r="I9" s="225" t="s">
        <v>171</v>
      </c>
      <c r="J9" s="226">
        <v>3.5000000000000003E-2</v>
      </c>
      <c r="K9" s="225" t="s">
        <v>169</v>
      </c>
      <c r="M9" s="156"/>
      <c r="N9" s="156"/>
      <c r="O9" s="231" t="s">
        <v>16</v>
      </c>
      <c r="P9" s="188">
        <v>0.3</v>
      </c>
      <c r="Q9" s="192" t="s">
        <v>237</v>
      </c>
      <c r="R9" s="188">
        <v>0.24</v>
      </c>
      <c r="S9" s="192" t="s">
        <v>247</v>
      </c>
      <c r="T9" s="198"/>
      <c r="U9" s="198">
        <v>2</v>
      </c>
      <c r="V9" s="202" t="s">
        <v>214</v>
      </c>
      <c r="W9" s="203">
        <v>11.3</v>
      </c>
      <c r="X9" s="204">
        <v>2.5</v>
      </c>
      <c r="Y9" s="204">
        <v>40.299999999999997</v>
      </c>
      <c r="Z9" s="204">
        <v>7.9</v>
      </c>
      <c r="AA9" s="204"/>
      <c r="AB9" s="204"/>
      <c r="AC9" s="204"/>
      <c r="AD9" s="204">
        <v>0.8</v>
      </c>
      <c r="AE9" s="204">
        <f t="shared" ref="AE9:AE26" si="0">100-SUM(W9:AD9)</f>
        <v>37.20000000000001</v>
      </c>
      <c r="AF9" s="210">
        <v>0.21</v>
      </c>
      <c r="AG9" s="213">
        <v>0.74</v>
      </c>
      <c r="AH9" s="264">
        <f t="shared" ref="AH9:AH26" si="1">ROUND((W9*W$4+X9*X$4+Y9*Y$4+Z9*Z$4+AA9*AA$4+AB9*AB$4+AC9*AC$4+AD9*AD$4)/100,2)</f>
        <v>0.25</v>
      </c>
      <c r="AI9"/>
    </row>
    <row r="10" spans="1:35" ht="25.5" customHeight="1">
      <c r="B10" s="221" t="s">
        <v>49</v>
      </c>
      <c r="C10" s="222" t="s">
        <v>50</v>
      </c>
      <c r="D10" s="111">
        <v>0.05</v>
      </c>
      <c r="E10" s="181" t="s">
        <v>167</v>
      </c>
      <c r="F10" s="195">
        <v>0.1</v>
      </c>
      <c r="G10" s="182" t="s">
        <v>172</v>
      </c>
      <c r="H10" s="111">
        <v>6.5000000000000002E-2</v>
      </c>
      <c r="I10" s="181" t="s">
        <v>166</v>
      </c>
      <c r="J10" s="195">
        <v>0.17</v>
      </c>
      <c r="K10" s="181" t="s">
        <v>177</v>
      </c>
      <c r="M10" s="156"/>
      <c r="N10" s="156"/>
      <c r="O10" s="232" t="s">
        <v>229</v>
      </c>
      <c r="P10" s="228">
        <v>0.47</v>
      </c>
      <c r="Q10" s="229" t="s">
        <v>238</v>
      </c>
      <c r="R10" s="228">
        <v>0.39</v>
      </c>
      <c r="S10" s="229" t="s">
        <v>248</v>
      </c>
      <c r="T10" s="198"/>
      <c r="U10" s="198">
        <v>3</v>
      </c>
      <c r="V10" s="202" t="s">
        <v>120</v>
      </c>
      <c r="W10" s="203">
        <v>12.9</v>
      </c>
      <c r="X10" s="204">
        <v>2.7</v>
      </c>
      <c r="Y10" s="204">
        <v>43.5</v>
      </c>
      <c r="Z10" s="204">
        <v>9.9</v>
      </c>
      <c r="AA10" s="204"/>
      <c r="AB10" s="204"/>
      <c r="AC10" s="204"/>
      <c r="AD10" s="204">
        <v>0.9</v>
      </c>
      <c r="AE10" s="204">
        <f t="shared" si="0"/>
        <v>30.099999999999994</v>
      </c>
      <c r="AF10" s="210">
        <v>0.27</v>
      </c>
      <c r="AG10" s="213">
        <v>0.59</v>
      </c>
      <c r="AH10" s="264">
        <f t="shared" si="1"/>
        <v>0.28000000000000003</v>
      </c>
      <c r="AI10"/>
    </row>
    <row r="11" spans="1:35" ht="25.5" customHeight="1" thickBot="1">
      <c r="B11" s="223" t="s">
        <v>51</v>
      </c>
      <c r="C11" s="165" t="s">
        <v>79</v>
      </c>
      <c r="D11" s="111">
        <v>0.06</v>
      </c>
      <c r="E11" s="181" t="s">
        <v>166</v>
      </c>
      <c r="F11" s="195">
        <v>0.185</v>
      </c>
      <c r="G11" s="182" t="s">
        <v>173</v>
      </c>
      <c r="H11" s="112">
        <v>8.5000000000000006E-2</v>
      </c>
      <c r="I11" s="183" t="s">
        <v>175</v>
      </c>
      <c r="J11" s="196">
        <v>0.4</v>
      </c>
      <c r="K11" s="183" t="s">
        <v>165</v>
      </c>
      <c r="M11" s="156"/>
      <c r="N11" s="156"/>
      <c r="O11" s="232" t="s">
        <v>263</v>
      </c>
      <c r="P11" s="228">
        <v>0.5</v>
      </c>
      <c r="Q11" s="229" t="s">
        <v>259</v>
      </c>
      <c r="R11" s="228">
        <v>0.43</v>
      </c>
      <c r="S11" s="229" t="s">
        <v>257</v>
      </c>
      <c r="T11" s="198"/>
      <c r="U11" s="198">
        <v>4</v>
      </c>
      <c r="V11" s="202" t="s">
        <v>121</v>
      </c>
      <c r="W11" s="203">
        <v>18</v>
      </c>
      <c r="X11" s="204">
        <v>2.9</v>
      </c>
      <c r="Y11" s="204">
        <v>41.1</v>
      </c>
      <c r="Z11" s="204">
        <v>9.8000000000000007</v>
      </c>
      <c r="AA11" s="204"/>
      <c r="AB11" s="204"/>
      <c r="AC11" s="204"/>
      <c r="AD11" s="204">
        <v>0.6</v>
      </c>
      <c r="AE11" s="204">
        <f t="shared" si="0"/>
        <v>27.600000000000009</v>
      </c>
      <c r="AF11" s="210">
        <f>AF$32</f>
        <v>0.42055555555555557</v>
      </c>
      <c r="AG11" s="276">
        <f>AG$32</f>
        <v>0.676111111111111</v>
      </c>
      <c r="AH11" s="264">
        <f t="shared" si="1"/>
        <v>0.3</v>
      </c>
      <c r="AI11"/>
    </row>
    <row r="12" spans="1:35" ht="26.25" thickBot="1">
      <c r="B12" s="237" t="s">
        <v>136</v>
      </c>
      <c r="C12" s="238" t="s">
        <v>78</v>
      </c>
      <c r="D12" s="239">
        <v>0.05</v>
      </c>
      <c r="E12" s="240" t="s">
        <v>167</v>
      </c>
      <c r="F12" s="241">
        <v>0.09</v>
      </c>
      <c r="G12" s="242" t="s">
        <v>174</v>
      </c>
      <c r="H12" s="239">
        <v>6.5000000000000002E-2</v>
      </c>
      <c r="I12" s="240" t="s">
        <v>166</v>
      </c>
      <c r="J12" s="241">
        <v>0.17</v>
      </c>
      <c r="K12" s="240" t="s">
        <v>177</v>
      </c>
      <c r="M12" s="156"/>
      <c r="N12" s="156"/>
      <c r="O12" s="232" t="s">
        <v>267</v>
      </c>
      <c r="P12" s="228">
        <v>0.6</v>
      </c>
      <c r="Q12" s="229" t="s">
        <v>260</v>
      </c>
      <c r="R12" s="228">
        <v>0.24</v>
      </c>
      <c r="S12" s="229" t="s">
        <v>258</v>
      </c>
      <c r="U12" s="198">
        <v>5</v>
      </c>
      <c r="V12" s="202" t="s">
        <v>215</v>
      </c>
      <c r="W12" s="203">
        <v>7.7</v>
      </c>
      <c r="X12" s="204">
        <v>1.7</v>
      </c>
      <c r="Y12" s="204">
        <v>53.9</v>
      </c>
      <c r="Z12" s="204">
        <v>7</v>
      </c>
      <c r="AA12" s="204"/>
      <c r="AB12" s="204"/>
      <c r="AC12" s="204"/>
      <c r="AD12" s="204">
        <v>1.1000000000000001</v>
      </c>
      <c r="AE12" s="204">
        <f t="shared" si="0"/>
        <v>28.600000000000009</v>
      </c>
      <c r="AF12" s="210">
        <v>0.28999999999999998</v>
      </c>
      <c r="AG12" s="276">
        <v>0.69</v>
      </c>
      <c r="AH12" s="264">
        <f t="shared" si="1"/>
        <v>0.28000000000000003</v>
      </c>
      <c r="AI12"/>
    </row>
    <row r="13" spans="1:35" ht="12.75" customHeight="1">
      <c r="I13" s="93"/>
      <c r="M13" s="156"/>
      <c r="N13" s="156"/>
      <c r="O13" s="854" t="s">
        <v>264</v>
      </c>
      <c r="P13" s="855"/>
      <c r="Q13" s="855"/>
      <c r="R13" s="855"/>
      <c r="S13" s="856"/>
      <c r="U13" s="198">
        <v>6</v>
      </c>
      <c r="V13" s="202" t="s">
        <v>216</v>
      </c>
      <c r="W13" s="203">
        <v>16.8</v>
      </c>
      <c r="X13" s="204">
        <v>2.5</v>
      </c>
      <c r="Y13" s="204">
        <v>43.4</v>
      </c>
      <c r="Z13" s="204">
        <v>6.5</v>
      </c>
      <c r="AA13" s="205"/>
      <c r="AB13" s="204"/>
      <c r="AC13" s="204"/>
      <c r="AD13" s="205"/>
      <c r="AE13" s="204">
        <f t="shared" si="0"/>
        <v>30.799999999999997</v>
      </c>
      <c r="AF13" s="210">
        <v>0.28999999999999998</v>
      </c>
      <c r="AG13" s="276">
        <v>0.69</v>
      </c>
      <c r="AH13" s="264">
        <f t="shared" si="1"/>
        <v>0.28000000000000003</v>
      </c>
      <c r="AI13"/>
    </row>
    <row r="14" spans="1:35">
      <c r="A14" s="93"/>
      <c r="B14" s="94" t="s">
        <v>58</v>
      </c>
      <c r="C14" s="93"/>
      <c r="D14" s="93"/>
      <c r="E14" s="93"/>
      <c r="F14" s="93"/>
      <c r="G14" s="93"/>
      <c r="H14" s="93"/>
      <c r="I14" s="93"/>
      <c r="J14" s="93"/>
      <c r="K14" s="93"/>
      <c r="L14" s="93"/>
      <c r="M14" s="156"/>
      <c r="N14" s="156"/>
      <c r="O14" s="432" t="s">
        <v>230</v>
      </c>
      <c r="P14" s="228"/>
      <c r="Q14" s="229"/>
      <c r="R14" s="228"/>
      <c r="S14" s="229"/>
      <c r="U14" s="198">
        <v>7</v>
      </c>
      <c r="V14" s="202" t="s">
        <v>217</v>
      </c>
      <c r="W14" s="203">
        <v>16.5</v>
      </c>
      <c r="X14" s="204">
        <v>2.5</v>
      </c>
      <c r="Y14" s="204">
        <v>51.1</v>
      </c>
      <c r="Z14" s="204">
        <v>2</v>
      </c>
      <c r="AA14" s="205"/>
      <c r="AB14" s="204"/>
      <c r="AC14" s="204"/>
      <c r="AD14" s="205"/>
      <c r="AE14" s="204">
        <f t="shared" si="0"/>
        <v>27.900000000000006</v>
      </c>
      <c r="AF14" s="210">
        <v>0.28999999999999998</v>
      </c>
      <c r="AG14" s="276">
        <v>0.69</v>
      </c>
      <c r="AH14" s="264">
        <f t="shared" si="1"/>
        <v>0.28000000000000003</v>
      </c>
      <c r="AI14"/>
    </row>
    <row r="15" spans="1:35" ht="13.5" thickBot="1">
      <c r="M15" s="156"/>
      <c r="N15" s="156"/>
      <c r="O15" s="433" t="s">
        <v>231</v>
      </c>
      <c r="P15" s="228"/>
      <c r="Q15" s="229"/>
      <c r="R15" s="228"/>
      <c r="S15" s="229"/>
      <c r="U15" s="198">
        <v>8</v>
      </c>
      <c r="V15" s="202" t="s">
        <v>122</v>
      </c>
      <c r="W15" s="203">
        <v>25</v>
      </c>
      <c r="X15" s="204"/>
      <c r="Y15" s="204">
        <v>23</v>
      </c>
      <c r="Z15" s="204">
        <v>15</v>
      </c>
      <c r="AA15" s="204"/>
      <c r="AB15" s="204"/>
      <c r="AC15" s="204"/>
      <c r="AD15" s="204"/>
      <c r="AE15" s="204">
        <f t="shared" si="0"/>
        <v>37</v>
      </c>
      <c r="AF15" s="210">
        <v>0.28999999999999998</v>
      </c>
      <c r="AG15" s="276">
        <v>0.69</v>
      </c>
      <c r="AH15" s="264">
        <f t="shared" si="1"/>
        <v>0.27</v>
      </c>
      <c r="AI15"/>
    </row>
    <row r="16" spans="1:35" ht="13.5" thickBot="1">
      <c r="C16" s="95" t="s">
        <v>59</v>
      </c>
      <c r="D16" s="96" t="s">
        <v>60</v>
      </c>
      <c r="E16" s="97" t="s">
        <v>61</v>
      </c>
      <c r="G16" s="337" t="s">
        <v>62</v>
      </c>
      <c r="N16" s="156"/>
      <c r="O16" s="433" t="s">
        <v>232</v>
      </c>
      <c r="P16" s="228"/>
      <c r="Q16" s="229"/>
      <c r="R16" s="228"/>
      <c r="S16" s="229"/>
      <c r="U16" s="198">
        <v>9</v>
      </c>
      <c r="V16" s="202" t="s">
        <v>218</v>
      </c>
      <c r="W16" s="203">
        <v>9.8000000000000007</v>
      </c>
      <c r="X16" s="204">
        <v>1</v>
      </c>
      <c r="Y16" s="204">
        <v>40.4</v>
      </c>
      <c r="Z16" s="204">
        <v>4.4000000000000004</v>
      </c>
      <c r="AA16" s="204"/>
      <c r="AB16" s="204"/>
      <c r="AC16" s="204"/>
      <c r="AD16" s="204"/>
      <c r="AE16" s="204">
        <f t="shared" si="0"/>
        <v>44.4</v>
      </c>
      <c r="AF16" s="210">
        <v>0.28999999999999998</v>
      </c>
      <c r="AG16" s="276">
        <v>0.69</v>
      </c>
      <c r="AH16" s="264">
        <f t="shared" si="1"/>
        <v>0.22</v>
      </c>
      <c r="AI16"/>
    </row>
    <row r="17" spans="1:35" ht="13.5" thickBot="1">
      <c r="A17" s="89">
        <v>1</v>
      </c>
      <c r="B17" s="398" t="s">
        <v>44</v>
      </c>
      <c r="C17" s="98" t="s">
        <v>63</v>
      </c>
      <c r="D17" s="99"/>
      <c r="E17" s="100" t="s">
        <v>64</v>
      </c>
      <c r="G17" s="338">
        <v>4</v>
      </c>
      <c r="M17" s="93"/>
      <c r="O17" s="433" t="s">
        <v>233</v>
      </c>
      <c r="P17" s="228"/>
      <c r="Q17" s="229"/>
      <c r="R17" s="228"/>
      <c r="S17" s="229"/>
      <c r="U17" s="198">
        <v>10</v>
      </c>
      <c r="V17" s="202" t="s">
        <v>219</v>
      </c>
      <c r="W17" s="203">
        <v>21.8</v>
      </c>
      <c r="X17" s="204">
        <v>4.7</v>
      </c>
      <c r="Y17" s="204">
        <v>30.1</v>
      </c>
      <c r="Z17" s="204">
        <v>7.5</v>
      </c>
      <c r="AA17" s="204"/>
      <c r="AB17" s="204"/>
      <c r="AC17" s="204"/>
      <c r="AD17" s="204">
        <v>1.4</v>
      </c>
      <c r="AE17" s="204">
        <f t="shared" si="0"/>
        <v>34.5</v>
      </c>
      <c r="AF17" s="210">
        <v>0.38</v>
      </c>
      <c r="AG17" s="213">
        <v>0.9</v>
      </c>
      <c r="AH17" s="264">
        <f t="shared" si="1"/>
        <v>0.27</v>
      </c>
      <c r="AI17"/>
    </row>
    <row r="18" spans="1:35" ht="13.5" thickBot="1">
      <c r="A18" s="89">
        <v>2</v>
      </c>
      <c r="B18" s="398" t="s">
        <v>65</v>
      </c>
      <c r="C18" s="101" t="s">
        <v>63</v>
      </c>
      <c r="D18" s="102"/>
      <c r="E18" s="103" t="s">
        <v>66</v>
      </c>
      <c r="O18" s="231" t="s">
        <v>135</v>
      </c>
      <c r="P18" s="441"/>
      <c r="Q18" s="442" t="s">
        <v>277</v>
      </c>
      <c r="R18" s="441">
        <v>0.05</v>
      </c>
      <c r="S18" s="442" t="s">
        <v>137</v>
      </c>
      <c r="U18" s="198">
        <v>11</v>
      </c>
      <c r="V18" s="202" t="s">
        <v>220</v>
      </c>
      <c r="W18" s="203">
        <v>30.6</v>
      </c>
      <c r="X18" s="204">
        <v>2</v>
      </c>
      <c r="Y18" s="204">
        <v>23.8</v>
      </c>
      <c r="Z18" s="204">
        <v>10</v>
      </c>
      <c r="AA18" s="204"/>
      <c r="AB18" s="204"/>
      <c r="AC18" s="204"/>
      <c r="AD18" s="204"/>
      <c r="AE18" s="204">
        <f t="shared" si="0"/>
        <v>33.599999999999994</v>
      </c>
      <c r="AF18" s="210">
        <v>0.64</v>
      </c>
      <c r="AG18" s="213">
        <v>0.47</v>
      </c>
      <c r="AH18" s="264">
        <f t="shared" si="1"/>
        <v>0.28000000000000003</v>
      </c>
      <c r="AI18"/>
    </row>
    <row r="19" spans="1:35" s="93" customFormat="1" ht="26.25" thickBot="1">
      <c r="A19" s="89">
        <v>3</v>
      </c>
      <c r="B19" s="398" t="s">
        <v>67</v>
      </c>
      <c r="C19" s="101" t="s">
        <v>68</v>
      </c>
      <c r="D19" s="102" t="s">
        <v>69</v>
      </c>
      <c r="E19" s="103"/>
      <c r="F19" s="89"/>
      <c r="G19" s="89"/>
      <c r="H19" s="89"/>
      <c r="I19" s="89"/>
      <c r="J19" s="89"/>
      <c r="K19" s="89"/>
      <c r="L19" s="89"/>
      <c r="M19" s="89"/>
      <c r="O19" s="438" t="s">
        <v>143</v>
      </c>
      <c r="P19" s="439"/>
      <c r="Q19" s="440" t="s">
        <v>277</v>
      </c>
      <c r="R19" s="439">
        <v>0.18</v>
      </c>
      <c r="S19" s="440" t="s">
        <v>156</v>
      </c>
      <c r="U19" s="198">
        <v>12</v>
      </c>
      <c r="V19" s="202" t="s">
        <v>123</v>
      </c>
      <c r="W19" s="203">
        <v>17</v>
      </c>
      <c r="X19" s="204"/>
      <c r="Y19" s="204">
        <v>36.9</v>
      </c>
      <c r="Z19" s="204">
        <v>10.6</v>
      </c>
      <c r="AA19" s="204"/>
      <c r="AB19" s="204"/>
      <c r="AC19" s="204"/>
      <c r="AD19" s="204"/>
      <c r="AE19" s="204">
        <f t="shared" si="0"/>
        <v>35.5</v>
      </c>
      <c r="AF19" s="210">
        <v>0.52</v>
      </c>
      <c r="AG19" s="213">
        <v>0.85</v>
      </c>
      <c r="AH19" s="264">
        <f t="shared" si="1"/>
        <v>0.27</v>
      </c>
      <c r="AI19"/>
    </row>
    <row r="20" spans="1:35" ht="26.25" thickBot="1">
      <c r="A20" s="104">
        <v>4</v>
      </c>
      <c r="B20" s="398" t="s">
        <v>98</v>
      </c>
      <c r="C20" s="105" t="s">
        <v>68</v>
      </c>
      <c r="D20" s="106" t="s">
        <v>97</v>
      </c>
      <c r="E20" s="107"/>
      <c r="O20" s="233" t="s">
        <v>23</v>
      </c>
      <c r="P20" s="412"/>
      <c r="Q20" s="413" t="s">
        <v>277</v>
      </c>
      <c r="R20" s="412">
        <v>0.15</v>
      </c>
      <c r="S20" s="413" t="s">
        <v>138</v>
      </c>
      <c r="U20" s="198">
        <v>13</v>
      </c>
      <c r="V20" s="202" t="s">
        <v>221</v>
      </c>
      <c r="W20" s="203">
        <v>27.5</v>
      </c>
      <c r="X20" s="204"/>
      <c r="Y20" s="204">
        <v>24.2</v>
      </c>
      <c r="Z20" s="204">
        <v>11</v>
      </c>
      <c r="AA20" s="204"/>
      <c r="AB20" s="204"/>
      <c r="AC20" s="204"/>
      <c r="AD20" s="204"/>
      <c r="AE20" s="204">
        <f t="shared" si="0"/>
        <v>37.299999999999997</v>
      </c>
      <c r="AF20" s="210">
        <v>0.56000000000000005</v>
      </c>
      <c r="AG20" s="213">
        <v>0.47</v>
      </c>
      <c r="AH20" s="264">
        <f t="shared" si="1"/>
        <v>0.27</v>
      </c>
      <c r="AI20"/>
    </row>
    <row r="21" spans="1:35" ht="26.25" thickBot="1">
      <c r="A21" s="104"/>
      <c r="B21" s="154"/>
      <c r="C21" s="104"/>
      <c r="D21" s="104"/>
      <c r="E21" s="104"/>
      <c r="O21" s="93"/>
      <c r="P21" s="93"/>
      <c r="Q21" s="93"/>
      <c r="R21" s="93"/>
      <c r="U21" s="198">
        <v>14</v>
      </c>
      <c r="V21" s="202" t="s">
        <v>222</v>
      </c>
      <c r="W21" s="203">
        <v>30</v>
      </c>
      <c r="X21" s="204"/>
      <c r="Y21" s="204">
        <v>36</v>
      </c>
      <c r="Z21" s="204">
        <v>24</v>
      </c>
      <c r="AA21" s="204"/>
      <c r="AB21" s="204"/>
      <c r="AC21" s="204"/>
      <c r="AD21" s="204"/>
      <c r="AE21" s="204">
        <f t="shared" si="0"/>
        <v>10</v>
      </c>
      <c r="AF21" s="210">
        <v>0.69</v>
      </c>
      <c r="AG21" s="213">
        <v>0.85</v>
      </c>
      <c r="AH21" s="264">
        <f t="shared" si="1"/>
        <v>0.39</v>
      </c>
      <c r="AI21"/>
    </row>
    <row r="22" spans="1:35" ht="26.25" thickBot="1">
      <c r="O22" s="339" t="s">
        <v>114</v>
      </c>
      <c r="P22" s="89">
        <v>1</v>
      </c>
      <c r="Q22" s="89" t="s">
        <v>145</v>
      </c>
      <c r="U22" s="198">
        <v>15</v>
      </c>
      <c r="V22" s="202" t="s">
        <v>223</v>
      </c>
      <c r="W22" s="203">
        <v>6</v>
      </c>
      <c r="X22" s="204"/>
      <c r="Y22" s="204">
        <v>67.5</v>
      </c>
      <c r="Z22" s="204">
        <v>2.5</v>
      </c>
      <c r="AA22" s="204"/>
      <c r="AB22" s="204"/>
      <c r="AC22" s="204"/>
      <c r="AD22" s="204"/>
      <c r="AE22" s="204">
        <f t="shared" si="0"/>
        <v>24</v>
      </c>
      <c r="AF22" s="210">
        <v>0.69</v>
      </c>
      <c r="AG22" s="213">
        <v>0.85</v>
      </c>
      <c r="AH22" s="264">
        <f t="shared" si="1"/>
        <v>0.3</v>
      </c>
      <c r="AI22"/>
    </row>
    <row r="23" spans="1:35" ht="13.5" thickBot="1">
      <c r="B23" s="89" t="s">
        <v>53</v>
      </c>
      <c r="O23" s="338">
        <v>1</v>
      </c>
      <c r="P23" s="89">
        <v>2</v>
      </c>
      <c r="Q23" s="89" t="s">
        <v>144</v>
      </c>
      <c r="U23" s="198">
        <v>16</v>
      </c>
      <c r="V23" s="202" t="s">
        <v>224</v>
      </c>
      <c r="W23" s="203">
        <v>23.2</v>
      </c>
      <c r="X23" s="204">
        <v>3.9</v>
      </c>
      <c r="Y23" s="204">
        <v>33.9</v>
      </c>
      <c r="Z23" s="204">
        <v>6.2</v>
      </c>
      <c r="AA23" s="204"/>
      <c r="AB23" s="204"/>
      <c r="AC23" s="204"/>
      <c r="AD23" s="204">
        <v>1.4</v>
      </c>
      <c r="AE23" s="204">
        <f t="shared" si="0"/>
        <v>31.399999999999991</v>
      </c>
      <c r="AF23" s="210">
        <v>0.65</v>
      </c>
      <c r="AG23" s="213">
        <v>0.57999999999999996</v>
      </c>
      <c r="AH23" s="264">
        <f t="shared" si="1"/>
        <v>0.28000000000000003</v>
      </c>
      <c r="AI23"/>
    </row>
    <row r="24" spans="1:35">
      <c r="B24" s="89" t="s">
        <v>54</v>
      </c>
      <c r="S24" s="93"/>
      <c r="U24" s="198">
        <v>17</v>
      </c>
      <c r="V24" s="202" t="s">
        <v>225</v>
      </c>
      <c r="W24" s="203">
        <v>13.7</v>
      </c>
      <c r="X24" s="204">
        <v>2.6</v>
      </c>
      <c r="Y24" s="204">
        <v>43.8</v>
      </c>
      <c r="Z24" s="204">
        <v>13.5</v>
      </c>
      <c r="AA24" s="204"/>
      <c r="AB24" s="204"/>
      <c r="AC24" s="204"/>
      <c r="AD24" s="204">
        <v>1.8</v>
      </c>
      <c r="AE24" s="204">
        <f t="shared" si="0"/>
        <v>24.600000000000009</v>
      </c>
      <c r="AF24" s="210">
        <v>0.21</v>
      </c>
      <c r="AG24" s="213">
        <v>0.5</v>
      </c>
      <c r="AH24" s="264">
        <f t="shared" si="1"/>
        <v>0.31</v>
      </c>
      <c r="AI24"/>
    </row>
    <row r="25" spans="1:35">
      <c r="B25" s="89" t="s">
        <v>55</v>
      </c>
      <c r="O25" s="104"/>
      <c r="P25" s="434"/>
      <c r="Q25" s="434"/>
      <c r="R25" s="435"/>
      <c r="S25" s="435"/>
      <c r="U25" s="198">
        <v>18</v>
      </c>
      <c r="V25" s="202" t="s">
        <v>226</v>
      </c>
      <c r="W25" s="203">
        <v>17.100000000000001</v>
      </c>
      <c r="X25" s="204">
        <v>2.6</v>
      </c>
      <c r="Y25" s="204">
        <v>44.9</v>
      </c>
      <c r="Z25" s="204">
        <v>4.7</v>
      </c>
      <c r="AA25" s="204"/>
      <c r="AB25" s="204"/>
      <c r="AC25" s="204"/>
      <c r="AD25" s="204">
        <v>0.7</v>
      </c>
      <c r="AE25" s="204">
        <f t="shared" si="0"/>
        <v>30</v>
      </c>
      <c r="AF25" s="210">
        <v>0.26</v>
      </c>
      <c r="AG25" s="213">
        <v>0.54</v>
      </c>
      <c r="AH25" s="264">
        <f t="shared" si="1"/>
        <v>0.28000000000000003</v>
      </c>
      <c r="AI25"/>
    </row>
    <row r="26" spans="1:35" ht="13.5" thickBot="1">
      <c r="B26" s="847" t="s">
        <v>70</v>
      </c>
      <c r="C26" s="847"/>
      <c r="D26" s="847"/>
      <c r="E26" s="847"/>
      <c r="F26" s="847"/>
      <c r="G26" s="847"/>
      <c r="H26" s="847"/>
      <c r="O26" s="104"/>
      <c r="P26" s="436"/>
      <c r="Q26" s="434"/>
      <c r="R26" s="436"/>
      <c r="S26" s="434"/>
      <c r="U26" s="198">
        <v>19</v>
      </c>
      <c r="V26" s="202" t="s">
        <v>124</v>
      </c>
      <c r="W26" s="206">
        <v>17</v>
      </c>
      <c r="X26" s="207">
        <v>5.0999999999999996</v>
      </c>
      <c r="Y26" s="207">
        <v>46.9</v>
      </c>
      <c r="Z26" s="207">
        <v>2.4</v>
      </c>
      <c r="AA26" s="207"/>
      <c r="AB26" s="207"/>
      <c r="AC26" s="207"/>
      <c r="AD26" s="207">
        <v>1.9</v>
      </c>
      <c r="AE26" s="207">
        <f t="shared" si="0"/>
        <v>26.699999999999989</v>
      </c>
      <c r="AF26" s="211">
        <v>0.49</v>
      </c>
      <c r="AG26" s="214">
        <v>0.83</v>
      </c>
      <c r="AH26" s="265">
        <f t="shared" si="1"/>
        <v>0.28999999999999998</v>
      </c>
      <c r="AI26"/>
    </row>
    <row r="27" spans="1:35">
      <c r="B27" s="848"/>
      <c r="C27" s="848"/>
      <c r="D27" s="848"/>
      <c r="E27" s="848"/>
      <c r="F27" s="848"/>
      <c r="G27" s="848"/>
      <c r="H27" s="848"/>
      <c r="O27" s="104"/>
      <c r="P27" s="437"/>
      <c r="Q27" s="104"/>
      <c r="R27" s="104"/>
      <c r="S27" s="104"/>
      <c r="U27" s="198"/>
      <c r="V27" s="200"/>
    </row>
    <row r="28" spans="1:35">
      <c r="B28" s="848"/>
      <c r="C28" s="848"/>
      <c r="D28" s="848"/>
      <c r="E28" s="848"/>
      <c r="F28" s="848"/>
      <c r="G28" s="848"/>
      <c r="H28" s="848"/>
      <c r="O28" s="104"/>
      <c r="P28" s="437"/>
      <c r="Q28" s="104"/>
      <c r="R28" s="104"/>
      <c r="S28" s="104"/>
      <c r="V28" s="200"/>
    </row>
    <row r="29" spans="1:35">
      <c r="B29" s="848"/>
      <c r="C29" s="848"/>
      <c r="D29" s="848"/>
      <c r="E29" s="848"/>
      <c r="F29" s="848"/>
      <c r="G29" s="848"/>
      <c r="H29" s="848"/>
      <c r="O29" s="429"/>
      <c r="P29" s="430"/>
      <c r="Q29" s="431"/>
      <c r="R29" s="104"/>
      <c r="W29" s="215">
        <f>AVERAGE(W8:W26)</f>
        <v>17.931578947368422</v>
      </c>
      <c r="X29" s="215">
        <f t="shared" ref="X29:AE29" si="2">AVERAGE(X8:X26)</f>
        <v>2.871428571428571</v>
      </c>
      <c r="Y29" s="215">
        <f t="shared" si="2"/>
        <v>39.521052631578939</v>
      </c>
      <c r="Z29" s="215">
        <f t="shared" si="2"/>
        <v>8.3368421052631572</v>
      </c>
      <c r="AA29" s="215"/>
      <c r="AB29" s="215"/>
      <c r="AC29" s="215"/>
      <c r="AD29" s="215">
        <f t="shared" si="2"/>
        <v>1.1600000000000001</v>
      </c>
      <c r="AE29" s="215">
        <f t="shared" si="2"/>
        <v>31.484210526315792</v>
      </c>
      <c r="AF29" s="215">
        <f>SUM(W29:AE29)</f>
        <v>101.30511278195488</v>
      </c>
    </row>
    <row r="30" spans="1:35">
      <c r="B30" s="848"/>
      <c r="C30" s="848"/>
      <c r="D30" s="848"/>
      <c r="E30" s="848"/>
      <c r="F30" s="848"/>
      <c r="G30" s="848"/>
      <c r="H30" s="848"/>
      <c r="O30" s="429"/>
      <c r="P30" s="430"/>
      <c r="Q30" s="431"/>
      <c r="R30" s="104"/>
      <c r="W30" s="216">
        <f t="shared" ref="W30:AE30" si="3">W29/$AF$29</f>
        <v>0.17700566590319725</v>
      </c>
      <c r="X30" s="216">
        <f t="shared" si="3"/>
        <v>2.8344359850908222E-2</v>
      </c>
      <c r="Y30" s="216">
        <f t="shared" si="3"/>
        <v>0.39011903295189543</v>
      </c>
      <c r="Z30" s="216">
        <f t="shared" si="3"/>
        <v>8.229438649564555E-2</v>
      </c>
      <c r="AA30" s="216">
        <f t="shared" si="3"/>
        <v>0</v>
      </c>
      <c r="AB30" s="216">
        <f t="shared" si="3"/>
        <v>0</v>
      </c>
      <c r="AC30" s="216">
        <f t="shared" si="3"/>
        <v>0</v>
      </c>
      <c r="AD30" s="216">
        <f t="shared" si="3"/>
        <v>1.145055731290422E-2</v>
      </c>
      <c r="AE30" s="216">
        <f t="shared" si="3"/>
        <v>0.31078599748544938</v>
      </c>
    </row>
    <row r="31" spans="1:35" ht="13.5" thickBot="1">
      <c r="O31" s="429"/>
      <c r="P31" s="430"/>
      <c r="Q31" s="431"/>
      <c r="R31" s="104"/>
    </row>
    <row r="32" spans="1:35" ht="13.5" thickBot="1">
      <c r="B32" s="108" t="s">
        <v>71</v>
      </c>
      <c r="O32" s="429"/>
      <c r="P32" s="430"/>
      <c r="Q32" s="431"/>
      <c r="R32" s="104"/>
      <c r="AE32" s="159" t="s">
        <v>178</v>
      </c>
      <c r="AF32" s="277">
        <f>AVERAGE(AF12:AF26,AF8:AF10)</f>
        <v>0.42055555555555557</v>
      </c>
      <c r="AG32" s="298">
        <f>AVERAGE(AG12:AG26,AG8:AG10)</f>
        <v>0.676111111111111</v>
      </c>
      <c r="AH32" s="299">
        <f>AVERAGE(AH8:AH26)</f>
        <v>0.27947368421052637</v>
      </c>
    </row>
    <row r="33" spans="2:18">
      <c r="O33" s="429"/>
      <c r="P33" s="430"/>
      <c r="Q33" s="431"/>
      <c r="R33" s="104"/>
    </row>
    <row r="34" spans="2:18">
      <c r="B34" s="89" t="s">
        <v>72</v>
      </c>
      <c r="O34" s="429"/>
      <c r="P34" s="430"/>
      <c r="Q34" s="431"/>
      <c r="R34" s="104"/>
    </row>
    <row r="35" spans="2:18">
      <c r="O35" s="429"/>
      <c r="P35" s="430"/>
      <c r="Q35" s="431"/>
      <c r="R35" s="104"/>
    </row>
    <row r="36" spans="2:18">
      <c r="B36" s="5" t="s">
        <v>73</v>
      </c>
      <c r="O36" s="429"/>
      <c r="P36" s="430"/>
      <c r="Q36" s="431"/>
      <c r="R36" s="104"/>
    </row>
    <row r="37" spans="2:18" ht="13.5" thickBot="1">
      <c r="O37" s="429"/>
      <c r="P37" s="430"/>
      <c r="Q37" s="431"/>
      <c r="R37" s="104"/>
    </row>
    <row r="38" spans="2:18" ht="14.25">
      <c r="B38" s="109" t="s">
        <v>74</v>
      </c>
      <c r="C38" s="849" t="s">
        <v>75</v>
      </c>
      <c r="D38" s="840"/>
      <c r="O38" s="429"/>
      <c r="P38" s="430"/>
      <c r="Q38" s="431"/>
      <c r="R38" s="104"/>
    </row>
    <row r="39" spans="2:18">
      <c r="B39" s="162">
        <v>35</v>
      </c>
      <c r="C39" s="852">
        <f>LN(2)/B39</f>
        <v>1.980420515885558E-2</v>
      </c>
      <c r="D39" s="853"/>
    </row>
    <row r="40" spans="2:18" ht="27">
      <c r="B40" s="399" t="s">
        <v>76</v>
      </c>
      <c r="C40" s="850" t="s">
        <v>77</v>
      </c>
      <c r="D40" s="851"/>
    </row>
    <row r="41" spans="2:18" ht="13.5" thickBot="1">
      <c r="B41" s="163">
        <v>0.05</v>
      </c>
      <c r="C41" s="845">
        <f>LN(2)/B41</f>
        <v>13.862943611198904</v>
      </c>
      <c r="D41" s="846"/>
    </row>
    <row r="51" spans="2:8">
      <c r="B51"/>
      <c r="C51"/>
      <c r="D51"/>
      <c r="E51"/>
      <c r="F51"/>
      <c r="G51"/>
      <c r="H51"/>
    </row>
    <row r="52" spans="2:8">
      <c r="B52"/>
      <c r="C52"/>
      <c r="D52"/>
      <c r="E52"/>
      <c r="F52"/>
      <c r="G52"/>
      <c r="H52"/>
    </row>
    <row r="53" spans="2:8">
      <c r="B53"/>
      <c r="C53"/>
      <c r="D53"/>
      <c r="E53"/>
      <c r="F53"/>
      <c r="G53"/>
      <c r="H53"/>
    </row>
    <row r="54" spans="2:8">
      <c r="B54"/>
      <c r="C54"/>
      <c r="D54"/>
      <c r="E54"/>
      <c r="F54"/>
      <c r="G54"/>
      <c r="H54"/>
    </row>
    <row r="55" spans="2:8">
      <c r="B55"/>
      <c r="C55"/>
      <c r="D55"/>
      <c r="E55"/>
      <c r="F55"/>
      <c r="G55"/>
      <c r="H55"/>
    </row>
    <row r="56" spans="2:8">
      <c r="B56"/>
      <c r="C56"/>
      <c r="D56"/>
      <c r="E56"/>
      <c r="F56"/>
      <c r="G56"/>
      <c r="H56"/>
    </row>
    <row r="57" spans="2:8">
      <c r="B57"/>
      <c r="C57"/>
      <c r="D57"/>
      <c r="E57"/>
      <c r="F57"/>
      <c r="G57"/>
      <c r="H57"/>
    </row>
    <row r="58" spans="2:8">
      <c r="B58"/>
      <c r="C58"/>
      <c r="D58"/>
      <c r="E58"/>
      <c r="F58"/>
      <c r="G58"/>
      <c r="H58"/>
    </row>
    <row r="59" spans="2:8">
      <c r="B59"/>
      <c r="C59"/>
      <c r="D59"/>
      <c r="E59"/>
      <c r="F59"/>
      <c r="G59"/>
      <c r="H59"/>
    </row>
    <row r="60" spans="2:8">
      <c r="B60"/>
      <c r="C60"/>
      <c r="D60"/>
      <c r="E60"/>
      <c r="F60"/>
      <c r="G60"/>
      <c r="H60"/>
    </row>
    <row r="61" spans="2:8">
      <c r="B61"/>
      <c r="C61"/>
      <c r="D61"/>
      <c r="E61"/>
      <c r="F61"/>
      <c r="G61"/>
      <c r="H61"/>
    </row>
    <row r="62" spans="2:8">
      <c r="B62"/>
      <c r="C62"/>
      <c r="D62"/>
      <c r="E62"/>
      <c r="F62"/>
      <c r="G62"/>
      <c r="H62"/>
    </row>
    <row r="63" spans="2:8">
      <c r="B63"/>
      <c r="C63"/>
      <c r="D63"/>
      <c r="E63"/>
      <c r="F63"/>
      <c r="G63"/>
      <c r="H63"/>
    </row>
    <row r="64" spans="2:8">
      <c r="B64"/>
      <c r="C64"/>
      <c r="D64"/>
      <c r="E64"/>
      <c r="F64"/>
      <c r="G64"/>
      <c r="H64"/>
    </row>
  </sheetData>
  <customSheetViews>
    <customSheetView guid="{B400968E-E9A7-41C3-9739-36597C9C6BC6}" showGridLines="0" showRuler="0">
      <pane ySplit="3" topLeftCell="A4" activePane="bottomLeft" state="frozenSplit"/>
      <selection pane="bottomLeft" activeCell="A4" sqref="A4"/>
      <pageMargins left="0.7" right="0.7" top="0.75" bottom="0.75" header="0.3" footer="0.3"/>
      <headerFooter alignWithMargins="0"/>
    </customSheetView>
  </customSheetViews>
  <mergeCells count="21">
    <mergeCell ref="P4:Q4"/>
    <mergeCell ref="R4:S4"/>
    <mergeCell ref="C41:D41"/>
    <mergeCell ref="B26:H30"/>
    <mergeCell ref="C38:D38"/>
    <mergeCell ref="C40:D40"/>
    <mergeCell ref="C39:D39"/>
    <mergeCell ref="O13:S13"/>
    <mergeCell ref="B2:H3"/>
    <mergeCell ref="D6:E6"/>
    <mergeCell ref="F6:G6"/>
    <mergeCell ref="D5:G5"/>
    <mergeCell ref="H5:K5"/>
    <mergeCell ref="AG5:AG7"/>
    <mergeCell ref="AH5:AH7"/>
    <mergeCell ref="B8:B9"/>
    <mergeCell ref="H6:I6"/>
    <mergeCell ref="J6:K6"/>
    <mergeCell ref="B7:C7"/>
    <mergeCell ref="W6:AE6"/>
    <mergeCell ref="AF5:AF7"/>
  </mergeCells>
  <phoneticPr fontId="16" type="noConversion"/>
  <pageMargins left="0.7" right="0.69" top="1" bottom="1" header="0.5" footer="0.5"/>
  <headerFooter alignWithMargins="0"/>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2:W99"/>
  <sheetViews>
    <sheetView showGridLines="0" topLeftCell="A11" workbookViewId="0">
      <selection activeCell="E19" sqref="E19"/>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250" t="s">
        <v>102</v>
      </c>
      <c r="C2" s="251"/>
      <c r="D2" s="251"/>
      <c r="E2" s="252"/>
      <c r="F2" s="253"/>
      <c r="G2" s="253"/>
      <c r="H2" s="253"/>
      <c r="I2" s="253"/>
      <c r="J2" s="253"/>
      <c r="K2" s="253"/>
    </row>
    <row r="3" spans="1:23" ht="15">
      <c r="B3" s="275" t="str">
        <f>IF(Select2=2,"This sheet applies only to the waste compositon option and can be deleted when the bulk waste option has been chosen","")</f>
        <v/>
      </c>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293">
        <f>Parameters!O15</f>
        <v>0.38</v>
      </c>
      <c r="O6" s="257"/>
      <c r="P6" s="258"/>
      <c r="Q6" s="249"/>
      <c r="R6" s="128" t="s">
        <v>9</v>
      </c>
      <c r="S6" s="129"/>
      <c r="T6" s="129"/>
      <c r="U6" s="133"/>
      <c r="V6" s="140" t="s">
        <v>9</v>
      </c>
      <c r="W6" s="293">
        <f>Parameters!R15</f>
        <v>0.15</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Parameters!O34</f>
        <v>0.4</v>
      </c>
      <c r="O8" s="67"/>
      <c r="P8" s="67"/>
      <c r="Q8" s="249"/>
      <c r="R8" s="128" t="s">
        <v>192</v>
      </c>
      <c r="S8" s="129"/>
      <c r="T8" s="129"/>
      <c r="U8" s="133"/>
      <c r="V8" s="140" t="s">
        <v>188</v>
      </c>
      <c r="W8" s="134">
        <f>Parameters!O34</f>
        <v>0.4</v>
      </c>
    </row>
    <row r="9" spans="1:23" ht="15.75">
      <c r="F9" s="279" t="s">
        <v>190</v>
      </c>
      <c r="G9" s="280"/>
      <c r="H9" s="280"/>
      <c r="I9" s="281"/>
      <c r="J9" s="282" t="s">
        <v>189</v>
      </c>
      <c r="K9" s="288">
        <f>LN(2)/$K$8</f>
        <v>1.732867951399863</v>
      </c>
      <c r="O9" s="67"/>
      <c r="P9" s="67"/>
      <c r="Q9" s="249"/>
      <c r="R9" s="279" t="s">
        <v>190</v>
      </c>
      <c r="S9" s="280"/>
      <c r="T9" s="280"/>
      <c r="U9" s="281"/>
      <c r="V9" s="282" t="s">
        <v>189</v>
      </c>
      <c r="W9" s="288">
        <f>LN(2)/$W$8</f>
        <v>1.732867951399863</v>
      </c>
    </row>
    <row r="10" spans="1:23">
      <c r="F10" s="130" t="s">
        <v>84</v>
      </c>
      <c r="G10" s="131"/>
      <c r="H10" s="131"/>
      <c r="I10" s="132"/>
      <c r="J10" s="141" t="s">
        <v>148</v>
      </c>
      <c r="K10" s="69">
        <f>EXP(-$K$8)</f>
        <v>0.67032004603563933</v>
      </c>
      <c r="O10" s="67"/>
      <c r="P10" s="67"/>
      <c r="Q10" s="249"/>
      <c r="R10" s="130" t="s">
        <v>84</v>
      </c>
      <c r="S10" s="131"/>
      <c r="T10" s="131"/>
      <c r="U10" s="132"/>
      <c r="V10" s="141" t="s">
        <v>148</v>
      </c>
      <c r="W10" s="69">
        <f>EXP(-$W$8)</f>
        <v>0.67032004603563933</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Amnt_Deposited!C14</f>
        <v>3.9557694527999998</v>
      </c>
      <c r="D19" s="451">
        <f>Dry_Matter_Content!C6</f>
        <v>0.59</v>
      </c>
      <c r="E19" s="318">
        <f>MCF!R18</f>
        <v>0.8</v>
      </c>
      <c r="F19" s="150">
        <f>C19*D19*$K$6*DOCF*E19</f>
        <v>0.35475340452710397</v>
      </c>
      <c r="G19" s="85">
        <f t="shared" ref="G19:G50" si="0">F19*$K$12</f>
        <v>0.35475340452710397</v>
      </c>
      <c r="H19" s="85">
        <f t="shared" ref="H19:H50" si="1">F19*(1-$K$12)</f>
        <v>0</v>
      </c>
      <c r="I19" s="85">
        <f t="shared" ref="I19:I50" si="2">G19+I18*$K$10</f>
        <v>0.35475340452710397</v>
      </c>
      <c r="J19" s="85">
        <f t="shared" ref="J19:J50" si="3">I18*(1-$K$10)+H19</f>
        <v>0</v>
      </c>
      <c r="K19" s="86">
        <f>J19*CH4_fraction*conv</f>
        <v>0</v>
      </c>
      <c r="O19" s="115">
        <f>Amnt_Deposited!B14</f>
        <v>2000</v>
      </c>
      <c r="P19" s="118">
        <f>Amnt_Deposited!C14</f>
        <v>3.9557694527999998</v>
      </c>
      <c r="Q19" s="318">
        <f>MCF!R18</f>
        <v>0.8</v>
      </c>
      <c r="R19" s="150">
        <f t="shared" ref="R19:R50" si="4">P19*$W$6*DOCF*Q19</f>
        <v>0.237346167168</v>
      </c>
      <c r="S19" s="85">
        <f>R19*$W$12</f>
        <v>0.237346167168</v>
      </c>
      <c r="T19" s="85">
        <f>R19*(1-$W$12)</f>
        <v>0</v>
      </c>
      <c r="U19" s="85">
        <f>S19+U18*$W$10</f>
        <v>0.237346167168</v>
      </c>
      <c r="V19" s="85">
        <f>U18*(1-$W$10)+T19</f>
        <v>0</v>
      </c>
      <c r="W19" s="86">
        <f>V19*CH4_fraction*conv</f>
        <v>0</v>
      </c>
    </row>
    <row r="20" spans="2:23">
      <c r="B20" s="116">
        <f>Amnt_Deposited!B15</f>
        <v>2001</v>
      </c>
      <c r="C20" s="119">
        <f>Amnt_Deposited!C15</f>
        <v>4.0711550002200001</v>
      </c>
      <c r="D20" s="453">
        <f>Dry_Matter_Content!C7</f>
        <v>0.59</v>
      </c>
      <c r="E20" s="319">
        <f>MCF!R19</f>
        <v>0.8</v>
      </c>
      <c r="F20" s="87">
        <f t="shared" ref="F20:F50" si="5">C20*D20*$K$6*DOCF*E20</f>
        <v>0.36510118041972961</v>
      </c>
      <c r="G20" s="87">
        <f t="shared" si="0"/>
        <v>0.36510118041972961</v>
      </c>
      <c r="H20" s="87">
        <f t="shared" si="1"/>
        <v>0</v>
      </c>
      <c r="I20" s="87">
        <f t="shared" si="2"/>
        <v>0.6028994988736377</v>
      </c>
      <c r="J20" s="87">
        <f t="shared" si="3"/>
        <v>0.11695508607319585</v>
      </c>
      <c r="K20" s="120">
        <f>J20*CH4_fraction*conv</f>
        <v>7.7970057382130559E-2</v>
      </c>
      <c r="M20" s="428"/>
      <c r="O20" s="116">
        <f>Amnt_Deposited!B15</f>
        <v>2001</v>
      </c>
      <c r="P20" s="119">
        <f>Amnt_Deposited!C15</f>
        <v>4.0711550002200001</v>
      </c>
      <c r="Q20" s="319">
        <f>MCF!R19</f>
        <v>0.8</v>
      </c>
      <c r="R20" s="87">
        <f t="shared" si="4"/>
        <v>0.24426930001320002</v>
      </c>
      <c r="S20" s="87">
        <f>R20*$W$12</f>
        <v>0.24426930001320002</v>
      </c>
      <c r="T20" s="87">
        <f>R20*(1-$W$12)</f>
        <v>0</v>
      </c>
      <c r="U20" s="87">
        <f>S20+U19*$W$10</f>
        <v>0.40336719371563634</v>
      </c>
      <c r="V20" s="87">
        <f>U19*(1-$W$10)+T20</f>
        <v>7.8248273465563692E-2</v>
      </c>
      <c r="W20" s="120">
        <f>V20*CH4_fraction*conv</f>
        <v>5.2165515643709123E-2</v>
      </c>
    </row>
    <row r="21" spans="2:23">
      <c r="B21" s="116">
        <f>Amnt_Deposited!B16</f>
        <v>2002</v>
      </c>
      <c r="C21" s="119">
        <f>Amnt_Deposited!C16</f>
        <v>4.2523449011999999</v>
      </c>
      <c r="D21" s="453">
        <f>Dry_Matter_Content!C8</f>
        <v>0.59</v>
      </c>
      <c r="E21" s="319">
        <f>MCF!R20</f>
        <v>0.8</v>
      </c>
      <c r="F21" s="87">
        <f t="shared" si="5"/>
        <v>0.38135029073961596</v>
      </c>
      <c r="G21" s="87">
        <f t="shared" si="0"/>
        <v>0.38135029073961596</v>
      </c>
      <c r="H21" s="87">
        <f t="shared" si="1"/>
        <v>0</v>
      </c>
      <c r="I21" s="87">
        <f t="shared" si="2"/>
        <v>0.78548591057945671</v>
      </c>
      <c r="J21" s="87">
        <f t="shared" si="3"/>
        <v>0.198763879033797</v>
      </c>
      <c r="K21" s="120">
        <f t="shared" ref="K21:K84" si="6">J21*CH4_fraction*conv</f>
        <v>0.132509252689198</v>
      </c>
      <c r="O21" s="116">
        <f>Amnt_Deposited!B16</f>
        <v>2002</v>
      </c>
      <c r="P21" s="119">
        <f>Amnt_Deposited!C16</f>
        <v>4.2523449011999999</v>
      </c>
      <c r="Q21" s="319">
        <f>MCF!R20</f>
        <v>0.8</v>
      </c>
      <c r="R21" s="87">
        <f t="shared" si="4"/>
        <v>0.25514069407199996</v>
      </c>
      <c r="S21" s="87">
        <f t="shared" ref="S21:S84" si="7">R21*$W$12</f>
        <v>0.25514069407199996</v>
      </c>
      <c r="T21" s="87">
        <f t="shared" ref="T21:T84" si="8">R21*(1-$W$12)</f>
        <v>0</v>
      </c>
      <c r="U21" s="87">
        <f t="shared" ref="U21:U84" si="9">S21+U20*$W$10</f>
        <v>0.52552580993273201</v>
      </c>
      <c r="V21" s="87">
        <f t="shared" ref="V21:V84" si="10">U20*(1-$W$10)+T21</f>
        <v>0.13298207785490435</v>
      </c>
      <c r="W21" s="120">
        <f t="shared" ref="W21:W84" si="11">V21*CH4_fraction*conv</f>
        <v>8.8654718569936231E-2</v>
      </c>
    </row>
    <row r="22" spans="2:23">
      <c r="B22" s="116">
        <f>Amnt_Deposited!B17</f>
        <v>2003</v>
      </c>
      <c r="C22" s="119">
        <f>Amnt_Deposited!C17</f>
        <v>4.3855893318599994</v>
      </c>
      <c r="D22" s="453">
        <f>Dry_Matter_Content!C9</f>
        <v>0.59</v>
      </c>
      <c r="E22" s="319">
        <f>MCF!R21</f>
        <v>0.8</v>
      </c>
      <c r="F22" s="87">
        <f t="shared" si="5"/>
        <v>0.39329965128120475</v>
      </c>
      <c r="G22" s="87">
        <f t="shared" si="0"/>
        <v>0.39329965128120475</v>
      </c>
      <c r="H22" s="87">
        <f t="shared" si="1"/>
        <v>0</v>
      </c>
      <c r="I22" s="87">
        <f t="shared" si="2"/>
        <v>0.91982660302117236</v>
      </c>
      <c r="J22" s="87">
        <f t="shared" si="3"/>
        <v>0.25895895883948922</v>
      </c>
      <c r="K22" s="120">
        <f t="shared" si="6"/>
        <v>0.17263930589299281</v>
      </c>
      <c r="N22" s="290"/>
      <c r="O22" s="116">
        <f>Amnt_Deposited!B17</f>
        <v>2003</v>
      </c>
      <c r="P22" s="119">
        <f>Amnt_Deposited!C17</f>
        <v>4.3855893318599994</v>
      </c>
      <c r="Q22" s="319">
        <f>MCF!R21</f>
        <v>0.8</v>
      </c>
      <c r="R22" s="87">
        <f t="shared" si="4"/>
        <v>0.26313535991159998</v>
      </c>
      <c r="S22" s="87">
        <f t="shared" si="7"/>
        <v>0.26313535991159998</v>
      </c>
      <c r="T22" s="87">
        <f t="shared" si="8"/>
        <v>0</v>
      </c>
      <c r="U22" s="87">
        <f t="shared" si="9"/>
        <v>0.6154058450186255</v>
      </c>
      <c r="V22" s="87">
        <f t="shared" si="10"/>
        <v>0.17325532482570644</v>
      </c>
      <c r="W22" s="120">
        <f t="shared" si="11"/>
        <v>0.11550354988380429</v>
      </c>
    </row>
    <row r="23" spans="2:23">
      <c r="B23" s="116">
        <f>Amnt_Deposited!B18</f>
        <v>2004</v>
      </c>
      <c r="C23" s="119">
        <f>Amnt_Deposited!C18</f>
        <v>4.5135511799400012</v>
      </c>
      <c r="D23" s="453">
        <f>Dry_Matter_Content!C10</f>
        <v>0.59</v>
      </c>
      <c r="E23" s="319">
        <f>MCF!R22</f>
        <v>0.8</v>
      </c>
      <c r="F23" s="87">
        <f t="shared" si="5"/>
        <v>0.40477526981701928</v>
      </c>
      <c r="G23" s="87">
        <f t="shared" si="0"/>
        <v>0.40477526981701928</v>
      </c>
      <c r="H23" s="87">
        <f t="shared" si="1"/>
        <v>0</v>
      </c>
      <c r="I23" s="87">
        <f t="shared" si="2"/>
        <v>1.0213534806989772</v>
      </c>
      <c r="J23" s="87">
        <f t="shared" si="3"/>
        <v>0.30324839213921434</v>
      </c>
      <c r="K23" s="120">
        <f t="shared" si="6"/>
        <v>0.20216559475947621</v>
      </c>
      <c r="N23" s="290"/>
      <c r="O23" s="116">
        <f>Amnt_Deposited!B18</f>
        <v>2004</v>
      </c>
      <c r="P23" s="119">
        <f>Amnt_Deposited!C18</f>
        <v>4.5135511799400012</v>
      </c>
      <c r="Q23" s="319">
        <f>MCF!R22</f>
        <v>0.8</v>
      </c>
      <c r="R23" s="87">
        <f t="shared" si="4"/>
        <v>0.27081307079640005</v>
      </c>
      <c r="S23" s="87">
        <f t="shared" si="7"/>
        <v>0.27081307079640005</v>
      </c>
      <c r="T23" s="87">
        <f t="shared" si="8"/>
        <v>0</v>
      </c>
      <c r="U23" s="87">
        <f t="shared" si="9"/>
        <v>0.6833319451598866</v>
      </c>
      <c r="V23" s="87">
        <f t="shared" si="10"/>
        <v>0.20288697065513894</v>
      </c>
      <c r="W23" s="120">
        <f t="shared" si="11"/>
        <v>0.1352579804367593</v>
      </c>
    </row>
    <row r="24" spans="2:23">
      <c r="B24" s="116">
        <f>Amnt_Deposited!B19</f>
        <v>2005</v>
      </c>
      <c r="C24" s="119">
        <f>Amnt_Deposited!C19</f>
        <v>4.7422575089999999</v>
      </c>
      <c r="D24" s="453">
        <f>Dry_Matter_Content!C11</f>
        <v>0.59</v>
      </c>
      <c r="E24" s="319">
        <f>MCF!R23</f>
        <v>0.8</v>
      </c>
      <c r="F24" s="87">
        <f t="shared" si="5"/>
        <v>0.42528565340712005</v>
      </c>
      <c r="G24" s="87">
        <f t="shared" si="0"/>
        <v>0.42528565340712005</v>
      </c>
      <c r="H24" s="87">
        <f t="shared" si="1"/>
        <v>0</v>
      </c>
      <c r="I24" s="87">
        <f t="shared" si="2"/>
        <v>1.1099193656079189</v>
      </c>
      <c r="J24" s="87">
        <f t="shared" si="3"/>
        <v>0.33671976849817836</v>
      </c>
      <c r="K24" s="120">
        <f t="shared" si="6"/>
        <v>0.22447984566545223</v>
      </c>
      <c r="N24" s="290"/>
      <c r="O24" s="116">
        <f>Amnt_Deposited!B19</f>
        <v>2005</v>
      </c>
      <c r="P24" s="119">
        <f>Amnt_Deposited!C19</f>
        <v>4.7422575089999999</v>
      </c>
      <c r="Q24" s="319">
        <f>MCF!R23</f>
        <v>0.8</v>
      </c>
      <c r="R24" s="87">
        <f t="shared" si="4"/>
        <v>0.28453545054000001</v>
      </c>
      <c r="S24" s="87">
        <f t="shared" si="7"/>
        <v>0.28453545054000001</v>
      </c>
      <c r="T24" s="87">
        <f t="shared" si="8"/>
        <v>0</v>
      </c>
      <c r="U24" s="87">
        <f t="shared" si="9"/>
        <v>0.7425865514771981</v>
      </c>
      <c r="V24" s="87">
        <f t="shared" si="10"/>
        <v>0.22528084422268846</v>
      </c>
      <c r="W24" s="120">
        <f t="shared" si="11"/>
        <v>0.15018722948179231</v>
      </c>
    </row>
    <row r="25" spans="2:23">
      <c r="B25" s="116">
        <f>Amnt_Deposited!B20</f>
        <v>2006</v>
      </c>
      <c r="C25" s="119">
        <f>Amnt_Deposited!C20</f>
        <v>4.8738930312600006</v>
      </c>
      <c r="D25" s="453">
        <f>Dry_Matter_Content!C12</f>
        <v>0.59</v>
      </c>
      <c r="E25" s="319">
        <f>MCF!R24</f>
        <v>0.8</v>
      </c>
      <c r="F25" s="87">
        <f t="shared" si="5"/>
        <v>0.43709072704339685</v>
      </c>
      <c r="G25" s="87">
        <f t="shared" si="0"/>
        <v>0.43709072704339685</v>
      </c>
      <c r="H25" s="87">
        <f t="shared" si="1"/>
        <v>0</v>
      </c>
      <c r="I25" s="87">
        <f t="shared" si="2"/>
        <v>1.1810919272935447</v>
      </c>
      <c r="J25" s="87">
        <f t="shared" si="3"/>
        <v>0.36591816535777111</v>
      </c>
      <c r="K25" s="120">
        <f t="shared" si="6"/>
        <v>0.24394544357184739</v>
      </c>
      <c r="N25" s="290"/>
      <c r="O25" s="116">
        <f>Amnt_Deposited!B20</f>
        <v>2006</v>
      </c>
      <c r="P25" s="119">
        <f>Amnt_Deposited!C20</f>
        <v>4.8738930312600006</v>
      </c>
      <c r="Q25" s="319">
        <f>MCF!R24</f>
        <v>0.8</v>
      </c>
      <c r="R25" s="87">
        <f t="shared" si="4"/>
        <v>0.29243358187560003</v>
      </c>
      <c r="S25" s="87">
        <f t="shared" si="7"/>
        <v>0.29243358187560003</v>
      </c>
      <c r="T25" s="87">
        <f t="shared" si="8"/>
        <v>0</v>
      </c>
      <c r="U25" s="87">
        <f t="shared" si="9"/>
        <v>0.79020423324724209</v>
      </c>
      <c r="V25" s="87">
        <f t="shared" si="10"/>
        <v>0.24481590010555601</v>
      </c>
      <c r="W25" s="120">
        <f t="shared" si="11"/>
        <v>0.16321060007037066</v>
      </c>
    </row>
    <row r="26" spans="2:23">
      <c r="B26" s="116">
        <f>Amnt_Deposited!B21</f>
        <v>2007</v>
      </c>
      <c r="C26" s="119">
        <f>Amnt_Deposited!C21</f>
        <v>5.0070838316400001</v>
      </c>
      <c r="D26" s="453">
        <f>Dry_Matter_Content!C13</f>
        <v>0.59</v>
      </c>
      <c r="E26" s="319">
        <f>MCF!R25</f>
        <v>0.8</v>
      </c>
      <c r="F26" s="87">
        <f t="shared" si="5"/>
        <v>0.44903527802147525</v>
      </c>
      <c r="G26" s="87">
        <f t="shared" si="0"/>
        <v>0.44903527802147525</v>
      </c>
      <c r="H26" s="87">
        <f t="shared" si="1"/>
        <v>0</v>
      </c>
      <c r="I26" s="87">
        <f t="shared" si="2"/>
        <v>1.2407448730972062</v>
      </c>
      <c r="J26" s="87">
        <f t="shared" si="3"/>
        <v>0.38938233221781388</v>
      </c>
      <c r="K26" s="120">
        <f t="shared" si="6"/>
        <v>0.25958822147854255</v>
      </c>
      <c r="N26" s="290"/>
      <c r="O26" s="116">
        <f>Amnt_Deposited!B21</f>
        <v>2007</v>
      </c>
      <c r="P26" s="119">
        <f>Amnt_Deposited!C21</f>
        <v>5.0070838316400001</v>
      </c>
      <c r="Q26" s="319">
        <f>MCF!R25</f>
        <v>0.8</v>
      </c>
      <c r="R26" s="87">
        <f t="shared" si="4"/>
        <v>0.30042502989840003</v>
      </c>
      <c r="S26" s="87">
        <f t="shared" si="7"/>
        <v>0.30042502989840003</v>
      </c>
      <c r="T26" s="87">
        <f t="shared" si="8"/>
        <v>0</v>
      </c>
      <c r="U26" s="87">
        <f t="shared" si="9"/>
        <v>0.83011476790624839</v>
      </c>
      <c r="V26" s="87">
        <f t="shared" si="10"/>
        <v>0.26051449523939368</v>
      </c>
      <c r="W26" s="120">
        <f t="shared" si="11"/>
        <v>0.17367633015959577</v>
      </c>
    </row>
    <row r="27" spans="2:23">
      <c r="B27" s="116">
        <f>Amnt_Deposited!B22</f>
        <v>2008</v>
      </c>
      <c r="C27" s="119">
        <f>Amnt_Deposited!C22</f>
        <v>5.1412131619199997</v>
      </c>
      <c r="D27" s="453">
        <f>Dry_Matter_Content!C14</f>
        <v>0.59</v>
      </c>
      <c r="E27" s="319">
        <f>MCF!R26</f>
        <v>0.8</v>
      </c>
      <c r="F27" s="87">
        <f t="shared" si="5"/>
        <v>0.46106399636098561</v>
      </c>
      <c r="G27" s="87">
        <f t="shared" si="0"/>
        <v>0.46106399636098561</v>
      </c>
      <c r="H27" s="87">
        <f t="shared" si="1"/>
        <v>0</v>
      </c>
      <c r="I27" s="87">
        <f t="shared" si="2"/>
        <v>1.2927601568139884</v>
      </c>
      <c r="J27" s="87">
        <f t="shared" si="3"/>
        <v>0.40904871264420345</v>
      </c>
      <c r="K27" s="120">
        <f t="shared" si="6"/>
        <v>0.2726991417628023</v>
      </c>
      <c r="N27" s="290"/>
      <c r="O27" s="116">
        <f>Amnt_Deposited!B22</f>
        <v>2008</v>
      </c>
      <c r="P27" s="119">
        <f>Amnt_Deposited!C22</f>
        <v>5.1412131619199997</v>
      </c>
      <c r="Q27" s="319">
        <f>MCF!R26</f>
        <v>0.8</v>
      </c>
      <c r="R27" s="87">
        <f t="shared" si="4"/>
        <v>0.30847278971519998</v>
      </c>
      <c r="S27" s="87">
        <f t="shared" si="7"/>
        <v>0.30847278971519998</v>
      </c>
      <c r="T27" s="87">
        <f t="shared" si="8"/>
        <v>0</v>
      </c>
      <c r="U27" s="87">
        <f t="shared" si="9"/>
        <v>0.86491535915298046</v>
      </c>
      <c r="V27" s="87">
        <f t="shared" si="10"/>
        <v>0.27367219846846791</v>
      </c>
      <c r="W27" s="120">
        <f t="shared" si="11"/>
        <v>0.18244813231231194</v>
      </c>
    </row>
    <row r="28" spans="2:23">
      <c r="B28" s="116">
        <f>Amnt_Deposited!B23</f>
        <v>2009</v>
      </c>
      <c r="C28" s="119">
        <f>Amnt_Deposited!C23</f>
        <v>5.2755570133200003</v>
      </c>
      <c r="D28" s="453">
        <f>Dry_Matter_Content!C15</f>
        <v>0.59</v>
      </c>
      <c r="E28" s="319">
        <f>MCF!R27</f>
        <v>0.8</v>
      </c>
      <c r="F28" s="87">
        <f t="shared" si="5"/>
        <v>0.47311195295453762</v>
      </c>
      <c r="G28" s="87">
        <f t="shared" si="0"/>
        <v>0.47311195295453762</v>
      </c>
      <c r="H28" s="87">
        <f t="shared" si="1"/>
        <v>0</v>
      </c>
      <c r="I28" s="87">
        <f t="shared" si="2"/>
        <v>1.3396750007831306</v>
      </c>
      <c r="J28" s="87">
        <f t="shared" si="3"/>
        <v>0.42619710898539537</v>
      </c>
      <c r="K28" s="120">
        <f t="shared" si="6"/>
        <v>0.28413140599026354</v>
      </c>
      <c r="N28" s="290"/>
      <c r="O28" s="116">
        <f>Amnt_Deposited!B23</f>
        <v>2009</v>
      </c>
      <c r="P28" s="119">
        <f>Amnt_Deposited!C23</f>
        <v>5.2755570133200003</v>
      </c>
      <c r="Q28" s="319">
        <f>MCF!R27</f>
        <v>0.8</v>
      </c>
      <c r="R28" s="87">
        <f t="shared" si="4"/>
        <v>0.31653342079920005</v>
      </c>
      <c r="S28" s="87">
        <f t="shared" si="7"/>
        <v>0.31653342079920005</v>
      </c>
      <c r="T28" s="87">
        <f t="shared" si="8"/>
        <v>0</v>
      </c>
      <c r="U28" s="87">
        <f t="shared" si="9"/>
        <v>0.89630352416355752</v>
      </c>
      <c r="V28" s="87">
        <f t="shared" si="10"/>
        <v>0.2851452557886231</v>
      </c>
      <c r="W28" s="120">
        <f t="shared" si="11"/>
        <v>0.19009683719241538</v>
      </c>
    </row>
    <row r="29" spans="2:23">
      <c r="B29" s="116">
        <f>Amnt_Deposited!B24</f>
        <v>2010</v>
      </c>
      <c r="C29" s="119">
        <f>Amnt_Deposited!C24</f>
        <v>6.8549419441800001</v>
      </c>
      <c r="D29" s="453">
        <f>Dry_Matter_Content!C16</f>
        <v>0.59</v>
      </c>
      <c r="E29" s="319">
        <f>MCF!R28</f>
        <v>0.8</v>
      </c>
      <c r="F29" s="87">
        <f t="shared" si="5"/>
        <v>0.61475119355406249</v>
      </c>
      <c r="G29" s="87">
        <f t="shared" si="0"/>
        <v>0.61475119355406249</v>
      </c>
      <c r="H29" s="87">
        <f t="shared" si="1"/>
        <v>0</v>
      </c>
      <c r="I29" s="87">
        <f t="shared" si="2"/>
        <v>1.5127622017518059</v>
      </c>
      <c r="J29" s="87">
        <f t="shared" si="3"/>
        <v>0.44166399258538735</v>
      </c>
      <c r="K29" s="120">
        <f t="shared" si="6"/>
        <v>0.29444266172359157</v>
      </c>
      <c r="O29" s="116">
        <f>Amnt_Deposited!B24</f>
        <v>2010</v>
      </c>
      <c r="P29" s="119">
        <f>Amnt_Deposited!C24</f>
        <v>6.8549419441800001</v>
      </c>
      <c r="Q29" s="319">
        <f>MCF!R28</f>
        <v>0.8</v>
      </c>
      <c r="R29" s="87">
        <f t="shared" si="4"/>
        <v>0.41129651665080003</v>
      </c>
      <c r="S29" s="87">
        <f t="shared" si="7"/>
        <v>0.41129651665080003</v>
      </c>
      <c r="T29" s="87">
        <f t="shared" si="8"/>
        <v>0</v>
      </c>
      <c r="U29" s="87">
        <f t="shared" si="9"/>
        <v>1.0121067362300216</v>
      </c>
      <c r="V29" s="87">
        <f t="shared" si="10"/>
        <v>0.29549330458433587</v>
      </c>
      <c r="W29" s="120">
        <f t="shared" si="11"/>
        <v>0.19699553638955725</v>
      </c>
    </row>
    <row r="30" spans="2:23">
      <c r="B30" s="116">
        <f>Amnt_Deposited!B25</f>
        <v>2011</v>
      </c>
      <c r="C30" s="119">
        <f>Amnt_Deposited!C25</f>
        <v>6.5666621249999997</v>
      </c>
      <c r="D30" s="453">
        <f>Dry_Matter_Content!C17</f>
        <v>0.59</v>
      </c>
      <c r="E30" s="319">
        <f>MCF!R29</f>
        <v>0.8</v>
      </c>
      <c r="F30" s="87">
        <f t="shared" si="5"/>
        <v>0.58889825936999995</v>
      </c>
      <c r="G30" s="87">
        <f t="shared" si="0"/>
        <v>0.58889825936999995</v>
      </c>
      <c r="H30" s="87">
        <f t="shared" si="1"/>
        <v>0</v>
      </c>
      <c r="I30" s="87">
        <f t="shared" si="2"/>
        <v>1.6029330880892454</v>
      </c>
      <c r="J30" s="87">
        <f t="shared" si="3"/>
        <v>0.49872737303256026</v>
      </c>
      <c r="K30" s="120">
        <f t="shared" si="6"/>
        <v>0.33248491535504016</v>
      </c>
      <c r="O30" s="116">
        <f>Amnt_Deposited!B25</f>
        <v>2011</v>
      </c>
      <c r="P30" s="119">
        <f>Amnt_Deposited!C25</f>
        <v>6.5666621249999997</v>
      </c>
      <c r="Q30" s="319">
        <f>MCF!R29</f>
        <v>0.8</v>
      </c>
      <c r="R30" s="87">
        <f t="shared" si="4"/>
        <v>0.39399972750000001</v>
      </c>
      <c r="S30" s="87">
        <f t="shared" si="7"/>
        <v>0.39399972750000001</v>
      </c>
      <c r="T30" s="87">
        <f t="shared" si="8"/>
        <v>0</v>
      </c>
      <c r="U30" s="87">
        <f t="shared" si="9"/>
        <v>1.0724351615226886</v>
      </c>
      <c r="V30" s="87">
        <f t="shared" si="10"/>
        <v>0.33367130220733282</v>
      </c>
      <c r="W30" s="120">
        <f t="shared" si="11"/>
        <v>0.22244753480488855</v>
      </c>
    </row>
    <row r="31" spans="2:23">
      <c r="B31" s="116">
        <f>Amnt_Deposited!B26</f>
        <v>2012</v>
      </c>
      <c r="C31" s="119">
        <f>Amnt_Deposited!C26</f>
        <v>6.8645295756000007</v>
      </c>
      <c r="D31" s="453">
        <f>Dry_Matter_Content!C18</f>
        <v>0.59</v>
      </c>
      <c r="E31" s="319">
        <f>MCF!R30</f>
        <v>0.8</v>
      </c>
      <c r="F31" s="87">
        <f t="shared" si="5"/>
        <v>0.61561101233980819</v>
      </c>
      <c r="G31" s="87">
        <f t="shared" si="0"/>
        <v>0.61561101233980819</v>
      </c>
      <c r="H31" s="87">
        <f t="shared" si="1"/>
        <v>0</v>
      </c>
      <c r="I31" s="87">
        <f t="shared" si="2"/>
        <v>1.6900891937398406</v>
      </c>
      <c r="J31" s="87">
        <f t="shared" si="3"/>
        <v>0.52845490668921291</v>
      </c>
      <c r="K31" s="120">
        <f t="shared" si="6"/>
        <v>0.3523032711261419</v>
      </c>
      <c r="O31" s="116">
        <f>Amnt_Deposited!B26</f>
        <v>2012</v>
      </c>
      <c r="P31" s="119">
        <f>Amnt_Deposited!C26</f>
        <v>6.8645295756000007</v>
      </c>
      <c r="Q31" s="319">
        <f>MCF!R30</f>
        <v>0.8</v>
      </c>
      <c r="R31" s="87">
        <f t="shared" si="4"/>
        <v>0.4118717745360001</v>
      </c>
      <c r="S31" s="87">
        <f t="shared" si="7"/>
        <v>0.4118717745360001</v>
      </c>
      <c r="T31" s="87">
        <f t="shared" si="8"/>
        <v>0</v>
      </c>
      <c r="U31" s="87">
        <f t="shared" si="9"/>
        <v>1.1307465613781269</v>
      </c>
      <c r="V31" s="87">
        <f t="shared" si="10"/>
        <v>0.35356037468056167</v>
      </c>
      <c r="W31" s="120">
        <f t="shared" si="11"/>
        <v>0.23570691645370778</v>
      </c>
    </row>
    <row r="32" spans="2:23">
      <c r="B32" s="116">
        <f>Amnt_Deposited!B27</f>
        <v>2013</v>
      </c>
      <c r="C32" s="119">
        <f>Amnt_Deposited!C27</f>
        <v>7.1722211184000004</v>
      </c>
      <c r="D32" s="453">
        <f>Dry_Matter_Content!C19</f>
        <v>0.59</v>
      </c>
      <c r="E32" s="319">
        <f>MCF!R31</f>
        <v>0.8</v>
      </c>
      <c r="F32" s="87">
        <f t="shared" si="5"/>
        <v>0.64320478989811214</v>
      </c>
      <c r="G32" s="87">
        <f t="shared" si="0"/>
        <v>0.64320478989811214</v>
      </c>
      <c r="H32" s="87">
        <f t="shared" si="1"/>
        <v>0</v>
      </c>
      <c r="I32" s="87">
        <f t="shared" si="2"/>
        <v>1.7761054560501386</v>
      </c>
      <c r="J32" s="87">
        <f t="shared" si="3"/>
        <v>0.55718852758781412</v>
      </c>
      <c r="K32" s="120">
        <f t="shared" si="6"/>
        <v>0.37145901839187606</v>
      </c>
      <c r="O32" s="116">
        <f>Amnt_Deposited!B27</f>
        <v>2013</v>
      </c>
      <c r="P32" s="119">
        <f>Amnt_Deposited!C27</f>
        <v>7.1722211184000004</v>
      </c>
      <c r="Q32" s="319">
        <f>MCF!R31</f>
        <v>0.8</v>
      </c>
      <c r="R32" s="87">
        <f t="shared" si="4"/>
        <v>0.43033326710399999</v>
      </c>
      <c r="S32" s="87">
        <f t="shared" si="7"/>
        <v>0.43033326710399999</v>
      </c>
      <c r="T32" s="87">
        <f t="shared" si="8"/>
        <v>0</v>
      </c>
      <c r="U32" s="87">
        <f t="shared" si="9"/>
        <v>1.1882953541816268</v>
      </c>
      <c r="V32" s="87">
        <f t="shared" si="10"/>
        <v>0.37278447430049999</v>
      </c>
      <c r="W32" s="120">
        <f t="shared" si="11"/>
        <v>0.24852298286699998</v>
      </c>
    </row>
    <row r="33" spans="2:23">
      <c r="B33" s="116">
        <f>Amnt_Deposited!B28</f>
        <v>2014</v>
      </c>
      <c r="C33" s="119">
        <f>Amnt_Deposited!C28</f>
        <v>7.4832279876000012</v>
      </c>
      <c r="D33" s="453">
        <f>Dry_Matter_Content!C20</f>
        <v>0.59</v>
      </c>
      <c r="E33" s="319">
        <f>MCF!R32</f>
        <v>0.8</v>
      </c>
      <c r="F33" s="87">
        <f t="shared" si="5"/>
        <v>0.67109588592796809</v>
      </c>
      <c r="G33" s="87">
        <f t="shared" si="0"/>
        <v>0.67109588592796809</v>
      </c>
      <c r="H33" s="87">
        <f t="shared" si="1"/>
        <v>0</v>
      </c>
      <c r="I33" s="87">
        <f t="shared" si="2"/>
        <v>1.8616549769916473</v>
      </c>
      <c r="J33" s="87">
        <f t="shared" si="3"/>
        <v>0.58554636498645951</v>
      </c>
      <c r="K33" s="120">
        <f t="shared" si="6"/>
        <v>0.3903642433243063</v>
      </c>
      <c r="O33" s="116">
        <f>Amnt_Deposited!B28</f>
        <v>2014</v>
      </c>
      <c r="P33" s="119">
        <f>Amnt_Deposited!C28</f>
        <v>7.4832279876000012</v>
      </c>
      <c r="Q33" s="319">
        <f>MCF!R32</f>
        <v>0.8</v>
      </c>
      <c r="R33" s="87">
        <f t="shared" si="4"/>
        <v>0.44899367925600009</v>
      </c>
      <c r="S33" s="87">
        <f t="shared" si="7"/>
        <v>0.44899367925600009</v>
      </c>
      <c r="T33" s="87">
        <f t="shared" si="8"/>
        <v>0</v>
      </c>
      <c r="U33" s="87">
        <f t="shared" si="9"/>
        <v>1.2455318757749645</v>
      </c>
      <c r="V33" s="87">
        <f t="shared" si="10"/>
        <v>0.39175715766266239</v>
      </c>
      <c r="W33" s="120">
        <f t="shared" si="11"/>
        <v>0.26117143844177493</v>
      </c>
    </row>
    <row r="34" spans="2:23">
      <c r="B34" s="116">
        <f>Amnt_Deposited!B29</f>
        <v>2015</v>
      </c>
      <c r="C34" s="119">
        <f>Amnt_Deposited!C29</f>
        <v>7.8035714009999992</v>
      </c>
      <c r="D34" s="453">
        <f>Dry_Matter_Content!C21</f>
        <v>0.59</v>
      </c>
      <c r="E34" s="319">
        <f>MCF!R33</f>
        <v>0.8</v>
      </c>
      <c r="F34" s="87">
        <f t="shared" si="5"/>
        <v>0.69982428324167989</v>
      </c>
      <c r="G34" s="87">
        <f t="shared" si="0"/>
        <v>0.69982428324167989</v>
      </c>
      <c r="H34" s="87">
        <f t="shared" si="1"/>
        <v>0</v>
      </c>
      <c r="I34" s="87">
        <f t="shared" si="2"/>
        <v>1.947728933121198</v>
      </c>
      <c r="J34" s="87">
        <f t="shared" si="3"/>
        <v>0.61375032711212918</v>
      </c>
      <c r="K34" s="120">
        <f t="shared" si="6"/>
        <v>0.40916688474141943</v>
      </c>
      <c r="O34" s="116">
        <f>Amnt_Deposited!B29</f>
        <v>2015</v>
      </c>
      <c r="P34" s="119">
        <f>Amnt_Deposited!C29</f>
        <v>7.8035714009999992</v>
      </c>
      <c r="Q34" s="319">
        <f>MCF!R33</f>
        <v>0.8</v>
      </c>
      <c r="R34" s="87">
        <f t="shared" si="4"/>
        <v>0.46821428405999993</v>
      </c>
      <c r="S34" s="87">
        <f t="shared" si="7"/>
        <v>0.46821428405999993</v>
      </c>
      <c r="T34" s="87">
        <f t="shared" si="8"/>
        <v>0</v>
      </c>
      <c r="U34" s="87">
        <f t="shared" si="9"/>
        <v>1.3031192683683304</v>
      </c>
      <c r="V34" s="87">
        <f t="shared" si="10"/>
        <v>0.41062689146663411</v>
      </c>
      <c r="W34" s="120">
        <f t="shared" si="11"/>
        <v>0.27375126097775604</v>
      </c>
    </row>
    <row r="35" spans="2:23">
      <c r="B35" s="116">
        <f>Amnt_Deposited!B30</f>
        <v>2016</v>
      </c>
      <c r="C35" s="119">
        <f>Amnt_Deposited!C30</f>
        <v>8.1320812434</v>
      </c>
      <c r="D35" s="453">
        <f>Dry_Matter_Content!C22</f>
        <v>0.59</v>
      </c>
      <c r="E35" s="319">
        <f>MCF!R34</f>
        <v>0.8</v>
      </c>
      <c r="F35" s="87">
        <f t="shared" si="5"/>
        <v>0.72928504590811205</v>
      </c>
      <c r="G35" s="87">
        <f t="shared" si="0"/>
        <v>0.72928504590811205</v>
      </c>
      <c r="H35" s="87">
        <f t="shared" si="1"/>
        <v>0</v>
      </c>
      <c r="I35" s="87">
        <f t="shared" si="2"/>
        <v>2.0348867940228601</v>
      </c>
      <c r="J35" s="87">
        <f t="shared" si="3"/>
        <v>0.64212718500644983</v>
      </c>
      <c r="K35" s="120">
        <f t="shared" si="6"/>
        <v>0.42808479000429989</v>
      </c>
      <c r="O35" s="116">
        <f>Amnt_Deposited!B30</f>
        <v>2016</v>
      </c>
      <c r="P35" s="119">
        <f>Amnt_Deposited!C30</f>
        <v>8.1320812434</v>
      </c>
      <c r="Q35" s="319">
        <f>MCF!R34</f>
        <v>0.8</v>
      </c>
      <c r="R35" s="87">
        <f t="shared" si="4"/>
        <v>0.48792487460400003</v>
      </c>
      <c r="S35" s="87">
        <f t="shared" si="7"/>
        <v>0.48792487460400003</v>
      </c>
      <c r="T35" s="87">
        <f t="shared" si="8"/>
        <v>0</v>
      </c>
      <c r="U35" s="87">
        <f t="shared" si="9"/>
        <v>1.3614318425665879</v>
      </c>
      <c r="V35" s="87">
        <f t="shared" si="10"/>
        <v>0.4296123004057425</v>
      </c>
      <c r="W35" s="120">
        <f t="shared" si="11"/>
        <v>0.28640820027049496</v>
      </c>
    </row>
    <row r="36" spans="2:23">
      <c r="B36" s="116">
        <f>Amnt_Deposited!B31</f>
        <v>2017</v>
      </c>
      <c r="C36" s="119">
        <f>Amnt_Deposited!C31</f>
        <v>8.1695005523999988</v>
      </c>
      <c r="D36" s="453">
        <f>Dry_Matter_Content!C23</f>
        <v>0.59</v>
      </c>
      <c r="E36" s="319">
        <f>MCF!R35</f>
        <v>0.8</v>
      </c>
      <c r="F36" s="87">
        <f t="shared" si="5"/>
        <v>0.73264080953923194</v>
      </c>
      <c r="G36" s="87">
        <f t="shared" si="0"/>
        <v>0.73264080953923194</v>
      </c>
      <c r="H36" s="87">
        <f t="shared" si="1"/>
        <v>0</v>
      </c>
      <c r="I36" s="87">
        <f t="shared" si="2"/>
        <v>2.0966662189859502</v>
      </c>
      <c r="J36" s="87">
        <f t="shared" si="3"/>
        <v>0.67086138457614197</v>
      </c>
      <c r="K36" s="120">
        <f t="shared" si="6"/>
        <v>0.4472409230507613</v>
      </c>
      <c r="O36" s="116">
        <f>Amnt_Deposited!B31</f>
        <v>2017</v>
      </c>
      <c r="P36" s="119">
        <f>Amnt_Deposited!C31</f>
        <v>8.1695005523999988</v>
      </c>
      <c r="Q36" s="319">
        <f>MCF!R35</f>
        <v>0.8</v>
      </c>
      <c r="R36" s="87">
        <f t="shared" si="4"/>
        <v>0.49017003314399993</v>
      </c>
      <c r="S36" s="87">
        <f t="shared" si="7"/>
        <v>0.49017003314399993</v>
      </c>
      <c r="T36" s="87">
        <f t="shared" si="8"/>
        <v>0</v>
      </c>
      <c r="U36" s="87">
        <f t="shared" si="9"/>
        <v>1.4027650885276204</v>
      </c>
      <c r="V36" s="87">
        <f t="shared" si="10"/>
        <v>0.44883678718296743</v>
      </c>
      <c r="W36" s="120">
        <f t="shared" si="11"/>
        <v>0.29922452478864492</v>
      </c>
    </row>
    <row r="37" spans="2:23">
      <c r="B37" s="116">
        <f>Amnt_Deposited!B32</f>
        <v>2018</v>
      </c>
      <c r="C37" s="119">
        <f>Amnt_Deposited!C32</f>
        <v>8.4741449202000005</v>
      </c>
      <c r="D37" s="453">
        <f>Dry_Matter_Content!C24</f>
        <v>0.59</v>
      </c>
      <c r="E37" s="319">
        <f>MCF!R36</f>
        <v>0.8</v>
      </c>
      <c r="F37" s="87">
        <f t="shared" si="5"/>
        <v>0.75996131644353615</v>
      </c>
      <c r="G37" s="87">
        <f t="shared" si="0"/>
        <v>0.75996131644353615</v>
      </c>
      <c r="H37" s="87">
        <f t="shared" si="1"/>
        <v>0</v>
      </c>
      <c r="I37" s="87">
        <f t="shared" si="2"/>
        <v>2.1653987128755681</v>
      </c>
      <c r="J37" s="87">
        <f t="shared" si="3"/>
        <v>0.69122882255391815</v>
      </c>
      <c r="K37" s="120">
        <f t="shared" si="6"/>
        <v>0.46081921503594542</v>
      </c>
      <c r="O37" s="116">
        <f>Amnt_Deposited!B32</f>
        <v>2018</v>
      </c>
      <c r="P37" s="119">
        <f>Amnt_Deposited!C32</f>
        <v>8.4741449202000005</v>
      </c>
      <c r="Q37" s="319">
        <f>MCF!R36</f>
        <v>0.8</v>
      </c>
      <c r="R37" s="87">
        <f t="shared" si="4"/>
        <v>0.50844869521199998</v>
      </c>
      <c r="S37" s="87">
        <f t="shared" si="7"/>
        <v>0.50844869521199998</v>
      </c>
      <c r="T37" s="87">
        <f t="shared" si="8"/>
        <v>0</v>
      </c>
      <c r="U37" s="87">
        <f t="shared" si="9"/>
        <v>1.4487502539310222</v>
      </c>
      <c r="V37" s="87">
        <f t="shared" si="10"/>
        <v>0.46246352980859823</v>
      </c>
      <c r="W37" s="120">
        <f t="shared" si="11"/>
        <v>0.30830901987239878</v>
      </c>
    </row>
    <row r="38" spans="2:23">
      <c r="B38" s="116">
        <f>Amnt_Deposited!B33</f>
        <v>2019</v>
      </c>
      <c r="C38" s="119">
        <f>Amnt_Deposited!C33</f>
        <v>8.7787892880000005</v>
      </c>
      <c r="D38" s="453">
        <f>Dry_Matter_Content!C25</f>
        <v>0.59</v>
      </c>
      <c r="E38" s="319">
        <f>MCF!R37</f>
        <v>0.8</v>
      </c>
      <c r="F38" s="87">
        <f t="shared" si="5"/>
        <v>0.78728182334784003</v>
      </c>
      <c r="G38" s="87">
        <f t="shared" si="0"/>
        <v>0.78728182334784003</v>
      </c>
      <c r="H38" s="87">
        <f t="shared" si="1"/>
        <v>0</v>
      </c>
      <c r="I38" s="87">
        <f t="shared" si="2"/>
        <v>2.2387919882481047</v>
      </c>
      <c r="J38" s="87">
        <f t="shared" si="3"/>
        <v>0.7138885479753031</v>
      </c>
      <c r="K38" s="120">
        <f t="shared" si="6"/>
        <v>0.47592569865020207</v>
      </c>
      <c r="O38" s="116">
        <f>Amnt_Deposited!B33</f>
        <v>2019</v>
      </c>
      <c r="P38" s="119">
        <f>Amnt_Deposited!C33</f>
        <v>8.7787892880000005</v>
      </c>
      <c r="Q38" s="319">
        <f>MCF!R37</f>
        <v>0.8</v>
      </c>
      <c r="R38" s="87">
        <f t="shared" si="4"/>
        <v>0.52672735727999997</v>
      </c>
      <c r="S38" s="87">
        <f t="shared" si="7"/>
        <v>0.52672735727999997</v>
      </c>
      <c r="T38" s="87">
        <f t="shared" si="8"/>
        <v>0</v>
      </c>
      <c r="U38" s="87">
        <f t="shared" si="9"/>
        <v>1.4978536941891869</v>
      </c>
      <c r="V38" s="87">
        <f t="shared" si="10"/>
        <v>0.47762391702183521</v>
      </c>
      <c r="W38" s="120">
        <f t="shared" si="11"/>
        <v>0.31841594468122347</v>
      </c>
    </row>
    <row r="39" spans="2:23">
      <c r="B39" s="116">
        <f>Amnt_Deposited!B34</f>
        <v>2020</v>
      </c>
      <c r="C39" s="119">
        <f>Amnt_Deposited!C34</f>
        <v>9.0834336558000004</v>
      </c>
      <c r="D39" s="453">
        <f>Dry_Matter_Content!C26</f>
        <v>0.59</v>
      </c>
      <c r="E39" s="319">
        <f>MCF!R38</f>
        <v>0.8</v>
      </c>
      <c r="F39" s="87">
        <f t="shared" si="5"/>
        <v>0.81460233025214412</v>
      </c>
      <c r="G39" s="87">
        <f t="shared" si="0"/>
        <v>0.81460233025214412</v>
      </c>
      <c r="H39" s="87">
        <f t="shared" si="1"/>
        <v>0</v>
      </c>
      <c r="I39" s="87">
        <f t="shared" si="2"/>
        <v>2.3153094788788344</v>
      </c>
      <c r="J39" s="87">
        <f t="shared" si="3"/>
        <v>0.73808483962141469</v>
      </c>
      <c r="K39" s="120">
        <f t="shared" si="6"/>
        <v>0.49205655974760976</v>
      </c>
      <c r="O39" s="116">
        <f>Amnt_Deposited!B34</f>
        <v>2020</v>
      </c>
      <c r="P39" s="119">
        <f>Amnt_Deposited!C34</f>
        <v>9.0834336558000004</v>
      </c>
      <c r="Q39" s="319">
        <f>MCF!R38</f>
        <v>0.8</v>
      </c>
      <c r="R39" s="87">
        <f t="shared" si="4"/>
        <v>0.54500601934799997</v>
      </c>
      <c r="S39" s="87">
        <f t="shared" si="7"/>
        <v>0.54500601934799997</v>
      </c>
      <c r="T39" s="87">
        <f t="shared" si="8"/>
        <v>0</v>
      </c>
      <c r="U39" s="87">
        <f t="shared" si="9"/>
        <v>1.5490473765915482</v>
      </c>
      <c r="V39" s="87">
        <f t="shared" si="10"/>
        <v>0.4938123369456387</v>
      </c>
      <c r="W39" s="120">
        <f t="shared" si="11"/>
        <v>0.32920822463042576</v>
      </c>
    </row>
    <row r="40" spans="2:23">
      <c r="B40" s="116">
        <f>Amnt_Deposited!B35</f>
        <v>2021</v>
      </c>
      <c r="C40" s="119">
        <f>Amnt_Deposited!C35</f>
        <v>9.3880780236000003</v>
      </c>
      <c r="D40" s="453">
        <f>Dry_Matter_Content!C27</f>
        <v>0.59</v>
      </c>
      <c r="E40" s="319">
        <f>MCF!R39</f>
        <v>0.8</v>
      </c>
      <c r="F40" s="87">
        <f t="shared" si="5"/>
        <v>0.841922837156448</v>
      </c>
      <c r="G40" s="87">
        <f t="shared" si="0"/>
        <v>0.841922837156448</v>
      </c>
      <c r="H40" s="87">
        <f t="shared" si="1"/>
        <v>0</v>
      </c>
      <c r="I40" s="87">
        <f t="shared" si="2"/>
        <v>2.3939211936252605</v>
      </c>
      <c r="J40" s="87">
        <f t="shared" si="3"/>
        <v>0.76331112241002208</v>
      </c>
      <c r="K40" s="120">
        <f t="shared" si="6"/>
        <v>0.50887408160668135</v>
      </c>
      <c r="O40" s="116">
        <f>Amnt_Deposited!B35</f>
        <v>2021</v>
      </c>
      <c r="P40" s="119">
        <f>Amnt_Deposited!C35</f>
        <v>9.3880780236000003</v>
      </c>
      <c r="Q40" s="319">
        <f>MCF!R39</f>
        <v>0.8</v>
      </c>
      <c r="R40" s="87">
        <f t="shared" si="4"/>
        <v>0.56328468141599997</v>
      </c>
      <c r="S40" s="87">
        <f t="shared" si="7"/>
        <v>0.56328468141599997</v>
      </c>
      <c r="T40" s="87">
        <f t="shared" si="8"/>
        <v>0</v>
      </c>
      <c r="U40" s="87">
        <f t="shared" si="9"/>
        <v>1.6016421902042328</v>
      </c>
      <c r="V40" s="87">
        <f t="shared" si="10"/>
        <v>0.51068986780331527</v>
      </c>
      <c r="W40" s="120">
        <f t="shared" si="11"/>
        <v>0.34045991186887681</v>
      </c>
    </row>
    <row r="41" spans="2:23">
      <c r="B41" s="116">
        <f>Amnt_Deposited!B36</f>
        <v>2022</v>
      </c>
      <c r="C41" s="119">
        <f>Amnt_Deposited!C36</f>
        <v>9.692722391400002</v>
      </c>
      <c r="D41" s="453">
        <f>Dry_Matter_Content!C28</f>
        <v>0.59</v>
      </c>
      <c r="E41" s="319">
        <f>MCF!R40</f>
        <v>0.8</v>
      </c>
      <c r="F41" s="87">
        <f t="shared" si="5"/>
        <v>0.86924334406075221</v>
      </c>
      <c r="G41" s="87">
        <f t="shared" si="0"/>
        <v>0.86924334406075221</v>
      </c>
      <c r="H41" s="87">
        <f t="shared" si="1"/>
        <v>0</v>
      </c>
      <c r="I41" s="87">
        <f t="shared" si="2"/>
        <v>2.4739367087773294</v>
      </c>
      <c r="J41" s="87">
        <f t="shared" si="3"/>
        <v>0.78922782890868326</v>
      </c>
      <c r="K41" s="120">
        <f t="shared" si="6"/>
        <v>0.5261518859391221</v>
      </c>
      <c r="O41" s="116">
        <f>Amnt_Deposited!B36</f>
        <v>2022</v>
      </c>
      <c r="P41" s="119">
        <f>Amnt_Deposited!C36</f>
        <v>9.692722391400002</v>
      </c>
      <c r="Q41" s="319">
        <f>MCF!R40</f>
        <v>0.8</v>
      </c>
      <c r="R41" s="87">
        <f t="shared" si="4"/>
        <v>0.58156334348400018</v>
      </c>
      <c r="S41" s="87">
        <f t="shared" si="7"/>
        <v>0.58156334348400018</v>
      </c>
      <c r="T41" s="87">
        <f t="shared" si="8"/>
        <v>0</v>
      </c>
      <c r="U41" s="87">
        <f t="shared" si="9"/>
        <v>1.6551762101543237</v>
      </c>
      <c r="V41" s="87">
        <f t="shared" si="10"/>
        <v>0.5280293235339093</v>
      </c>
      <c r="W41" s="120">
        <f t="shared" si="11"/>
        <v>0.35201954902260618</v>
      </c>
    </row>
    <row r="42" spans="2:23">
      <c r="B42" s="116">
        <f>Amnt_Deposited!B37</f>
        <v>2023</v>
      </c>
      <c r="C42" s="119">
        <f>Amnt_Deposited!C37</f>
        <v>9.997366759200002</v>
      </c>
      <c r="D42" s="453">
        <f>Dry_Matter_Content!C29</f>
        <v>0.59</v>
      </c>
      <c r="E42" s="319">
        <f>MCF!R41</f>
        <v>0.8</v>
      </c>
      <c r="F42" s="87">
        <f t="shared" si="5"/>
        <v>0.8965638509650562</v>
      </c>
      <c r="G42" s="87">
        <f t="shared" si="0"/>
        <v>0.8965638509650562</v>
      </c>
      <c r="H42" s="87">
        <f t="shared" si="1"/>
        <v>0</v>
      </c>
      <c r="I42" s="87">
        <f t="shared" si="2"/>
        <v>2.5548932194819338</v>
      </c>
      <c r="J42" s="87">
        <f t="shared" si="3"/>
        <v>0.8156073402604519</v>
      </c>
      <c r="K42" s="120">
        <f t="shared" si="6"/>
        <v>0.54373822684030126</v>
      </c>
      <c r="O42" s="116">
        <f>Amnt_Deposited!B37</f>
        <v>2023</v>
      </c>
      <c r="P42" s="119">
        <f>Amnt_Deposited!C37</f>
        <v>9.997366759200002</v>
      </c>
      <c r="Q42" s="319">
        <f>MCF!R41</f>
        <v>0.8</v>
      </c>
      <c r="R42" s="87">
        <f t="shared" si="4"/>
        <v>0.59984200555200018</v>
      </c>
      <c r="S42" s="87">
        <f t="shared" si="7"/>
        <v>0.59984200555200018</v>
      </c>
      <c r="T42" s="87">
        <f t="shared" si="8"/>
        <v>0</v>
      </c>
      <c r="U42" s="87">
        <f t="shared" si="9"/>
        <v>1.7093397989397414</v>
      </c>
      <c r="V42" s="87">
        <f t="shared" si="10"/>
        <v>0.54567841676658235</v>
      </c>
      <c r="W42" s="120">
        <f t="shared" si="11"/>
        <v>0.36378561117772157</v>
      </c>
    </row>
    <row r="43" spans="2:23">
      <c r="B43" s="116">
        <f>Amnt_Deposited!B38</f>
        <v>2024</v>
      </c>
      <c r="C43" s="119">
        <f>Amnt_Deposited!C38</f>
        <v>10.302011127</v>
      </c>
      <c r="D43" s="453">
        <f>Dry_Matter_Content!C30</f>
        <v>0.59</v>
      </c>
      <c r="E43" s="319">
        <f>MCF!R42</f>
        <v>0.8</v>
      </c>
      <c r="F43" s="87">
        <f t="shared" si="5"/>
        <v>0.92388435786935996</v>
      </c>
      <c r="G43" s="87">
        <f t="shared" si="0"/>
        <v>0.92388435786935996</v>
      </c>
      <c r="H43" s="87">
        <f t="shared" si="1"/>
        <v>0</v>
      </c>
      <c r="I43" s="87">
        <f t="shared" si="2"/>
        <v>2.6364804983686327</v>
      </c>
      <c r="J43" s="87">
        <f t="shared" si="3"/>
        <v>0.84229707898266115</v>
      </c>
      <c r="K43" s="120">
        <f t="shared" si="6"/>
        <v>0.56153138598844077</v>
      </c>
      <c r="O43" s="116">
        <f>Amnt_Deposited!B38</f>
        <v>2024</v>
      </c>
      <c r="P43" s="119">
        <f>Amnt_Deposited!C38</f>
        <v>10.302011127</v>
      </c>
      <c r="Q43" s="319">
        <f>MCF!R42</f>
        <v>0.8</v>
      </c>
      <c r="R43" s="87">
        <f t="shared" si="4"/>
        <v>0.61812066761999995</v>
      </c>
      <c r="S43" s="87">
        <f t="shared" si="7"/>
        <v>0.61812066761999995</v>
      </c>
      <c r="T43" s="87">
        <f t="shared" si="8"/>
        <v>0</v>
      </c>
      <c r="U43" s="87">
        <f t="shared" si="9"/>
        <v>1.763925400335838</v>
      </c>
      <c r="V43" s="87">
        <f t="shared" si="10"/>
        <v>0.56353506622390348</v>
      </c>
      <c r="W43" s="120">
        <f t="shared" si="11"/>
        <v>0.37569004414926899</v>
      </c>
    </row>
    <row r="44" spans="2:23">
      <c r="B44" s="116">
        <f>Amnt_Deposited!B39</f>
        <v>2025</v>
      </c>
      <c r="C44" s="119">
        <f>Amnt_Deposited!C39</f>
        <v>10.606655494800002</v>
      </c>
      <c r="D44" s="453">
        <f>Dry_Matter_Content!C31</f>
        <v>0.59</v>
      </c>
      <c r="E44" s="319">
        <f>MCF!R43</f>
        <v>0.8</v>
      </c>
      <c r="F44" s="87">
        <f t="shared" si="5"/>
        <v>0.95120486477366417</v>
      </c>
      <c r="G44" s="87">
        <f t="shared" si="0"/>
        <v>0.95120486477366417</v>
      </c>
      <c r="H44" s="87">
        <f t="shared" si="1"/>
        <v>0</v>
      </c>
      <c r="I44" s="87">
        <f t="shared" si="2"/>
        <v>2.7184905938121915</v>
      </c>
      <c r="J44" s="87">
        <f t="shared" si="3"/>
        <v>0.86919476933010553</v>
      </c>
      <c r="K44" s="120">
        <f t="shared" si="6"/>
        <v>0.57946317955340365</v>
      </c>
      <c r="O44" s="116">
        <f>Amnt_Deposited!B39</f>
        <v>2025</v>
      </c>
      <c r="P44" s="119">
        <f>Amnt_Deposited!C39</f>
        <v>10.606655494800002</v>
      </c>
      <c r="Q44" s="319">
        <f>MCF!R43</f>
        <v>0.8</v>
      </c>
      <c r="R44" s="87">
        <f t="shared" si="4"/>
        <v>0.63639932968800017</v>
      </c>
      <c r="S44" s="87">
        <f t="shared" si="7"/>
        <v>0.63639932968800017</v>
      </c>
      <c r="T44" s="87">
        <f t="shared" si="8"/>
        <v>0</v>
      </c>
      <c r="U44" s="87">
        <f t="shared" si="9"/>
        <v>1.8187938852445527</v>
      </c>
      <c r="V44" s="87">
        <f t="shared" si="10"/>
        <v>0.58153084477928552</v>
      </c>
      <c r="W44" s="120">
        <f t="shared" si="11"/>
        <v>0.38768722985285697</v>
      </c>
    </row>
    <row r="45" spans="2:23">
      <c r="B45" s="116">
        <f>Amnt_Deposited!B40</f>
        <v>2026</v>
      </c>
      <c r="C45" s="119">
        <f>Amnt_Deposited!C40</f>
        <v>10.9112998626</v>
      </c>
      <c r="D45" s="453">
        <f>Dry_Matter_Content!C32</f>
        <v>0.59</v>
      </c>
      <c r="E45" s="319">
        <f>MCF!R44</f>
        <v>0.8</v>
      </c>
      <c r="F45" s="87">
        <f t="shared" si="5"/>
        <v>0.97852537167796783</v>
      </c>
      <c r="G45" s="87">
        <f t="shared" si="0"/>
        <v>0.97852537167796783</v>
      </c>
      <c r="H45" s="87">
        <f t="shared" si="1"/>
        <v>0</v>
      </c>
      <c r="I45" s="87">
        <f t="shared" si="2"/>
        <v>2.8007841116696088</v>
      </c>
      <c r="J45" s="87">
        <f t="shared" si="3"/>
        <v>0.89623185382055082</v>
      </c>
      <c r="K45" s="120">
        <f t="shared" si="6"/>
        <v>0.59748790254703388</v>
      </c>
      <c r="O45" s="116">
        <f>Amnt_Deposited!B40</f>
        <v>2026</v>
      </c>
      <c r="P45" s="119">
        <f>Amnt_Deposited!C40</f>
        <v>10.9112998626</v>
      </c>
      <c r="Q45" s="319">
        <f>MCF!R44</f>
        <v>0.8</v>
      </c>
      <c r="R45" s="87">
        <f t="shared" si="4"/>
        <v>0.65467799175599994</v>
      </c>
      <c r="S45" s="87">
        <f t="shared" si="7"/>
        <v>0.65467799175599994</v>
      </c>
      <c r="T45" s="87">
        <f t="shared" si="8"/>
        <v>0</v>
      </c>
      <c r="U45" s="87">
        <f t="shared" si="9"/>
        <v>1.8738519926424677</v>
      </c>
      <c r="V45" s="87">
        <f t="shared" si="10"/>
        <v>0.59961988435808478</v>
      </c>
      <c r="W45" s="120">
        <f t="shared" si="11"/>
        <v>0.3997465895720565</v>
      </c>
    </row>
    <row r="46" spans="2:23">
      <c r="B46" s="116">
        <f>Amnt_Deposited!B41</f>
        <v>2027</v>
      </c>
      <c r="C46" s="119">
        <f>Amnt_Deposited!C41</f>
        <v>11.215944230400002</v>
      </c>
      <c r="D46" s="453">
        <f>Dry_Matter_Content!C33</f>
        <v>0.59</v>
      </c>
      <c r="E46" s="319">
        <f>MCF!R45</f>
        <v>0.8</v>
      </c>
      <c r="F46" s="87">
        <f t="shared" si="5"/>
        <v>1.0058458785822721</v>
      </c>
      <c r="G46" s="87">
        <f t="shared" si="0"/>
        <v>1.0058458785822721</v>
      </c>
      <c r="H46" s="87">
        <f t="shared" si="1"/>
        <v>0</v>
      </c>
      <c r="I46" s="87">
        <f t="shared" si="2"/>
        <v>2.8832676132525314</v>
      </c>
      <c r="J46" s="87">
        <f t="shared" si="3"/>
        <v>0.92336237699934942</v>
      </c>
      <c r="K46" s="120">
        <f t="shared" si="6"/>
        <v>0.61557491799956621</v>
      </c>
      <c r="O46" s="116">
        <f>Amnt_Deposited!B41</f>
        <v>2027</v>
      </c>
      <c r="P46" s="119">
        <f>Amnt_Deposited!C41</f>
        <v>11.215944230400002</v>
      </c>
      <c r="Q46" s="319">
        <f>MCF!R45</f>
        <v>0.8</v>
      </c>
      <c r="R46" s="87">
        <f t="shared" si="4"/>
        <v>0.67295665382400016</v>
      </c>
      <c r="S46" s="87">
        <f t="shared" si="7"/>
        <v>0.67295665382400016</v>
      </c>
      <c r="T46" s="87">
        <f t="shared" si="8"/>
        <v>0</v>
      </c>
      <c r="U46" s="87">
        <f t="shared" si="9"/>
        <v>1.9290372077960736</v>
      </c>
      <c r="V46" s="87">
        <f t="shared" si="10"/>
        <v>0.6177714386703943</v>
      </c>
      <c r="W46" s="120">
        <f t="shared" si="11"/>
        <v>0.41184762578026285</v>
      </c>
    </row>
    <row r="47" spans="2:23">
      <c r="B47" s="116">
        <f>Amnt_Deposited!B42</f>
        <v>2028</v>
      </c>
      <c r="C47" s="119">
        <f>Amnt_Deposited!C42</f>
        <v>11.5205885982</v>
      </c>
      <c r="D47" s="453">
        <f>Dry_Matter_Content!C34</f>
        <v>0.59</v>
      </c>
      <c r="E47" s="319">
        <f>MCF!R46</f>
        <v>0.8</v>
      </c>
      <c r="F47" s="87">
        <f t="shared" si="5"/>
        <v>1.033166385486576</v>
      </c>
      <c r="G47" s="87">
        <f t="shared" si="0"/>
        <v>1.033166385486576</v>
      </c>
      <c r="H47" s="87">
        <f t="shared" si="1"/>
        <v>0</v>
      </c>
      <c r="I47" s="87">
        <f t="shared" si="2"/>
        <v>2.9658784647350807</v>
      </c>
      <c r="J47" s="87">
        <f t="shared" si="3"/>
        <v>0.95055553400402659</v>
      </c>
      <c r="K47" s="120">
        <f t="shared" si="6"/>
        <v>0.63370368933601773</v>
      </c>
      <c r="O47" s="116">
        <f>Amnt_Deposited!B42</f>
        <v>2028</v>
      </c>
      <c r="P47" s="119">
        <f>Amnt_Deposited!C42</f>
        <v>11.5205885982</v>
      </c>
      <c r="Q47" s="319">
        <f>MCF!R46</f>
        <v>0.8</v>
      </c>
      <c r="R47" s="87">
        <f t="shared" si="4"/>
        <v>0.69123531589199994</v>
      </c>
      <c r="S47" s="87">
        <f t="shared" si="7"/>
        <v>0.69123531589199994</v>
      </c>
      <c r="T47" s="87">
        <f t="shared" si="8"/>
        <v>0</v>
      </c>
      <c r="U47" s="87">
        <f t="shared" si="9"/>
        <v>1.984307625826325</v>
      </c>
      <c r="V47" s="87">
        <f t="shared" si="10"/>
        <v>0.63596489786174837</v>
      </c>
      <c r="W47" s="120">
        <f t="shared" si="11"/>
        <v>0.42397659857449888</v>
      </c>
    </row>
    <row r="48" spans="2:23">
      <c r="B48" s="116">
        <f>Amnt_Deposited!B43</f>
        <v>2029</v>
      </c>
      <c r="C48" s="119">
        <f>Amnt_Deposited!C43</f>
        <v>11.825232966000002</v>
      </c>
      <c r="D48" s="453">
        <f>Dry_Matter_Content!C35</f>
        <v>0.59</v>
      </c>
      <c r="E48" s="319">
        <f>MCF!R47</f>
        <v>0.8</v>
      </c>
      <c r="F48" s="87">
        <f t="shared" si="5"/>
        <v>1.0604868923908801</v>
      </c>
      <c r="G48" s="87">
        <f t="shared" si="0"/>
        <v>1.0604868923908801</v>
      </c>
      <c r="H48" s="87">
        <f t="shared" si="1"/>
        <v>0</v>
      </c>
      <c r="I48" s="87">
        <f t="shared" si="2"/>
        <v>3.0485746814082106</v>
      </c>
      <c r="J48" s="87">
        <f t="shared" si="3"/>
        <v>0.97779067571775014</v>
      </c>
      <c r="K48" s="120">
        <f t="shared" si="6"/>
        <v>0.65186045047850005</v>
      </c>
      <c r="O48" s="116">
        <f>Amnt_Deposited!B43</f>
        <v>2029</v>
      </c>
      <c r="P48" s="119">
        <f>Amnt_Deposited!C43</f>
        <v>11.825232966000002</v>
      </c>
      <c r="Q48" s="319">
        <f>MCF!R47</f>
        <v>0.8</v>
      </c>
      <c r="R48" s="87">
        <f t="shared" si="4"/>
        <v>0.70951397796000015</v>
      </c>
      <c r="S48" s="87">
        <f t="shared" si="7"/>
        <v>0.70951397796000015</v>
      </c>
      <c r="T48" s="87">
        <f t="shared" si="8"/>
        <v>0</v>
      </c>
      <c r="U48" s="87">
        <f t="shared" si="9"/>
        <v>2.0396351570527722</v>
      </c>
      <c r="V48" s="87">
        <f t="shared" si="10"/>
        <v>0.65418644673355264</v>
      </c>
      <c r="W48" s="120">
        <f t="shared" si="11"/>
        <v>0.43612429782236839</v>
      </c>
    </row>
    <row r="49" spans="2:23">
      <c r="B49" s="116">
        <f>Amnt_Deposited!B44</f>
        <v>2030</v>
      </c>
      <c r="C49" s="119">
        <f>Amnt_Deposited!C44</f>
        <v>12.129877333800001</v>
      </c>
      <c r="D49" s="453">
        <f>Dry_Matter_Content!C36</f>
        <v>0.59</v>
      </c>
      <c r="E49" s="319">
        <f>MCF!R48</f>
        <v>0.8</v>
      </c>
      <c r="F49" s="87">
        <f t="shared" si="5"/>
        <v>1.0878073992951842</v>
      </c>
      <c r="G49" s="87">
        <f t="shared" si="0"/>
        <v>1.0878073992951842</v>
      </c>
      <c r="H49" s="87">
        <f t="shared" si="1"/>
        <v>0</v>
      </c>
      <c r="I49" s="87">
        <f t="shared" si="2"/>
        <v>3.1313281200798206</v>
      </c>
      <c r="J49" s="87">
        <f t="shared" si="3"/>
        <v>1.0050539606235744</v>
      </c>
      <c r="K49" s="120">
        <f t="shared" si="6"/>
        <v>0.67003597374904955</v>
      </c>
      <c r="O49" s="116">
        <f>Amnt_Deposited!B44</f>
        <v>2030</v>
      </c>
      <c r="P49" s="119">
        <f>Amnt_Deposited!C44</f>
        <v>12.129877333800001</v>
      </c>
      <c r="Q49" s="319">
        <f>MCF!R48</f>
        <v>0.8</v>
      </c>
      <c r="R49" s="87">
        <f t="shared" si="4"/>
        <v>0.72779264002800004</v>
      </c>
      <c r="S49" s="87">
        <f t="shared" si="7"/>
        <v>0.72779264002800004</v>
      </c>
      <c r="T49" s="87">
        <f t="shared" si="8"/>
        <v>0</v>
      </c>
      <c r="U49" s="87">
        <f t="shared" si="9"/>
        <v>2.0950009723995229</v>
      </c>
      <c r="V49" s="87">
        <f t="shared" si="10"/>
        <v>0.67242682468124948</v>
      </c>
      <c r="W49" s="120">
        <f t="shared" si="11"/>
        <v>0.44828454978749965</v>
      </c>
    </row>
    <row r="50" spans="2:23">
      <c r="B50" s="116">
        <f>Amnt_Deposited!B45</f>
        <v>2031</v>
      </c>
      <c r="C50" s="119">
        <f>Amnt_Deposited!C45</f>
        <v>0</v>
      </c>
      <c r="D50" s="453">
        <f>Dry_Matter_Content!C37</f>
        <v>0.59</v>
      </c>
      <c r="E50" s="319">
        <f>MCF!R49</f>
        <v>0.8</v>
      </c>
      <c r="F50" s="87">
        <f t="shared" si="5"/>
        <v>0</v>
      </c>
      <c r="G50" s="87">
        <f t="shared" si="0"/>
        <v>0</v>
      </c>
      <c r="H50" s="87">
        <f t="shared" si="1"/>
        <v>0</v>
      </c>
      <c r="I50" s="87">
        <f t="shared" si="2"/>
        <v>2.0989920096045975</v>
      </c>
      <c r="J50" s="87">
        <f t="shared" si="3"/>
        <v>1.0323361104752233</v>
      </c>
      <c r="K50" s="120">
        <f t="shared" si="6"/>
        <v>0.68822407365014882</v>
      </c>
      <c r="O50" s="116">
        <f>Amnt_Deposited!B45</f>
        <v>2031</v>
      </c>
      <c r="P50" s="119">
        <f>Amnt_Deposited!C45</f>
        <v>0</v>
      </c>
      <c r="Q50" s="319">
        <f>MCF!R49</f>
        <v>0.8</v>
      </c>
      <c r="R50" s="87">
        <f t="shared" si="4"/>
        <v>0</v>
      </c>
      <c r="S50" s="87">
        <f t="shared" si="7"/>
        <v>0</v>
      </c>
      <c r="T50" s="87">
        <f t="shared" si="8"/>
        <v>0</v>
      </c>
      <c r="U50" s="87">
        <f t="shared" si="9"/>
        <v>1.4043211482635574</v>
      </c>
      <c r="V50" s="87">
        <f t="shared" si="10"/>
        <v>0.69067982413596551</v>
      </c>
      <c r="W50" s="120">
        <f t="shared" si="11"/>
        <v>0.46045321609064366</v>
      </c>
    </row>
    <row r="51" spans="2:23">
      <c r="B51" s="116">
        <f>Amnt_Deposited!B46</f>
        <v>2032</v>
      </c>
      <c r="C51" s="119">
        <f>Amnt_Deposited!C46</f>
        <v>0</v>
      </c>
      <c r="D51" s="453">
        <f>Dry_Matter_Content!C38</f>
        <v>0.59</v>
      </c>
      <c r="E51" s="319">
        <f>MCF!R50</f>
        <v>0.8</v>
      </c>
      <c r="F51" s="87">
        <f t="shared" ref="F51:F82" si="12">C51*D51*$K$6*DOCF*E51</f>
        <v>0</v>
      </c>
      <c r="G51" s="87">
        <f t="shared" ref="G51:G82" si="13">F51*$K$12</f>
        <v>0</v>
      </c>
      <c r="H51" s="87">
        <f t="shared" ref="H51:H82" si="14">F51*(1-$K$12)</f>
        <v>0</v>
      </c>
      <c r="I51" s="87">
        <f t="shared" ref="I51:I82" si="15">G51+I50*$K$10</f>
        <v>1.406996420506593</v>
      </c>
      <c r="J51" s="87">
        <f t="shared" ref="J51:J82" si="16">I50*(1-$K$10)+H51</f>
        <v>0.69199558909800463</v>
      </c>
      <c r="K51" s="120">
        <f t="shared" si="6"/>
        <v>0.46133039273200305</v>
      </c>
      <c r="O51" s="116">
        <f>Amnt_Deposited!B46</f>
        <v>2032</v>
      </c>
      <c r="P51" s="119">
        <f>Amnt_Deposited!C46</f>
        <v>0</v>
      </c>
      <c r="Q51" s="319">
        <f>MCF!R50</f>
        <v>0.8</v>
      </c>
      <c r="R51" s="87">
        <f t="shared" ref="R51:R82" si="17">P51*$W$6*DOCF*Q51</f>
        <v>0</v>
      </c>
      <c r="S51" s="87">
        <f t="shared" si="7"/>
        <v>0</v>
      </c>
      <c r="T51" s="87">
        <f t="shared" si="8"/>
        <v>0</v>
      </c>
      <c r="U51" s="87">
        <f t="shared" si="9"/>
        <v>0.94134461675284964</v>
      </c>
      <c r="V51" s="87">
        <f t="shared" si="10"/>
        <v>0.46297653151070772</v>
      </c>
      <c r="W51" s="120">
        <f t="shared" si="11"/>
        <v>0.30865102100713848</v>
      </c>
    </row>
    <row r="52" spans="2:23">
      <c r="B52" s="116">
        <f>Amnt_Deposited!B47</f>
        <v>2033</v>
      </c>
      <c r="C52" s="119">
        <f>Amnt_Deposited!C47</f>
        <v>0</v>
      </c>
      <c r="D52" s="453">
        <f>Dry_Matter_Content!C39</f>
        <v>0.59</v>
      </c>
      <c r="E52" s="319">
        <f>MCF!R51</f>
        <v>0.8</v>
      </c>
      <c r="F52" s="87">
        <f t="shared" si="12"/>
        <v>0</v>
      </c>
      <c r="G52" s="87">
        <f t="shared" si="13"/>
        <v>0</v>
      </c>
      <c r="H52" s="87">
        <f t="shared" si="14"/>
        <v>0</v>
      </c>
      <c r="I52" s="87">
        <f t="shared" si="15"/>
        <v>0.94313790536595921</v>
      </c>
      <c r="J52" s="87">
        <f t="shared" si="16"/>
        <v>0.46385851514063381</v>
      </c>
      <c r="K52" s="120">
        <f t="shared" si="6"/>
        <v>0.30923901009375587</v>
      </c>
      <c r="O52" s="116">
        <f>Amnt_Deposited!B47</f>
        <v>2033</v>
      </c>
      <c r="P52" s="119">
        <f>Amnt_Deposited!C47</f>
        <v>0</v>
      </c>
      <c r="Q52" s="319">
        <f>MCF!R51</f>
        <v>0.8</v>
      </c>
      <c r="R52" s="87">
        <f t="shared" si="17"/>
        <v>0</v>
      </c>
      <c r="S52" s="87">
        <f t="shared" si="7"/>
        <v>0</v>
      </c>
      <c r="T52" s="87">
        <f t="shared" si="8"/>
        <v>0</v>
      </c>
      <c r="U52" s="87">
        <f t="shared" si="9"/>
        <v>0.63100216683717147</v>
      </c>
      <c r="V52" s="87">
        <f t="shared" si="10"/>
        <v>0.31034244991567822</v>
      </c>
      <c r="W52" s="120">
        <f t="shared" si="11"/>
        <v>0.20689496661045215</v>
      </c>
    </row>
    <row r="53" spans="2:23">
      <c r="B53" s="116">
        <f>Amnt_Deposited!B48</f>
        <v>2034</v>
      </c>
      <c r="C53" s="119">
        <f>Amnt_Deposited!C48</f>
        <v>0</v>
      </c>
      <c r="D53" s="453">
        <f>Dry_Matter_Content!C40</f>
        <v>0.59</v>
      </c>
      <c r="E53" s="319">
        <f>MCF!R52</f>
        <v>0.8</v>
      </c>
      <c r="F53" s="87">
        <f t="shared" si="12"/>
        <v>0</v>
      </c>
      <c r="G53" s="87">
        <f t="shared" si="13"/>
        <v>0</v>
      </c>
      <c r="H53" s="87">
        <f t="shared" si="14"/>
        <v>0</v>
      </c>
      <c r="I53" s="87">
        <f t="shared" si="15"/>
        <v>0.63220424414286625</v>
      </c>
      <c r="J53" s="87">
        <f t="shared" si="16"/>
        <v>0.31093366122309296</v>
      </c>
      <c r="K53" s="120">
        <f t="shared" si="6"/>
        <v>0.20728910748206197</v>
      </c>
      <c r="O53" s="116">
        <f>Amnt_Deposited!B48</f>
        <v>2034</v>
      </c>
      <c r="P53" s="119">
        <f>Amnt_Deposited!C48</f>
        <v>0</v>
      </c>
      <c r="Q53" s="319">
        <f>MCF!R52</f>
        <v>0.8</v>
      </c>
      <c r="R53" s="87">
        <f t="shared" si="17"/>
        <v>0</v>
      </c>
      <c r="S53" s="87">
        <f t="shared" si="7"/>
        <v>0</v>
      </c>
      <c r="T53" s="87">
        <f t="shared" si="8"/>
        <v>0</v>
      </c>
      <c r="U53" s="87">
        <f t="shared" si="9"/>
        <v>0.42297340152288093</v>
      </c>
      <c r="V53" s="87">
        <f t="shared" si="10"/>
        <v>0.20802876531429051</v>
      </c>
      <c r="W53" s="120">
        <f t="shared" si="11"/>
        <v>0.13868584354286034</v>
      </c>
    </row>
    <row r="54" spans="2:23">
      <c r="B54" s="116">
        <f>Amnt_Deposited!B49</f>
        <v>2035</v>
      </c>
      <c r="C54" s="119">
        <f>Amnt_Deposited!C49</f>
        <v>0</v>
      </c>
      <c r="D54" s="453">
        <f>Dry_Matter_Content!C41</f>
        <v>0.59</v>
      </c>
      <c r="E54" s="319">
        <f>MCF!R53</f>
        <v>0.8</v>
      </c>
      <c r="F54" s="87">
        <f t="shared" si="12"/>
        <v>0</v>
      </c>
      <c r="G54" s="87">
        <f t="shared" si="13"/>
        <v>0</v>
      </c>
      <c r="H54" s="87">
        <f t="shared" si="14"/>
        <v>0</v>
      </c>
      <c r="I54" s="87">
        <f t="shared" si="15"/>
        <v>0.42377917803777265</v>
      </c>
      <c r="J54" s="87">
        <f t="shared" si="16"/>
        <v>0.20842506610509359</v>
      </c>
      <c r="K54" s="120">
        <f t="shared" si="6"/>
        <v>0.1389500440700624</v>
      </c>
      <c r="O54" s="116">
        <f>Amnt_Deposited!B49</f>
        <v>2035</v>
      </c>
      <c r="P54" s="119">
        <f>Amnt_Deposited!C49</f>
        <v>0</v>
      </c>
      <c r="Q54" s="319">
        <f>MCF!R53</f>
        <v>0.8</v>
      </c>
      <c r="R54" s="87">
        <f t="shared" si="17"/>
        <v>0</v>
      </c>
      <c r="S54" s="87">
        <f t="shared" si="7"/>
        <v>0</v>
      </c>
      <c r="T54" s="87">
        <f t="shared" si="8"/>
        <v>0</v>
      </c>
      <c r="U54" s="87">
        <f t="shared" si="9"/>
        <v>0.28352754998066848</v>
      </c>
      <c r="V54" s="87">
        <f t="shared" si="10"/>
        <v>0.13944585154221242</v>
      </c>
      <c r="W54" s="120">
        <f t="shared" si="11"/>
        <v>9.2963901028141616E-2</v>
      </c>
    </row>
    <row r="55" spans="2:23">
      <c r="B55" s="116">
        <f>Amnt_Deposited!B50</f>
        <v>2036</v>
      </c>
      <c r="C55" s="119">
        <f>Amnt_Deposited!C50</f>
        <v>0</v>
      </c>
      <c r="D55" s="453">
        <f>Dry_Matter_Content!C42</f>
        <v>0.59</v>
      </c>
      <c r="E55" s="319">
        <f>MCF!R54</f>
        <v>0.8</v>
      </c>
      <c r="F55" s="87">
        <f t="shared" si="12"/>
        <v>0</v>
      </c>
      <c r="G55" s="87">
        <f t="shared" si="13"/>
        <v>0</v>
      </c>
      <c r="H55" s="87">
        <f t="shared" si="14"/>
        <v>0</v>
      </c>
      <c r="I55" s="87">
        <f t="shared" si="15"/>
        <v>0.28406767813122513</v>
      </c>
      <c r="J55" s="87">
        <f t="shared" si="16"/>
        <v>0.13971149990654749</v>
      </c>
      <c r="K55" s="120">
        <f t="shared" si="6"/>
        <v>9.3140999937698324E-2</v>
      </c>
      <c r="O55" s="116">
        <f>Amnt_Deposited!B50</f>
        <v>2036</v>
      </c>
      <c r="P55" s="119">
        <f>Amnt_Deposited!C50</f>
        <v>0</v>
      </c>
      <c r="Q55" s="319">
        <f>MCF!R54</f>
        <v>0.8</v>
      </c>
      <c r="R55" s="87">
        <f t="shared" si="17"/>
        <v>0</v>
      </c>
      <c r="S55" s="87">
        <f t="shared" si="7"/>
        <v>0</v>
      </c>
      <c r="T55" s="87">
        <f t="shared" si="8"/>
        <v>0</v>
      </c>
      <c r="U55" s="87">
        <f t="shared" si="9"/>
        <v>0.19005420035541373</v>
      </c>
      <c r="V55" s="87">
        <f t="shared" si="10"/>
        <v>9.3473349625254748E-2</v>
      </c>
      <c r="W55" s="120">
        <f t="shared" si="11"/>
        <v>6.2315566416836499E-2</v>
      </c>
    </row>
    <row r="56" spans="2:23">
      <c r="B56" s="116">
        <f>Amnt_Deposited!B51</f>
        <v>2037</v>
      </c>
      <c r="C56" s="119">
        <f>Amnt_Deposited!C51</f>
        <v>0</v>
      </c>
      <c r="D56" s="453">
        <f>Dry_Matter_Content!C43</f>
        <v>0.59</v>
      </c>
      <c r="E56" s="319">
        <f>MCF!R55</f>
        <v>0.8</v>
      </c>
      <c r="F56" s="87">
        <f t="shared" si="12"/>
        <v>0</v>
      </c>
      <c r="G56" s="87">
        <f t="shared" si="13"/>
        <v>0</v>
      </c>
      <c r="H56" s="87">
        <f t="shared" si="14"/>
        <v>0</v>
      </c>
      <c r="I56" s="87">
        <f t="shared" si="15"/>
        <v>0.19041625908216001</v>
      </c>
      <c r="J56" s="87">
        <f t="shared" si="16"/>
        <v>9.3651419049065127E-2</v>
      </c>
      <c r="K56" s="120">
        <f t="shared" si="6"/>
        <v>6.2434279366043413E-2</v>
      </c>
      <c r="O56" s="116">
        <f>Amnt_Deposited!B51</f>
        <v>2037</v>
      </c>
      <c r="P56" s="119">
        <f>Amnt_Deposited!C51</f>
        <v>0</v>
      </c>
      <c r="Q56" s="319">
        <f>MCF!R55</f>
        <v>0.8</v>
      </c>
      <c r="R56" s="87">
        <f t="shared" si="17"/>
        <v>0</v>
      </c>
      <c r="S56" s="87">
        <f t="shared" si="7"/>
        <v>0</v>
      </c>
      <c r="T56" s="87">
        <f t="shared" si="8"/>
        <v>0</v>
      </c>
      <c r="U56" s="87">
        <f t="shared" si="9"/>
        <v>0.12739714033150756</v>
      </c>
      <c r="V56" s="87">
        <f t="shared" si="10"/>
        <v>6.2657060023906183E-2</v>
      </c>
      <c r="W56" s="120">
        <f t="shared" si="11"/>
        <v>4.1771373349270786E-2</v>
      </c>
    </row>
    <row r="57" spans="2:23">
      <c r="B57" s="116">
        <f>Amnt_Deposited!B52</f>
        <v>2038</v>
      </c>
      <c r="C57" s="119">
        <f>Amnt_Deposited!C52</f>
        <v>0</v>
      </c>
      <c r="D57" s="453">
        <f>Dry_Matter_Content!C44</f>
        <v>0.59</v>
      </c>
      <c r="E57" s="319">
        <f>MCF!R56</f>
        <v>0.8</v>
      </c>
      <c r="F57" s="87">
        <f t="shared" si="12"/>
        <v>0</v>
      </c>
      <c r="G57" s="87">
        <f t="shared" si="13"/>
        <v>0</v>
      </c>
      <c r="H57" s="87">
        <f t="shared" si="14"/>
        <v>0</v>
      </c>
      <c r="I57" s="87">
        <f t="shared" si="15"/>
        <v>0.12763983555388772</v>
      </c>
      <c r="J57" s="87">
        <f t="shared" si="16"/>
        <v>6.2776423528272285E-2</v>
      </c>
      <c r="K57" s="120">
        <f t="shared" si="6"/>
        <v>4.1850949018848185E-2</v>
      </c>
      <c r="O57" s="116">
        <f>Amnt_Deposited!B52</f>
        <v>2038</v>
      </c>
      <c r="P57" s="119">
        <f>Amnt_Deposited!C52</f>
        <v>0</v>
      </c>
      <c r="Q57" s="319">
        <f>MCF!R56</f>
        <v>0.8</v>
      </c>
      <c r="R57" s="87">
        <f t="shared" si="17"/>
        <v>0</v>
      </c>
      <c r="S57" s="87">
        <f t="shared" si="7"/>
        <v>0</v>
      </c>
      <c r="T57" s="87">
        <f t="shared" si="8"/>
        <v>0</v>
      </c>
      <c r="U57" s="87">
        <f t="shared" si="9"/>
        <v>8.5396856971824947E-2</v>
      </c>
      <c r="V57" s="87">
        <f t="shared" si="10"/>
        <v>4.2000283359682609E-2</v>
      </c>
      <c r="W57" s="120">
        <f t="shared" si="11"/>
        <v>2.8000188906455073E-2</v>
      </c>
    </row>
    <row r="58" spans="2:23">
      <c r="B58" s="116">
        <f>Amnt_Deposited!B53</f>
        <v>2039</v>
      </c>
      <c r="C58" s="119">
        <f>Amnt_Deposited!C53</f>
        <v>0</v>
      </c>
      <c r="D58" s="453">
        <f>Dry_Matter_Content!C45</f>
        <v>0.59</v>
      </c>
      <c r="E58" s="319">
        <f>MCF!R57</f>
        <v>0.8</v>
      </c>
      <c r="F58" s="87">
        <f t="shared" si="12"/>
        <v>0</v>
      </c>
      <c r="G58" s="87">
        <f t="shared" si="13"/>
        <v>0</v>
      </c>
      <c r="H58" s="87">
        <f t="shared" si="14"/>
        <v>0</v>
      </c>
      <c r="I58" s="87">
        <f t="shared" si="15"/>
        <v>8.5559540444463456E-2</v>
      </c>
      <c r="J58" s="87">
        <f t="shared" si="16"/>
        <v>4.2080295109424272E-2</v>
      </c>
      <c r="K58" s="120">
        <f t="shared" si="6"/>
        <v>2.8053530072949515E-2</v>
      </c>
      <c r="O58" s="116">
        <f>Amnt_Deposited!B53</f>
        <v>2039</v>
      </c>
      <c r="P58" s="119">
        <f>Amnt_Deposited!C53</f>
        <v>0</v>
      </c>
      <c r="Q58" s="319">
        <f>MCF!R57</f>
        <v>0.8</v>
      </c>
      <c r="R58" s="87">
        <f t="shared" si="17"/>
        <v>0</v>
      </c>
      <c r="S58" s="87">
        <f t="shared" si="7"/>
        <v>0</v>
      </c>
      <c r="T58" s="87">
        <f t="shared" si="8"/>
        <v>0</v>
      </c>
      <c r="U58" s="87">
        <f t="shared" si="9"/>
        <v>5.7243225096652604E-2</v>
      </c>
      <c r="V58" s="87">
        <f t="shared" si="10"/>
        <v>2.8153631875172343E-2</v>
      </c>
      <c r="W58" s="120">
        <f t="shared" si="11"/>
        <v>1.8769087916781561E-2</v>
      </c>
    </row>
    <row r="59" spans="2:23">
      <c r="B59" s="116">
        <f>Amnt_Deposited!B54</f>
        <v>2040</v>
      </c>
      <c r="C59" s="119">
        <f>Amnt_Deposited!C54</f>
        <v>0</v>
      </c>
      <c r="D59" s="453">
        <f>Dry_Matter_Content!C46</f>
        <v>0.59</v>
      </c>
      <c r="E59" s="319">
        <f>MCF!R58</f>
        <v>0.8</v>
      </c>
      <c r="F59" s="87">
        <f t="shared" si="12"/>
        <v>0</v>
      </c>
      <c r="G59" s="87">
        <f t="shared" si="13"/>
        <v>0</v>
      </c>
      <c r="H59" s="87">
        <f t="shared" si="14"/>
        <v>0</v>
      </c>
      <c r="I59" s="87">
        <f t="shared" si="15"/>
        <v>5.7352275089520892E-2</v>
      </c>
      <c r="J59" s="87">
        <f t="shared" si="16"/>
        <v>2.8207265354942567E-2</v>
      </c>
      <c r="K59" s="120">
        <f t="shared" si="6"/>
        <v>1.8804843569961711E-2</v>
      </c>
      <c r="O59" s="116">
        <f>Amnt_Deposited!B54</f>
        <v>2040</v>
      </c>
      <c r="P59" s="119">
        <f>Amnt_Deposited!C54</f>
        <v>0</v>
      </c>
      <c r="Q59" s="319">
        <f>MCF!R58</f>
        <v>0.8</v>
      </c>
      <c r="R59" s="87">
        <f t="shared" si="17"/>
        <v>0</v>
      </c>
      <c r="S59" s="87">
        <f t="shared" si="7"/>
        <v>0</v>
      </c>
      <c r="T59" s="87">
        <f t="shared" si="8"/>
        <v>0</v>
      </c>
      <c r="U59" s="87">
        <f t="shared" si="9"/>
        <v>3.8371281282016639E-2</v>
      </c>
      <c r="V59" s="87">
        <f t="shared" si="10"/>
        <v>1.8871943814635965E-2</v>
      </c>
      <c r="W59" s="120">
        <f t="shared" si="11"/>
        <v>1.2581295876423976E-2</v>
      </c>
    </row>
    <row r="60" spans="2:23">
      <c r="B60" s="116">
        <f>Amnt_Deposited!B55</f>
        <v>2041</v>
      </c>
      <c r="C60" s="119">
        <f>Amnt_Deposited!C55</f>
        <v>0</v>
      </c>
      <c r="D60" s="453">
        <f>Dry_Matter_Content!C47</f>
        <v>0.59</v>
      </c>
      <c r="E60" s="319">
        <f>MCF!R59</f>
        <v>0.8</v>
      </c>
      <c r="F60" s="87">
        <f t="shared" si="12"/>
        <v>0</v>
      </c>
      <c r="G60" s="87">
        <f t="shared" si="13"/>
        <v>0</v>
      </c>
      <c r="H60" s="87">
        <f t="shared" si="14"/>
        <v>0</v>
      </c>
      <c r="I60" s="87">
        <f t="shared" si="15"/>
        <v>3.8444379678256292E-2</v>
      </c>
      <c r="J60" s="87">
        <f t="shared" si="16"/>
        <v>1.8907895411264596E-2</v>
      </c>
      <c r="K60" s="120">
        <f t="shared" si="6"/>
        <v>1.260526360750973E-2</v>
      </c>
      <c r="O60" s="116">
        <f>Amnt_Deposited!B55</f>
        <v>2041</v>
      </c>
      <c r="P60" s="119">
        <f>Amnt_Deposited!C55</f>
        <v>0</v>
      </c>
      <c r="Q60" s="319">
        <f>MCF!R59</f>
        <v>0.8</v>
      </c>
      <c r="R60" s="87">
        <f t="shared" si="17"/>
        <v>0</v>
      </c>
      <c r="S60" s="87">
        <f t="shared" si="7"/>
        <v>0</v>
      </c>
      <c r="T60" s="87">
        <f t="shared" si="8"/>
        <v>0</v>
      </c>
      <c r="U60" s="87">
        <f t="shared" si="9"/>
        <v>2.5721039035407858E-2</v>
      </c>
      <c r="V60" s="87">
        <f t="shared" si="10"/>
        <v>1.2650242246608779E-2</v>
      </c>
      <c r="W60" s="120">
        <f t="shared" si="11"/>
        <v>8.4334948310725195E-3</v>
      </c>
    </row>
    <row r="61" spans="2:23">
      <c r="B61" s="116">
        <f>Amnt_Deposited!B56</f>
        <v>2042</v>
      </c>
      <c r="C61" s="119">
        <f>Amnt_Deposited!C56</f>
        <v>0</v>
      </c>
      <c r="D61" s="453">
        <f>Dry_Matter_Content!C48</f>
        <v>0.59</v>
      </c>
      <c r="E61" s="319">
        <f>MCF!R60</f>
        <v>0.8</v>
      </c>
      <c r="F61" s="87">
        <f t="shared" si="12"/>
        <v>0</v>
      </c>
      <c r="G61" s="87">
        <f t="shared" si="13"/>
        <v>0</v>
      </c>
      <c r="H61" s="87">
        <f t="shared" si="14"/>
        <v>0</v>
      </c>
      <c r="I61" s="87">
        <f t="shared" si="15"/>
        <v>2.5770038355740356E-2</v>
      </c>
      <c r="J61" s="87">
        <f t="shared" si="16"/>
        <v>1.2674341322515938E-2</v>
      </c>
      <c r="K61" s="120">
        <f t="shared" si="6"/>
        <v>8.449560881677292E-3</v>
      </c>
      <c r="O61" s="116">
        <f>Amnt_Deposited!B56</f>
        <v>2042</v>
      </c>
      <c r="P61" s="119">
        <f>Amnt_Deposited!C56</f>
        <v>0</v>
      </c>
      <c r="Q61" s="319">
        <f>MCF!R60</f>
        <v>0.8</v>
      </c>
      <c r="R61" s="87">
        <f t="shared" si="17"/>
        <v>0</v>
      </c>
      <c r="S61" s="87">
        <f t="shared" si="7"/>
        <v>0</v>
      </c>
      <c r="T61" s="87">
        <f t="shared" si="8"/>
        <v>0</v>
      </c>
      <c r="U61" s="87">
        <f t="shared" si="9"/>
        <v>1.7241328070299072E-2</v>
      </c>
      <c r="V61" s="87">
        <f t="shared" si="10"/>
        <v>8.479710965108786E-3</v>
      </c>
      <c r="W61" s="120">
        <f t="shared" si="11"/>
        <v>5.6531406434058573E-3</v>
      </c>
    </row>
    <row r="62" spans="2:23">
      <c r="B62" s="116">
        <f>Amnt_Deposited!B57</f>
        <v>2043</v>
      </c>
      <c r="C62" s="119">
        <f>Amnt_Deposited!C57</f>
        <v>0</v>
      </c>
      <c r="D62" s="453">
        <f>Dry_Matter_Content!C49</f>
        <v>0.59</v>
      </c>
      <c r="E62" s="319">
        <f>MCF!R61</f>
        <v>0.8</v>
      </c>
      <c r="F62" s="87">
        <f t="shared" si="12"/>
        <v>0</v>
      </c>
      <c r="G62" s="87">
        <f t="shared" si="13"/>
        <v>0</v>
      </c>
      <c r="H62" s="87">
        <f t="shared" si="14"/>
        <v>0</v>
      </c>
      <c r="I62" s="87">
        <f t="shared" si="15"/>
        <v>1.7274173296960068E-2</v>
      </c>
      <c r="J62" s="87">
        <f t="shared" si="16"/>
        <v>8.4958650587802897E-3</v>
      </c>
      <c r="K62" s="120">
        <f t="shared" si="6"/>
        <v>5.6639100391868598E-3</v>
      </c>
      <c r="O62" s="116">
        <f>Amnt_Deposited!B57</f>
        <v>2043</v>
      </c>
      <c r="P62" s="119">
        <f>Amnt_Deposited!C57</f>
        <v>0</v>
      </c>
      <c r="Q62" s="319">
        <f>MCF!R61</f>
        <v>0.8</v>
      </c>
      <c r="R62" s="87">
        <f t="shared" si="17"/>
        <v>0</v>
      </c>
      <c r="S62" s="87">
        <f t="shared" si="7"/>
        <v>0</v>
      </c>
      <c r="T62" s="87">
        <f t="shared" si="8"/>
        <v>0</v>
      </c>
      <c r="U62" s="87">
        <f t="shared" si="9"/>
        <v>1.1557207825798435E-2</v>
      </c>
      <c r="V62" s="87">
        <f t="shared" si="10"/>
        <v>5.6841202445006376E-3</v>
      </c>
      <c r="W62" s="120">
        <f t="shared" si="11"/>
        <v>3.7894134963337581E-3</v>
      </c>
    </row>
    <row r="63" spans="2:23">
      <c r="B63" s="116">
        <f>Amnt_Deposited!B58</f>
        <v>2044</v>
      </c>
      <c r="C63" s="119">
        <f>Amnt_Deposited!C58</f>
        <v>0</v>
      </c>
      <c r="D63" s="453">
        <f>Dry_Matter_Content!C50</f>
        <v>0.59</v>
      </c>
      <c r="E63" s="319">
        <f>MCF!R62</f>
        <v>0.8</v>
      </c>
      <c r="F63" s="87">
        <f t="shared" si="12"/>
        <v>0</v>
      </c>
      <c r="G63" s="87">
        <f t="shared" si="13"/>
        <v>0</v>
      </c>
      <c r="H63" s="87">
        <f t="shared" si="14"/>
        <v>0</v>
      </c>
      <c r="I63" s="87">
        <f t="shared" si="15"/>
        <v>1.1579224639645884E-2</v>
      </c>
      <c r="J63" s="87">
        <f t="shared" si="16"/>
        <v>5.694948657314184E-3</v>
      </c>
      <c r="K63" s="120">
        <f t="shared" si="6"/>
        <v>3.796632438209456E-3</v>
      </c>
      <c r="O63" s="116">
        <f>Amnt_Deposited!B58</f>
        <v>2044</v>
      </c>
      <c r="P63" s="119">
        <f>Amnt_Deposited!C58</f>
        <v>0</v>
      </c>
      <c r="Q63" s="319">
        <f>MCF!R62</f>
        <v>0.8</v>
      </c>
      <c r="R63" s="87">
        <f t="shared" si="17"/>
        <v>0</v>
      </c>
      <c r="S63" s="87">
        <f t="shared" si="7"/>
        <v>0</v>
      </c>
      <c r="T63" s="87">
        <f t="shared" si="8"/>
        <v>0</v>
      </c>
      <c r="U63" s="87">
        <f t="shared" si="9"/>
        <v>7.7470280818326583E-3</v>
      </c>
      <c r="V63" s="87">
        <f t="shared" si="10"/>
        <v>3.8101797439657769E-3</v>
      </c>
      <c r="W63" s="120">
        <f t="shared" si="11"/>
        <v>2.5401198293105178E-3</v>
      </c>
    </row>
    <row r="64" spans="2:23">
      <c r="B64" s="116">
        <f>Amnt_Deposited!B59</f>
        <v>2045</v>
      </c>
      <c r="C64" s="119">
        <f>Amnt_Deposited!C59</f>
        <v>0</v>
      </c>
      <c r="D64" s="453">
        <f>Dry_Matter_Content!C51</f>
        <v>0.59</v>
      </c>
      <c r="E64" s="319">
        <f>MCF!R63</f>
        <v>0.8</v>
      </c>
      <c r="F64" s="87">
        <f t="shared" si="12"/>
        <v>0</v>
      </c>
      <c r="G64" s="87">
        <f t="shared" si="13"/>
        <v>0</v>
      </c>
      <c r="H64" s="87">
        <f t="shared" si="14"/>
        <v>0</v>
      </c>
      <c r="I64" s="87">
        <f t="shared" si="15"/>
        <v>7.7617863935044379E-3</v>
      </c>
      <c r="J64" s="87">
        <f t="shared" si="16"/>
        <v>3.817438246141446E-3</v>
      </c>
      <c r="K64" s="120">
        <f t="shared" si="6"/>
        <v>2.5449588307609639E-3</v>
      </c>
      <c r="O64" s="116">
        <f>Amnt_Deposited!B59</f>
        <v>2045</v>
      </c>
      <c r="P64" s="119">
        <f>Amnt_Deposited!C59</f>
        <v>0</v>
      </c>
      <c r="Q64" s="319">
        <f>MCF!R63</f>
        <v>0.8</v>
      </c>
      <c r="R64" s="87">
        <f t="shared" si="17"/>
        <v>0</v>
      </c>
      <c r="S64" s="87">
        <f t="shared" si="7"/>
        <v>0</v>
      </c>
      <c r="T64" s="87">
        <f t="shared" si="8"/>
        <v>0</v>
      </c>
      <c r="U64" s="87">
        <f t="shared" si="9"/>
        <v>5.1929882204534584E-3</v>
      </c>
      <c r="V64" s="87">
        <f t="shared" si="10"/>
        <v>2.5540398613792003E-3</v>
      </c>
      <c r="W64" s="120">
        <f t="shared" si="11"/>
        <v>1.7026932409194668E-3</v>
      </c>
    </row>
    <row r="65" spans="2:23">
      <c r="B65" s="116">
        <f>Amnt_Deposited!B60</f>
        <v>2046</v>
      </c>
      <c r="C65" s="119">
        <f>Amnt_Deposited!C60</f>
        <v>0</v>
      </c>
      <c r="D65" s="453">
        <f>Dry_Matter_Content!C52</f>
        <v>0.59</v>
      </c>
      <c r="E65" s="319">
        <f>MCF!R64</f>
        <v>0.8</v>
      </c>
      <c r="F65" s="87">
        <f t="shared" si="12"/>
        <v>0</v>
      </c>
      <c r="G65" s="87">
        <f t="shared" si="13"/>
        <v>0</v>
      </c>
      <c r="H65" s="87">
        <f t="shared" si="14"/>
        <v>0</v>
      </c>
      <c r="I65" s="87">
        <f t="shared" si="15"/>
        <v>5.2028810126126934E-3</v>
      </c>
      <c r="J65" s="87">
        <f t="shared" si="16"/>
        <v>2.5589053808917441E-3</v>
      </c>
      <c r="K65" s="120">
        <f t="shared" si="6"/>
        <v>1.7059369205944959E-3</v>
      </c>
      <c r="O65" s="116">
        <f>Amnt_Deposited!B60</f>
        <v>2046</v>
      </c>
      <c r="P65" s="119">
        <f>Amnt_Deposited!C60</f>
        <v>0</v>
      </c>
      <c r="Q65" s="319">
        <f>MCF!R64</f>
        <v>0.8</v>
      </c>
      <c r="R65" s="87">
        <f t="shared" si="17"/>
        <v>0</v>
      </c>
      <c r="S65" s="87">
        <f t="shared" si="7"/>
        <v>0</v>
      </c>
      <c r="T65" s="87">
        <f t="shared" si="8"/>
        <v>0</v>
      </c>
      <c r="U65" s="87">
        <f t="shared" si="9"/>
        <v>3.4809641029968949E-3</v>
      </c>
      <c r="V65" s="87">
        <f t="shared" si="10"/>
        <v>1.7120241174565635E-3</v>
      </c>
      <c r="W65" s="120">
        <f t="shared" si="11"/>
        <v>1.141349411637709E-3</v>
      </c>
    </row>
    <row r="66" spans="2:23">
      <c r="B66" s="116">
        <f>Amnt_Deposited!B61</f>
        <v>2047</v>
      </c>
      <c r="C66" s="119">
        <f>Amnt_Deposited!C61</f>
        <v>0</v>
      </c>
      <c r="D66" s="453">
        <f>Dry_Matter_Content!C53</f>
        <v>0.59</v>
      </c>
      <c r="E66" s="319">
        <f>MCF!R65</f>
        <v>0.8</v>
      </c>
      <c r="F66" s="87">
        <f t="shared" si="12"/>
        <v>0</v>
      </c>
      <c r="G66" s="87">
        <f t="shared" si="13"/>
        <v>0</v>
      </c>
      <c r="H66" s="87">
        <f t="shared" si="14"/>
        <v>0</v>
      </c>
      <c r="I66" s="87">
        <f t="shared" si="15"/>
        <v>3.4875954398924944E-3</v>
      </c>
      <c r="J66" s="87">
        <f t="shared" si="16"/>
        <v>1.7152855727201989E-3</v>
      </c>
      <c r="K66" s="120">
        <f t="shared" si="6"/>
        <v>1.1435237151467992E-3</v>
      </c>
      <c r="O66" s="116">
        <f>Amnt_Deposited!B61</f>
        <v>2047</v>
      </c>
      <c r="P66" s="119">
        <f>Amnt_Deposited!C61</f>
        <v>0</v>
      </c>
      <c r="Q66" s="319">
        <f>MCF!R65</f>
        <v>0.8</v>
      </c>
      <c r="R66" s="87">
        <f t="shared" si="17"/>
        <v>0</v>
      </c>
      <c r="S66" s="87">
        <f t="shared" si="7"/>
        <v>0</v>
      </c>
      <c r="T66" s="87">
        <f t="shared" si="8"/>
        <v>0</v>
      </c>
      <c r="U66" s="87">
        <f t="shared" si="9"/>
        <v>2.3333600177692865E-3</v>
      </c>
      <c r="V66" s="87">
        <f t="shared" si="10"/>
        <v>1.1476040852276084E-3</v>
      </c>
      <c r="W66" s="120">
        <f t="shared" si="11"/>
        <v>7.6506939015173888E-4</v>
      </c>
    </row>
    <row r="67" spans="2:23">
      <c r="B67" s="116">
        <f>Amnt_Deposited!B62</f>
        <v>2048</v>
      </c>
      <c r="C67" s="119">
        <f>Amnt_Deposited!C62</f>
        <v>0</v>
      </c>
      <c r="D67" s="453">
        <f>Dry_Matter_Content!C54</f>
        <v>0.59</v>
      </c>
      <c r="E67" s="319">
        <f>MCF!R66</f>
        <v>0.8</v>
      </c>
      <c r="F67" s="87">
        <f t="shared" si="12"/>
        <v>0</v>
      </c>
      <c r="G67" s="87">
        <f t="shared" si="13"/>
        <v>0</v>
      </c>
      <c r="H67" s="87">
        <f t="shared" si="14"/>
        <v>0</v>
      </c>
      <c r="I67" s="87">
        <f t="shared" si="15"/>
        <v>2.3378051358224228E-3</v>
      </c>
      <c r="J67" s="87">
        <f t="shared" si="16"/>
        <v>1.1497903040700718E-3</v>
      </c>
      <c r="K67" s="120">
        <f t="shared" si="6"/>
        <v>7.6652686938004778E-4</v>
      </c>
      <c r="O67" s="116">
        <f>Amnt_Deposited!B62</f>
        <v>2048</v>
      </c>
      <c r="P67" s="119">
        <f>Amnt_Deposited!C62</f>
        <v>0</v>
      </c>
      <c r="Q67" s="319">
        <f>MCF!R66</f>
        <v>0.8</v>
      </c>
      <c r="R67" s="87">
        <f t="shared" si="17"/>
        <v>0</v>
      </c>
      <c r="S67" s="87">
        <f t="shared" si="7"/>
        <v>0</v>
      </c>
      <c r="T67" s="87">
        <f t="shared" si="8"/>
        <v>0</v>
      </c>
      <c r="U67" s="87">
        <f t="shared" si="9"/>
        <v>1.5640979945288284E-3</v>
      </c>
      <c r="V67" s="87">
        <f t="shared" si="10"/>
        <v>7.6926202324045822E-4</v>
      </c>
      <c r="W67" s="120">
        <f t="shared" si="11"/>
        <v>5.1284134882697207E-4</v>
      </c>
    </row>
    <row r="68" spans="2:23">
      <c r="B68" s="116">
        <f>Amnt_Deposited!B63</f>
        <v>2049</v>
      </c>
      <c r="C68" s="119">
        <f>Amnt_Deposited!C63</f>
        <v>0</v>
      </c>
      <c r="D68" s="453">
        <f>Dry_Matter_Content!C55</f>
        <v>0.59</v>
      </c>
      <c r="E68" s="319">
        <f>MCF!R67</f>
        <v>0.8</v>
      </c>
      <c r="F68" s="87">
        <f t="shared" si="12"/>
        <v>0</v>
      </c>
      <c r="G68" s="87">
        <f t="shared" si="13"/>
        <v>0</v>
      </c>
      <c r="H68" s="87">
        <f t="shared" si="14"/>
        <v>0</v>
      </c>
      <c r="I68" s="87">
        <f t="shared" si="15"/>
        <v>1.5670776462668404E-3</v>
      </c>
      <c r="J68" s="87">
        <f t="shared" si="16"/>
        <v>7.7072748955558229E-4</v>
      </c>
      <c r="K68" s="120">
        <f t="shared" si="6"/>
        <v>5.1381832637038816E-4</v>
      </c>
      <c r="O68" s="116">
        <f>Amnt_Deposited!B63</f>
        <v>2049</v>
      </c>
      <c r="P68" s="119">
        <f>Amnt_Deposited!C63</f>
        <v>0</v>
      </c>
      <c r="Q68" s="319">
        <f>MCF!R67</f>
        <v>0.8</v>
      </c>
      <c r="R68" s="87">
        <f t="shared" si="17"/>
        <v>0</v>
      </c>
      <c r="S68" s="87">
        <f t="shared" si="7"/>
        <v>0</v>
      </c>
      <c r="T68" s="87">
        <f t="shared" si="8"/>
        <v>0</v>
      </c>
      <c r="U68" s="87">
        <f t="shared" si="9"/>
        <v>1.0484462396968153E-3</v>
      </c>
      <c r="V68" s="87">
        <f t="shared" si="10"/>
        <v>5.1565175483201298E-4</v>
      </c>
      <c r="W68" s="120">
        <f t="shared" si="11"/>
        <v>3.4376783655467528E-4</v>
      </c>
    </row>
    <row r="69" spans="2:23">
      <c r="B69" s="116">
        <f>Amnt_Deposited!B64</f>
        <v>2050</v>
      </c>
      <c r="C69" s="119">
        <f>Amnt_Deposited!C64</f>
        <v>0</v>
      </c>
      <c r="D69" s="453">
        <f>Dry_Matter_Content!C56</f>
        <v>0.59</v>
      </c>
      <c r="E69" s="319">
        <f>MCF!R68</f>
        <v>0.8</v>
      </c>
      <c r="F69" s="87">
        <f t="shared" si="12"/>
        <v>0</v>
      </c>
      <c r="G69" s="87">
        <f t="shared" si="13"/>
        <v>0</v>
      </c>
      <c r="H69" s="87">
        <f t="shared" si="14"/>
        <v>0</v>
      </c>
      <c r="I69" s="87">
        <f t="shared" si="15"/>
        <v>1.0504435599870098E-3</v>
      </c>
      <c r="J69" s="87">
        <f t="shared" si="16"/>
        <v>5.1663408627983058E-4</v>
      </c>
      <c r="K69" s="120">
        <f t="shared" si="6"/>
        <v>3.444227241865537E-4</v>
      </c>
      <c r="O69" s="116">
        <f>Amnt_Deposited!B64</f>
        <v>2050</v>
      </c>
      <c r="P69" s="119">
        <f>Amnt_Deposited!C64</f>
        <v>0</v>
      </c>
      <c r="Q69" s="319">
        <f>MCF!R68</f>
        <v>0.8</v>
      </c>
      <c r="R69" s="87">
        <f t="shared" si="17"/>
        <v>0</v>
      </c>
      <c r="S69" s="87">
        <f t="shared" si="7"/>
        <v>0</v>
      </c>
      <c r="T69" s="87">
        <f t="shared" si="8"/>
        <v>0</v>
      </c>
      <c r="U69" s="87">
        <f t="shared" si="9"/>
        <v>7.0279453165946219E-4</v>
      </c>
      <c r="V69" s="87">
        <f t="shared" si="10"/>
        <v>3.4565170803735313E-4</v>
      </c>
      <c r="W69" s="120">
        <f t="shared" si="11"/>
        <v>2.3043447202490209E-4</v>
      </c>
    </row>
    <row r="70" spans="2:23">
      <c r="B70" s="116">
        <f>Amnt_Deposited!B65</f>
        <v>2051</v>
      </c>
      <c r="C70" s="119">
        <f>Amnt_Deposited!C65</f>
        <v>0</v>
      </c>
      <c r="D70" s="453">
        <f>Dry_Matter_Content!C57</f>
        <v>0.59</v>
      </c>
      <c r="E70" s="319">
        <f>MCF!R69</f>
        <v>0.8</v>
      </c>
      <c r="F70" s="87">
        <f t="shared" si="12"/>
        <v>0</v>
      </c>
      <c r="G70" s="87">
        <f t="shared" si="13"/>
        <v>0</v>
      </c>
      <c r="H70" s="87">
        <f t="shared" si="14"/>
        <v>0</v>
      </c>
      <c r="I70" s="87">
        <f t="shared" si="15"/>
        <v>7.0413337548833326E-4</v>
      </c>
      <c r="J70" s="87">
        <f t="shared" si="16"/>
        <v>3.4631018449867649E-4</v>
      </c>
      <c r="K70" s="120">
        <f t="shared" si="6"/>
        <v>2.3087345633245098E-4</v>
      </c>
      <c r="O70" s="116">
        <f>Amnt_Deposited!B65</f>
        <v>2051</v>
      </c>
      <c r="P70" s="119">
        <f>Amnt_Deposited!C65</f>
        <v>0</v>
      </c>
      <c r="Q70" s="319">
        <f>MCF!R69</f>
        <v>0.8</v>
      </c>
      <c r="R70" s="87">
        <f t="shared" si="17"/>
        <v>0</v>
      </c>
      <c r="S70" s="87">
        <f t="shared" si="7"/>
        <v>0</v>
      </c>
      <c r="T70" s="87">
        <f t="shared" si="8"/>
        <v>0</v>
      </c>
      <c r="U70" s="87">
        <f t="shared" si="9"/>
        <v>4.7109726281556626E-4</v>
      </c>
      <c r="V70" s="87">
        <f t="shared" si="10"/>
        <v>2.316972688438959E-4</v>
      </c>
      <c r="W70" s="120">
        <f t="shared" si="11"/>
        <v>1.544648458959306E-4</v>
      </c>
    </row>
    <row r="71" spans="2:23">
      <c r="B71" s="116">
        <f>Amnt_Deposited!B66</f>
        <v>2052</v>
      </c>
      <c r="C71" s="119">
        <f>Amnt_Deposited!C66</f>
        <v>0</v>
      </c>
      <c r="D71" s="453">
        <f>Dry_Matter_Content!C58</f>
        <v>0.59</v>
      </c>
      <c r="E71" s="319">
        <f>MCF!R70</f>
        <v>0.8</v>
      </c>
      <c r="F71" s="87">
        <f t="shared" si="12"/>
        <v>0</v>
      </c>
      <c r="G71" s="87">
        <f t="shared" si="13"/>
        <v>0</v>
      </c>
      <c r="H71" s="87">
        <f t="shared" si="14"/>
        <v>0</v>
      </c>
      <c r="I71" s="87">
        <f t="shared" si="15"/>
        <v>4.7199471667256965E-4</v>
      </c>
      <c r="J71" s="87">
        <f t="shared" si="16"/>
        <v>2.3213865881576359E-4</v>
      </c>
      <c r="K71" s="120">
        <f t="shared" si="6"/>
        <v>1.5475910587717571E-4</v>
      </c>
      <c r="O71" s="116">
        <f>Amnt_Deposited!B66</f>
        <v>2052</v>
      </c>
      <c r="P71" s="119">
        <f>Amnt_Deposited!C66</f>
        <v>0</v>
      </c>
      <c r="Q71" s="319">
        <f>MCF!R70</f>
        <v>0.8</v>
      </c>
      <c r="R71" s="87">
        <f t="shared" si="17"/>
        <v>0</v>
      </c>
      <c r="S71" s="87">
        <f t="shared" si="7"/>
        <v>0</v>
      </c>
      <c r="T71" s="87">
        <f t="shared" si="8"/>
        <v>0</v>
      </c>
      <c r="U71" s="87">
        <f t="shared" si="9"/>
        <v>3.1578593889779405E-4</v>
      </c>
      <c r="V71" s="87">
        <f t="shared" si="10"/>
        <v>1.5531132391777221E-4</v>
      </c>
      <c r="W71" s="120">
        <f t="shared" si="11"/>
        <v>1.0354088261184814E-4</v>
      </c>
    </row>
    <row r="72" spans="2:23">
      <c r="B72" s="116">
        <f>Amnt_Deposited!B67</f>
        <v>2053</v>
      </c>
      <c r="C72" s="119">
        <f>Amnt_Deposited!C67</f>
        <v>0</v>
      </c>
      <c r="D72" s="453">
        <f>Dry_Matter_Content!C59</f>
        <v>0.59</v>
      </c>
      <c r="E72" s="319">
        <f>MCF!R71</f>
        <v>0.8</v>
      </c>
      <c r="F72" s="87">
        <f t="shared" si="12"/>
        <v>0</v>
      </c>
      <c r="G72" s="87">
        <f t="shared" si="13"/>
        <v>0</v>
      </c>
      <c r="H72" s="87">
        <f t="shared" si="14"/>
        <v>0</v>
      </c>
      <c r="I72" s="87">
        <f t="shared" si="15"/>
        <v>3.1638752020853543E-4</v>
      </c>
      <c r="J72" s="87">
        <f t="shared" si="16"/>
        <v>1.5560719646403421E-4</v>
      </c>
      <c r="K72" s="120">
        <f t="shared" si="6"/>
        <v>1.0373813097602281E-4</v>
      </c>
      <c r="O72" s="116">
        <f>Amnt_Deposited!B67</f>
        <v>2053</v>
      </c>
      <c r="P72" s="119">
        <f>Amnt_Deposited!C67</f>
        <v>0</v>
      </c>
      <c r="Q72" s="319">
        <f>MCF!R71</f>
        <v>0.8</v>
      </c>
      <c r="R72" s="87">
        <f t="shared" si="17"/>
        <v>0</v>
      </c>
      <c r="S72" s="87">
        <f t="shared" si="7"/>
        <v>0</v>
      </c>
      <c r="T72" s="87">
        <f t="shared" si="8"/>
        <v>0</v>
      </c>
      <c r="U72" s="87">
        <f t="shared" si="9"/>
        <v>2.116776450993769E-4</v>
      </c>
      <c r="V72" s="87">
        <f t="shared" si="10"/>
        <v>1.0410829379841715E-4</v>
      </c>
      <c r="W72" s="120">
        <f t="shared" si="11"/>
        <v>6.940552919894476E-5</v>
      </c>
    </row>
    <row r="73" spans="2:23">
      <c r="B73" s="116">
        <f>Amnt_Deposited!B68</f>
        <v>2054</v>
      </c>
      <c r="C73" s="119">
        <f>Amnt_Deposited!C68</f>
        <v>0</v>
      </c>
      <c r="D73" s="453">
        <f>Dry_Matter_Content!C60</f>
        <v>0.59</v>
      </c>
      <c r="E73" s="319">
        <f>MCF!R72</f>
        <v>0.8</v>
      </c>
      <c r="F73" s="87">
        <f t="shared" si="12"/>
        <v>0</v>
      </c>
      <c r="G73" s="87">
        <f t="shared" si="13"/>
        <v>0</v>
      </c>
      <c r="H73" s="87">
        <f t="shared" si="14"/>
        <v>0</v>
      </c>
      <c r="I73" s="87">
        <f t="shared" si="15"/>
        <v>2.1208089711128724E-4</v>
      </c>
      <c r="J73" s="87">
        <f t="shared" si="16"/>
        <v>1.043066230972482E-4</v>
      </c>
      <c r="K73" s="120">
        <f t="shared" si="6"/>
        <v>6.9537748731498793E-5</v>
      </c>
      <c r="O73" s="116">
        <f>Amnt_Deposited!B68</f>
        <v>2054</v>
      </c>
      <c r="P73" s="119">
        <f>Amnt_Deposited!C68</f>
        <v>0</v>
      </c>
      <c r="Q73" s="319">
        <f>MCF!R72</f>
        <v>0.8</v>
      </c>
      <c r="R73" s="87">
        <f t="shared" si="17"/>
        <v>0</v>
      </c>
      <c r="S73" s="87">
        <f t="shared" si="7"/>
        <v>0</v>
      </c>
      <c r="T73" s="87">
        <f t="shared" si="8"/>
        <v>0</v>
      </c>
      <c r="U73" s="87">
        <f t="shared" si="9"/>
        <v>1.4189176880773004E-4</v>
      </c>
      <c r="V73" s="87">
        <f t="shared" si="10"/>
        <v>6.9785876291646854E-5</v>
      </c>
      <c r="W73" s="120">
        <f t="shared" si="11"/>
        <v>4.6523917527764569E-5</v>
      </c>
    </row>
    <row r="74" spans="2:23">
      <c r="B74" s="116">
        <f>Amnt_Deposited!B69</f>
        <v>2055</v>
      </c>
      <c r="C74" s="119">
        <f>Amnt_Deposited!C69</f>
        <v>0</v>
      </c>
      <c r="D74" s="453">
        <f>Dry_Matter_Content!C61</f>
        <v>0.59</v>
      </c>
      <c r="E74" s="319">
        <f>MCF!R73</f>
        <v>0.8</v>
      </c>
      <c r="F74" s="87">
        <f t="shared" si="12"/>
        <v>0</v>
      </c>
      <c r="G74" s="87">
        <f t="shared" si="13"/>
        <v>0</v>
      </c>
      <c r="H74" s="87">
        <f t="shared" si="14"/>
        <v>0</v>
      </c>
      <c r="I74" s="87">
        <f t="shared" si="15"/>
        <v>1.4216207671491774E-4</v>
      </c>
      <c r="J74" s="87">
        <f t="shared" si="16"/>
        <v>6.9918820396369495E-5</v>
      </c>
      <c r="K74" s="120">
        <f t="shared" si="6"/>
        <v>4.6612546930912994E-5</v>
      </c>
      <c r="O74" s="116">
        <f>Amnt_Deposited!B69</f>
        <v>2055</v>
      </c>
      <c r="P74" s="119">
        <f>Amnt_Deposited!C69</f>
        <v>0</v>
      </c>
      <c r="Q74" s="319">
        <f>MCF!R73</f>
        <v>0.8</v>
      </c>
      <c r="R74" s="87">
        <f t="shared" si="17"/>
        <v>0</v>
      </c>
      <c r="S74" s="87">
        <f t="shared" si="7"/>
        <v>0</v>
      </c>
      <c r="T74" s="87">
        <f t="shared" si="8"/>
        <v>0</v>
      </c>
      <c r="U74" s="87">
        <f t="shared" si="9"/>
        <v>9.5112896999275889E-5</v>
      </c>
      <c r="V74" s="87">
        <f t="shared" si="10"/>
        <v>4.6778871808454148E-5</v>
      </c>
      <c r="W74" s="120">
        <f t="shared" si="11"/>
        <v>3.118591453896943E-5</v>
      </c>
    </row>
    <row r="75" spans="2:23">
      <c r="B75" s="116">
        <f>Amnt_Deposited!B70</f>
        <v>2056</v>
      </c>
      <c r="C75" s="119">
        <f>Amnt_Deposited!C70</f>
        <v>0</v>
      </c>
      <c r="D75" s="453">
        <f>Dry_Matter_Content!C62</f>
        <v>0.59</v>
      </c>
      <c r="E75" s="319">
        <f>MCF!R74</f>
        <v>0.8</v>
      </c>
      <c r="F75" s="87">
        <f t="shared" si="12"/>
        <v>0</v>
      </c>
      <c r="G75" s="87">
        <f t="shared" si="13"/>
        <v>0</v>
      </c>
      <c r="H75" s="87">
        <f t="shared" si="14"/>
        <v>0</v>
      </c>
      <c r="I75" s="87">
        <f t="shared" si="15"/>
        <v>9.5294089808065755E-5</v>
      </c>
      <c r="J75" s="87">
        <f t="shared" si="16"/>
        <v>4.6867986906851994E-5</v>
      </c>
      <c r="K75" s="120">
        <f t="shared" si="6"/>
        <v>3.1245324604567994E-5</v>
      </c>
      <c r="O75" s="116">
        <f>Amnt_Deposited!B70</f>
        <v>2056</v>
      </c>
      <c r="P75" s="119">
        <f>Amnt_Deposited!C70</f>
        <v>0</v>
      </c>
      <c r="Q75" s="319">
        <f>MCF!R74</f>
        <v>0.8</v>
      </c>
      <c r="R75" s="87">
        <f t="shared" si="17"/>
        <v>0</v>
      </c>
      <c r="S75" s="87">
        <f t="shared" si="7"/>
        <v>0</v>
      </c>
      <c r="T75" s="87">
        <f t="shared" si="8"/>
        <v>0</v>
      </c>
      <c r="U75" s="87">
        <f t="shared" si="9"/>
        <v>6.3756081495137642E-5</v>
      </c>
      <c r="V75" s="87">
        <f t="shared" si="10"/>
        <v>3.1356815504138254E-5</v>
      </c>
      <c r="W75" s="120">
        <f t="shared" si="11"/>
        <v>2.09045436694255E-5</v>
      </c>
    </row>
    <row r="76" spans="2:23">
      <c r="B76" s="116">
        <f>Amnt_Deposited!B71</f>
        <v>2057</v>
      </c>
      <c r="C76" s="119">
        <f>Amnt_Deposited!C71</f>
        <v>0</v>
      </c>
      <c r="D76" s="453">
        <f>Dry_Matter_Content!C63</f>
        <v>0.59</v>
      </c>
      <c r="E76" s="319">
        <f>MCF!R75</f>
        <v>0.8</v>
      </c>
      <c r="F76" s="87">
        <f t="shared" si="12"/>
        <v>0</v>
      </c>
      <c r="G76" s="87">
        <f t="shared" si="13"/>
        <v>0</v>
      </c>
      <c r="H76" s="87">
        <f t="shared" si="14"/>
        <v>0</v>
      </c>
      <c r="I76" s="87">
        <f t="shared" si="15"/>
        <v>6.3877538667066991E-5</v>
      </c>
      <c r="J76" s="87">
        <f t="shared" si="16"/>
        <v>3.1416551140998771E-5</v>
      </c>
      <c r="K76" s="120">
        <f t="shared" si="6"/>
        <v>2.0944367427332512E-5</v>
      </c>
      <c r="O76" s="116">
        <f>Amnt_Deposited!B71</f>
        <v>2057</v>
      </c>
      <c r="P76" s="119">
        <f>Amnt_Deposited!C71</f>
        <v>0</v>
      </c>
      <c r="Q76" s="319">
        <f>MCF!R75</f>
        <v>0.8</v>
      </c>
      <c r="R76" s="87">
        <f t="shared" si="17"/>
        <v>0</v>
      </c>
      <c r="S76" s="87">
        <f t="shared" si="7"/>
        <v>0</v>
      </c>
      <c r="T76" s="87">
        <f t="shared" si="8"/>
        <v>0</v>
      </c>
      <c r="U76" s="87">
        <f t="shared" si="9"/>
        <v>4.2736979482872636E-5</v>
      </c>
      <c r="V76" s="87">
        <f t="shared" si="10"/>
        <v>2.1019102012265005E-5</v>
      </c>
      <c r="W76" s="120">
        <f t="shared" si="11"/>
        <v>1.4012734674843336E-5</v>
      </c>
    </row>
    <row r="77" spans="2:23">
      <c r="B77" s="116">
        <f>Amnt_Deposited!B72</f>
        <v>2058</v>
      </c>
      <c r="C77" s="119">
        <f>Amnt_Deposited!C72</f>
        <v>0</v>
      </c>
      <c r="D77" s="453">
        <f>Dry_Matter_Content!C64</f>
        <v>0.59</v>
      </c>
      <c r="E77" s="319">
        <f>MCF!R76</f>
        <v>0.8</v>
      </c>
      <c r="F77" s="87">
        <f t="shared" si="12"/>
        <v>0</v>
      </c>
      <c r="G77" s="87">
        <f t="shared" si="13"/>
        <v>0</v>
      </c>
      <c r="H77" s="87">
        <f t="shared" si="14"/>
        <v>0</v>
      </c>
      <c r="I77" s="87">
        <f t="shared" si="15"/>
        <v>4.2818394659951674E-5</v>
      </c>
      <c r="J77" s="87">
        <f t="shared" si="16"/>
        <v>2.1059144007115314E-5</v>
      </c>
      <c r="K77" s="120">
        <f t="shared" si="6"/>
        <v>1.4039429338076876E-5</v>
      </c>
      <c r="O77" s="116">
        <f>Amnt_Deposited!B72</f>
        <v>2058</v>
      </c>
      <c r="P77" s="119">
        <f>Amnt_Deposited!C72</f>
        <v>0</v>
      </c>
      <c r="Q77" s="319">
        <f>MCF!R76</f>
        <v>0.8</v>
      </c>
      <c r="R77" s="87">
        <f t="shared" si="17"/>
        <v>0</v>
      </c>
      <c r="S77" s="87">
        <f t="shared" si="7"/>
        <v>0</v>
      </c>
      <c r="T77" s="87">
        <f t="shared" si="8"/>
        <v>0</v>
      </c>
      <c r="U77" s="87">
        <f t="shared" si="9"/>
        <v>2.8647454054383358E-5</v>
      </c>
      <c r="V77" s="87">
        <f t="shared" si="10"/>
        <v>1.4089525428489277E-5</v>
      </c>
      <c r="W77" s="120">
        <f t="shared" si="11"/>
        <v>9.3930169523261833E-6</v>
      </c>
    </row>
    <row r="78" spans="2:23">
      <c r="B78" s="116">
        <f>Amnt_Deposited!B73</f>
        <v>2059</v>
      </c>
      <c r="C78" s="119">
        <f>Amnt_Deposited!C73</f>
        <v>0</v>
      </c>
      <c r="D78" s="453">
        <f>Dry_Matter_Content!C65</f>
        <v>0.59</v>
      </c>
      <c r="E78" s="319">
        <f>MCF!R77</f>
        <v>0.8</v>
      </c>
      <c r="F78" s="87">
        <f t="shared" si="12"/>
        <v>0</v>
      </c>
      <c r="G78" s="87">
        <f t="shared" si="13"/>
        <v>0</v>
      </c>
      <c r="H78" s="87">
        <f t="shared" si="14"/>
        <v>0</v>
      </c>
      <c r="I78" s="87">
        <f t="shared" si="15"/>
        <v>2.8702028279630981E-5</v>
      </c>
      <c r="J78" s="87">
        <f t="shared" si="16"/>
        <v>1.4116366380320695E-5</v>
      </c>
      <c r="K78" s="120">
        <f t="shared" si="6"/>
        <v>9.410910920213796E-6</v>
      </c>
      <c r="O78" s="116">
        <f>Amnt_Deposited!B73</f>
        <v>2059</v>
      </c>
      <c r="P78" s="119">
        <f>Amnt_Deposited!C73</f>
        <v>0</v>
      </c>
      <c r="Q78" s="319">
        <f>MCF!R77</f>
        <v>0.8</v>
      </c>
      <c r="R78" s="87">
        <f t="shared" si="17"/>
        <v>0</v>
      </c>
      <c r="S78" s="87">
        <f t="shared" si="7"/>
        <v>0</v>
      </c>
      <c r="T78" s="87">
        <f t="shared" si="8"/>
        <v>0</v>
      </c>
      <c r="U78" s="87">
        <f t="shared" si="9"/>
        <v>1.9202962720538116E-5</v>
      </c>
      <c r="V78" s="87">
        <f t="shared" si="10"/>
        <v>9.4444913338452438E-6</v>
      </c>
      <c r="W78" s="120">
        <f t="shared" si="11"/>
        <v>6.2963275558968286E-6</v>
      </c>
    </row>
    <row r="79" spans="2:23">
      <c r="B79" s="116">
        <f>Amnt_Deposited!B74</f>
        <v>2060</v>
      </c>
      <c r="C79" s="119">
        <f>Amnt_Deposited!C74</f>
        <v>0</v>
      </c>
      <c r="D79" s="453">
        <f>Dry_Matter_Content!C66</f>
        <v>0.59</v>
      </c>
      <c r="E79" s="319">
        <f>MCF!R78</f>
        <v>0.8</v>
      </c>
      <c r="F79" s="87">
        <f t="shared" si="12"/>
        <v>0</v>
      </c>
      <c r="G79" s="87">
        <f t="shared" si="13"/>
        <v>0</v>
      </c>
      <c r="H79" s="87">
        <f t="shared" si="14"/>
        <v>0</v>
      </c>
      <c r="I79" s="87">
        <f t="shared" si="15"/>
        <v>1.9239544917718461E-5</v>
      </c>
      <c r="J79" s="87">
        <f t="shared" si="16"/>
        <v>9.4624833619125193E-6</v>
      </c>
      <c r="K79" s="120">
        <f t="shared" si="6"/>
        <v>6.3083222412750129E-6</v>
      </c>
      <c r="O79" s="116">
        <f>Amnt_Deposited!B74</f>
        <v>2060</v>
      </c>
      <c r="P79" s="119">
        <f>Amnt_Deposited!C74</f>
        <v>0</v>
      </c>
      <c r="Q79" s="319">
        <f>MCF!R78</f>
        <v>0.8</v>
      </c>
      <c r="R79" s="87">
        <f t="shared" si="17"/>
        <v>0</v>
      </c>
      <c r="S79" s="87">
        <f t="shared" si="7"/>
        <v>0</v>
      </c>
      <c r="T79" s="87">
        <f t="shared" si="8"/>
        <v>0</v>
      </c>
      <c r="U79" s="87">
        <f t="shared" si="9"/>
        <v>1.2872130854851775E-5</v>
      </c>
      <c r="V79" s="87">
        <f t="shared" si="10"/>
        <v>6.3308318656863401E-6</v>
      </c>
      <c r="W79" s="120">
        <f t="shared" si="11"/>
        <v>4.2205545771242264E-6</v>
      </c>
    </row>
    <row r="80" spans="2:23">
      <c r="B80" s="116">
        <f>Amnt_Deposited!B75</f>
        <v>2061</v>
      </c>
      <c r="C80" s="119">
        <f>Amnt_Deposited!C75</f>
        <v>0</v>
      </c>
      <c r="D80" s="453">
        <f>Dry_Matter_Content!C67</f>
        <v>0.59</v>
      </c>
      <c r="E80" s="319">
        <f>MCF!R79</f>
        <v>0.8</v>
      </c>
      <c r="F80" s="87">
        <f t="shared" si="12"/>
        <v>0</v>
      </c>
      <c r="G80" s="87">
        <f t="shared" si="13"/>
        <v>0</v>
      </c>
      <c r="H80" s="87">
        <f t="shared" si="14"/>
        <v>0</v>
      </c>
      <c r="I80" s="87">
        <f t="shared" si="15"/>
        <v>1.289665263494979E-5</v>
      </c>
      <c r="J80" s="87">
        <f t="shared" si="16"/>
        <v>6.3428922827686718E-6</v>
      </c>
      <c r="K80" s="120">
        <f t="shared" si="6"/>
        <v>4.2285948551791146E-6</v>
      </c>
      <c r="O80" s="116">
        <f>Amnt_Deposited!B75</f>
        <v>2061</v>
      </c>
      <c r="P80" s="119">
        <f>Amnt_Deposited!C75</f>
        <v>0</v>
      </c>
      <c r="Q80" s="319">
        <f>MCF!R79</f>
        <v>0.8</v>
      </c>
      <c r="R80" s="87">
        <f t="shared" si="17"/>
        <v>0</v>
      </c>
      <c r="S80" s="87">
        <f t="shared" si="7"/>
        <v>0</v>
      </c>
      <c r="T80" s="87">
        <f t="shared" si="8"/>
        <v>0</v>
      </c>
      <c r="U80" s="87">
        <f t="shared" si="9"/>
        <v>8.6284473472010146E-6</v>
      </c>
      <c r="V80" s="87">
        <f t="shared" si="10"/>
        <v>4.2436835076507594E-6</v>
      </c>
      <c r="W80" s="120">
        <f t="shared" si="11"/>
        <v>2.8291223384338393E-6</v>
      </c>
    </row>
    <row r="81" spans="2:23">
      <c r="B81" s="116">
        <f>Amnt_Deposited!B76</f>
        <v>2062</v>
      </c>
      <c r="C81" s="119">
        <f>Amnt_Deposited!C76</f>
        <v>0</v>
      </c>
      <c r="D81" s="453">
        <f>Dry_Matter_Content!C68</f>
        <v>0.59</v>
      </c>
      <c r="E81" s="319">
        <f>MCF!R80</f>
        <v>0.8</v>
      </c>
      <c r="F81" s="87">
        <f t="shared" si="12"/>
        <v>0</v>
      </c>
      <c r="G81" s="87">
        <f t="shared" si="13"/>
        <v>0</v>
      </c>
      <c r="H81" s="87">
        <f t="shared" si="14"/>
        <v>0</v>
      </c>
      <c r="I81" s="87">
        <f t="shared" si="15"/>
        <v>8.6448847879651932E-6</v>
      </c>
      <c r="J81" s="87">
        <f t="shared" si="16"/>
        <v>4.251767846984598E-6</v>
      </c>
      <c r="K81" s="120">
        <f t="shared" si="6"/>
        <v>2.8345118979897317E-6</v>
      </c>
      <c r="O81" s="116">
        <f>Amnt_Deposited!B76</f>
        <v>2062</v>
      </c>
      <c r="P81" s="119">
        <f>Amnt_Deposited!C76</f>
        <v>0</v>
      </c>
      <c r="Q81" s="319">
        <f>MCF!R80</f>
        <v>0.8</v>
      </c>
      <c r="R81" s="87">
        <f t="shared" si="17"/>
        <v>0</v>
      </c>
      <c r="S81" s="87">
        <f t="shared" si="7"/>
        <v>0</v>
      </c>
      <c r="T81" s="87">
        <f t="shared" si="8"/>
        <v>0</v>
      </c>
      <c r="U81" s="87">
        <f t="shared" si="9"/>
        <v>5.7838212229918744E-6</v>
      </c>
      <c r="V81" s="87">
        <f t="shared" si="10"/>
        <v>2.8446261242091406E-6</v>
      </c>
      <c r="W81" s="120">
        <f t="shared" si="11"/>
        <v>1.896417416139427E-6</v>
      </c>
    </row>
    <row r="82" spans="2:23">
      <c r="B82" s="116">
        <f>Amnt_Deposited!B77</f>
        <v>2063</v>
      </c>
      <c r="C82" s="119">
        <f>Amnt_Deposited!C77</f>
        <v>0</v>
      </c>
      <c r="D82" s="453">
        <f>Dry_Matter_Content!C69</f>
        <v>0.59</v>
      </c>
      <c r="E82" s="319">
        <f>MCF!R81</f>
        <v>0.8</v>
      </c>
      <c r="F82" s="87">
        <f t="shared" si="12"/>
        <v>0</v>
      </c>
      <c r="G82" s="87">
        <f t="shared" si="13"/>
        <v>0</v>
      </c>
      <c r="H82" s="87">
        <f t="shared" si="14"/>
        <v>0</v>
      </c>
      <c r="I82" s="87">
        <f t="shared" si="15"/>
        <v>5.7948395690416264E-6</v>
      </c>
      <c r="J82" s="87">
        <f t="shared" si="16"/>
        <v>2.8500452189235668E-6</v>
      </c>
      <c r="K82" s="120">
        <f t="shared" si="6"/>
        <v>1.9000301459490445E-6</v>
      </c>
      <c r="O82" s="116">
        <f>Amnt_Deposited!B77</f>
        <v>2063</v>
      </c>
      <c r="P82" s="119">
        <f>Amnt_Deposited!C77</f>
        <v>0</v>
      </c>
      <c r="Q82" s="319">
        <f>MCF!R81</f>
        <v>0.8</v>
      </c>
      <c r="R82" s="87">
        <f t="shared" si="17"/>
        <v>0</v>
      </c>
      <c r="S82" s="87">
        <f t="shared" si="7"/>
        <v>0</v>
      </c>
      <c r="T82" s="87">
        <f t="shared" si="8"/>
        <v>0</v>
      </c>
      <c r="U82" s="87">
        <f t="shared" si="9"/>
        <v>3.8770113084578207E-6</v>
      </c>
      <c r="V82" s="87">
        <f t="shared" si="10"/>
        <v>1.9068099145340535E-6</v>
      </c>
      <c r="W82" s="120">
        <f t="shared" si="11"/>
        <v>1.2712066096893689E-6</v>
      </c>
    </row>
    <row r="83" spans="2:23">
      <c r="B83" s="116">
        <f>Amnt_Deposited!B78</f>
        <v>2064</v>
      </c>
      <c r="C83" s="119">
        <f>Amnt_Deposited!C78</f>
        <v>0</v>
      </c>
      <c r="D83" s="453">
        <f>Dry_Matter_Content!C70</f>
        <v>0.59</v>
      </c>
      <c r="E83" s="319">
        <f>MCF!R82</f>
        <v>0.8</v>
      </c>
      <c r="F83" s="87">
        <f t="shared" ref="F83:F99" si="18">C83*D83*$K$6*DOCF*E83</f>
        <v>0</v>
      </c>
      <c r="G83" s="87">
        <f t="shared" ref="G83:G99" si="19">F83*$K$12</f>
        <v>0</v>
      </c>
      <c r="H83" s="87">
        <f t="shared" ref="H83:H99" si="20">F83*(1-$K$12)</f>
        <v>0</v>
      </c>
      <c r="I83" s="87">
        <f t="shared" ref="I83:I99" si="21">G83+I82*$K$10</f>
        <v>3.8843971266891278E-6</v>
      </c>
      <c r="J83" s="87">
        <f t="shared" ref="J83:J99" si="22">I82*(1-$K$10)+H83</f>
        <v>1.9104424423524991E-6</v>
      </c>
      <c r="K83" s="120">
        <f t="shared" si="6"/>
        <v>1.2736282949016661E-6</v>
      </c>
      <c r="O83" s="116">
        <f>Amnt_Deposited!B78</f>
        <v>2064</v>
      </c>
      <c r="P83" s="119">
        <f>Amnt_Deposited!C78</f>
        <v>0</v>
      </c>
      <c r="Q83" s="319">
        <f>MCF!R82</f>
        <v>0.8</v>
      </c>
      <c r="R83" s="87">
        <f t="shared" ref="R83:R99" si="23">P83*$W$6*DOCF*Q83</f>
        <v>0</v>
      </c>
      <c r="S83" s="87">
        <f t="shared" si="7"/>
        <v>0</v>
      </c>
      <c r="T83" s="87">
        <f t="shared" si="8"/>
        <v>0</v>
      </c>
      <c r="U83" s="87">
        <f t="shared" si="9"/>
        <v>2.5988383987661406E-6</v>
      </c>
      <c r="V83" s="87">
        <f t="shared" si="10"/>
        <v>1.2781729096916801E-6</v>
      </c>
      <c r="W83" s="120">
        <f t="shared" si="11"/>
        <v>8.5211527312778666E-7</v>
      </c>
    </row>
    <row r="84" spans="2:23">
      <c r="B84" s="116">
        <f>Amnt_Deposited!B79</f>
        <v>2065</v>
      </c>
      <c r="C84" s="119">
        <f>Amnt_Deposited!C79</f>
        <v>0</v>
      </c>
      <c r="D84" s="453">
        <f>Dry_Matter_Content!C71</f>
        <v>0.59</v>
      </c>
      <c r="E84" s="319">
        <f>MCF!R83</f>
        <v>0.8</v>
      </c>
      <c r="F84" s="87">
        <f t="shared" si="18"/>
        <v>0</v>
      </c>
      <c r="G84" s="87">
        <f t="shared" si="19"/>
        <v>0</v>
      </c>
      <c r="H84" s="87">
        <f t="shared" si="20"/>
        <v>0</v>
      </c>
      <c r="I84" s="87">
        <f t="shared" si="21"/>
        <v>2.6037892607829612E-6</v>
      </c>
      <c r="J84" s="87">
        <f t="shared" si="22"/>
        <v>1.2806078659061666E-6</v>
      </c>
      <c r="K84" s="120">
        <f t="shared" si="6"/>
        <v>8.5373857727077763E-7</v>
      </c>
      <c r="O84" s="116">
        <f>Amnt_Deposited!B79</f>
        <v>2065</v>
      </c>
      <c r="P84" s="119">
        <f>Amnt_Deposited!C79</f>
        <v>0</v>
      </c>
      <c r="Q84" s="319">
        <f>MCF!R83</f>
        <v>0.8</v>
      </c>
      <c r="R84" s="87">
        <f t="shared" si="23"/>
        <v>0</v>
      </c>
      <c r="S84" s="87">
        <f t="shared" si="7"/>
        <v>0</v>
      </c>
      <c r="T84" s="87">
        <f t="shared" si="8"/>
        <v>0</v>
      </c>
      <c r="U84" s="87">
        <f t="shared" si="9"/>
        <v>1.7420534751001065E-6</v>
      </c>
      <c r="V84" s="87">
        <f t="shared" si="10"/>
        <v>8.5678492366603401E-7</v>
      </c>
      <c r="W84" s="120">
        <f t="shared" si="11"/>
        <v>5.7118994911068931E-7</v>
      </c>
    </row>
    <row r="85" spans="2:23">
      <c r="B85" s="116">
        <f>Amnt_Deposited!B80</f>
        <v>2066</v>
      </c>
      <c r="C85" s="119">
        <f>Amnt_Deposited!C80</f>
        <v>0</v>
      </c>
      <c r="D85" s="453">
        <f>Dry_Matter_Content!C72</f>
        <v>0.59</v>
      </c>
      <c r="E85" s="319">
        <f>MCF!R84</f>
        <v>0.8</v>
      </c>
      <c r="F85" s="87">
        <f t="shared" si="18"/>
        <v>0</v>
      </c>
      <c r="G85" s="87">
        <f t="shared" si="19"/>
        <v>0</v>
      </c>
      <c r="H85" s="87">
        <f t="shared" si="20"/>
        <v>0</v>
      </c>
      <c r="I85" s="87">
        <f t="shared" si="21"/>
        <v>1.7453721371551378E-6</v>
      </c>
      <c r="J85" s="87">
        <f t="shared" si="22"/>
        <v>8.5841712362782333E-7</v>
      </c>
      <c r="K85" s="120">
        <f t="shared" ref="K85:K99" si="24">J85*CH4_fraction*conv</f>
        <v>5.7227808241854885E-7</v>
      </c>
      <c r="O85" s="116">
        <f>Amnt_Deposited!B80</f>
        <v>2066</v>
      </c>
      <c r="P85" s="119">
        <f>Amnt_Deposited!C80</f>
        <v>0</v>
      </c>
      <c r="Q85" s="319">
        <f>MCF!R84</f>
        <v>0.8</v>
      </c>
      <c r="R85" s="87">
        <f t="shared" si="23"/>
        <v>0</v>
      </c>
      <c r="S85" s="87">
        <f t="shared" ref="S85:S98" si="25">R85*$W$12</f>
        <v>0</v>
      </c>
      <c r="T85" s="87">
        <f t="shared" ref="T85:T98" si="26">R85*(1-$W$12)</f>
        <v>0</v>
      </c>
      <c r="U85" s="87">
        <f t="shared" ref="U85:U98" si="27">S85+U84*$W$10</f>
        <v>1.1677333656256489E-6</v>
      </c>
      <c r="V85" s="87">
        <f t="shared" ref="V85:V98" si="28">U84*(1-$W$10)+T85</f>
        <v>5.7432010947445761E-7</v>
      </c>
      <c r="W85" s="120">
        <f t="shared" ref="W85:W99" si="29">V85*CH4_fraction*conv</f>
        <v>3.8288007298297172E-7</v>
      </c>
    </row>
    <row r="86" spans="2:23">
      <c r="B86" s="116">
        <f>Amnt_Deposited!B81</f>
        <v>2067</v>
      </c>
      <c r="C86" s="119">
        <f>Amnt_Deposited!C81</f>
        <v>0</v>
      </c>
      <c r="D86" s="453">
        <f>Dry_Matter_Content!C73</f>
        <v>0.59</v>
      </c>
      <c r="E86" s="319">
        <f>MCF!R85</f>
        <v>0.8</v>
      </c>
      <c r="F86" s="87">
        <f t="shared" si="18"/>
        <v>0</v>
      </c>
      <c r="G86" s="87">
        <f t="shared" si="19"/>
        <v>0</v>
      </c>
      <c r="H86" s="87">
        <f t="shared" si="20"/>
        <v>0</v>
      </c>
      <c r="I86" s="87">
        <f t="shared" si="21"/>
        <v>1.1699579313271542E-6</v>
      </c>
      <c r="J86" s="87">
        <f t="shared" si="22"/>
        <v>5.754142058279836E-7</v>
      </c>
      <c r="K86" s="120">
        <f t="shared" si="24"/>
        <v>3.8360947055198905E-7</v>
      </c>
      <c r="O86" s="116">
        <f>Amnt_Deposited!B81</f>
        <v>2067</v>
      </c>
      <c r="P86" s="119">
        <f>Amnt_Deposited!C81</f>
        <v>0</v>
      </c>
      <c r="Q86" s="319">
        <f>MCF!R85</f>
        <v>0.8</v>
      </c>
      <c r="R86" s="87">
        <f t="shared" si="23"/>
        <v>0</v>
      </c>
      <c r="S86" s="87">
        <f t="shared" si="25"/>
        <v>0</v>
      </c>
      <c r="T86" s="87">
        <f t="shared" si="26"/>
        <v>0</v>
      </c>
      <c r="U86" s="87">
        <f t="shared" si="27"/>
        <v>7.8275508340353704E-7</v>
      </c>
      <c r="V86" s="87">
        <f t="shared" si="28"/>
        <v>3.8497828222211185E-7</v>
      </c>
      <c r="W86" s="120">
        <f t="shared" si="29"/>
        <v>2.5665218814807455E-7</v>
      </c>
    </row>
    <row r="87" spans="2:23">
      <c r="B87" s="116">
        <f>Amnt_Deposited!B82</f>
        <v>2068</v>
      </c>
      <c r="C87" s="119">
        <f>Amnt_Deposited!C82</f>
        <v>0</v>
      </c>
      <c r="D87" s="453">
        <f>Dry_Matter_Content!C74</f>
        <v>0.59</v>
      </c>
      <c r="E87" s="319">
        <f>MCF!R86</f>
        <v>0.8</v>
      </c>
      <c r="F87" s="87">
        <f t="shared" si="18"/>
        <v>0</v>
      </c>
      <c r="G87" s="87">
        <f t="shared" si="19"/>
        <v>0</v>
      </c>
      <c r="H87" s="87">
        <f t="shared" si="20"/>
        <v>0</v>
      </c>
      <c r="I87" s="87">
        <f t="shared" si="21"/>
        <v>7.842462543869793E-7</v>
      </c>
      <c r="J87" s="87">
        <f t="shared" si="22"/>
        <v>3.8571167694017483E-7</v>
      </c>
      <c r="K87" s="120">
        <f t="shared" si="24"/>
        <v>2.5714111796011652E-7</v>
      </c>
      <c r="O87" s="116">
        <f>Amnt_Deposited!B82</f>
        <v>2068</v>
      </c>
      <c r="P87" s="119">
        <f>Amnt_Deposited!C82</f>
        <v>0</v>
      </c>
      <c r="Q87" s="319">
        <f>MCF!R86</f>
        <v>0.8</v>
      </c>
      <c r="R87" s="87">
        <f t="shared" si="23"/>
        <v>0</v>
      </c>
      <c r="S87" s="87">
        <f t="shared" si="25"/>
        <v>0</v>
      </c>
      <c r="T87" s="87">
        <f t="shared" si="26"/>
        <v>0</v>
      </c>
      <c r="U87" s="87">
        <f t="shared" si="27"/>
        <v>5.2469642354168961E-7</v>
      </c>
      <c r="V87" s="87">
        <f t="shared" si="28"/>
        <v>2.5805865986184737E-7</v>
      </c>
      <c r="W87" s="120">
        <f t="shared" si="29"/>
        <v>1.720391065745649E-7</v>
      </c>
    </row>
    <row r="88" spans="2:23">
      <c r="B88" s="116">
        <f>Amnt_Deposited!B83</f>
        <v>2069</v>
      </c>
      <c r="C88" s="119">
        <f>Amnt_Deposited!C83</f>
        <v>0</v>
      </c>
      <c r="D88" s="453">
        <f>Dry_Matter_Content!C75</f>
        <v>0.59</v>
      </c>
      <c r="E88" s="319">
        <f>MCF!R87</f>
        <v>0.8</v>
      </c>
      <c r="F88" s="87">
        <f t="shared" si="18"/>
        <v>0</v>
      </c>
      <c r="G88" s="87">
        <f t="shared" si="19"/>
        <v>0</v>
      </c>
      <c r="H88" s="87">
        <f t="shared" si="20"/>
        <v>0</v>
      </c>
      <c r="I88" s="87">
        <f t="shared" si="21"/>
        <v>5.2569598534395768E-7</v>
      </c>
      <c r="J88" s="87">
        <f t="shared" si="22"/>
        <v>2.5855026904302162E-7</v>
      </c>
      <c r="K88" s="120">
        <f t="shared" si="24"/>
        <v>1.7236684602868106E-7</v>
      </c>
      <c r="O88" s="116">
        <f>Amnt_Deposited!B83</f>
        <v>2069</v>
      </c>
      <c r="P88" s="119">
        <f>Amnt_Deposited!C83</f>
        <v>0</v>
      </c>
      <c r="Q88" s="319">
        <f>MCF!R87</f>
        <v>0.8</v>
      </c>
      <c r="R88" s="87">
        <f t="shared" si="23"/>
        <v>0</v>
      </c>
      <c r="S88" s="87">
        <f t="shared" si="25"/>
        <v>0</v>
      </c>
      <c r="T88" s="87">
        <f t="shared" si="26"/>
        <v>0</v>
      </c>
      <c r="U88" s="87">
        <f t="shared" si="27"/>
        <v>3.5171453078320069E-7</v>
      </c>
      <c r="V88" s="87">
        <f t="shared" si="28"/>
        <v>1.7298189275848893E-7</v>
      </c>
      <c r="W88" s="120">
        <f t="shared" si="29"/>
        <v>1.1532126183899262E-7</v>
      </c>
    </row>
    <row r="89" spans="2:23">
      <c r="B89" s="116">
        <f>Amnt_Deposited!B84</f>
        <v>2070</v>
      </c>
      <c r="C89" s="119">
        <f>Amnt_Deposited!C84</f>
        <v>0</v>
      </c>
      <c r="D89" s="453">
        <f>Dry_Matter_Content!C76</f>
        <v>0.59</v>
      </c>
      <c r="E89" s="319">
        <f>MCF!R88</f>
        <v>0.8</v>
      </c>
      <c r="F89" s="87">
        <f t="shared" si="18"/>
        <v>0</v>
      </c>
      <c r="G89" s="87">
        <f t="shared" si="19"/>
        <v>0</v>
      </c>
      <c r="H89" s="87">
        <f t="shared" si="20"/>
        <v>0</v>
      </c>
      <c r="I89" s="87">
        <f t="shared" si="21"/>
        <v>3.5238455709651247E-7</v>
      </c>
      <c r="J89" s="87">
        <f t="shared" si="22"/>
        <v>1.7331142824744519E-7</v>
      </c>
      <c r="K89" s="120">
        <f t="shared" si="24"/>
        <v>1.1554095216496345E-7</v>
      </c>
      <c r="O89" s="116">
        <f>Amnt_Deposited!B84</f>
        <v>2070</v>
      </c>
      <c r="P89" s="119">
        <f>Amnt_Deposited!C84</f>
        <v>0</v>
      </c>
      <c r="Q89" s="319">
        <f>MCF!R88</f>
        <v>0.8</v>
      </c>
      <c r="R89" s="87">
        <f t="shared" si="23"/>
        <v>0</v>
      </c>
      <c r="S89" s="87">
        <f t="shared" si="25"/>
        <v>0</v>
      </c>
      <c r="T89" s="87">
        <f t="shared" si="26"/>
        <v>0</v>
      </c>
      <c r="U89" s="87">
        <f t="shared" si="27"/>
        <v>2.3576130046599837E-7</v>
      </c>
      <c r="V89" s="87">
        <f t="shared" si="28"/>
        <v>1.1595323031720232E-7</v>
      </c>
      <c r="W89" s="120">
        <f t="shared" si="29"/>
        <v>7.7302153544801545E-8</v>
      </c>
    </row>
    <row r="90" spans="2:23">
      <c r="B90" s="116">
        <f>Amnt_Deposited!B85</f>
        <v>2071</v>
      </c>
      <c r="C90" s="119">
        <f>Amnt_Deposited!C85</f>
        <v>0</v>
      </c>
      <c r="D90" s="453">
        <f>Dry_Matter_Content!C77</f>
        <v>0.59</v>
      </c>
      <c r="E90" s="319">
        <f>MCF!R89</f>
        <v>0.8</v>
      </c>
      <c r="F90" s="87">
        <f t="shared" si="18"/>
        <v>0</v>
      </c>
      <c r="G90" s="87">
        <f t="shared" si="19"/>
        <v>0</v>
      </c>
      <c r="H90" s="87">
        <f t="shared" si="20"/>
        <v>0</v>
      </c>
      <c r="I90" s="87">
        <f t="shared" si="21"/>
        <v>2.362104325351826E-7</v>
      </c>
      <c r="J90" s="87">
        <f t="shared" si="22"/>
        <v>1.1617412456132985E-7</v>
      </c>
      <c r="K90" s="120">
        <f t="shared" si="24"/>
        <v>7.7449416374219892E-8</v>
      </c>
      <c r="O90" s="116">
        <f>Amnt_Deposited!B85</f>
        <v>2071</v>
      </c>
      <c r="P90" s="119">
        <f>Amnt_Deposited!C85</f>
        <v>0</v>
      </c>
      <c r="Q90" s="319">
        <f>MCF!R89</f>
        <v>0.8</v>
      </c>
      <c r="R90" s="87">
        <f t="shared" si="23"/>
        <v>0</v>
      </c>
      <c r="S90" s="87">
        <f t="shared" si="25"/>
        <v>0</v>
      </c>
      <c r="T90" s="87">
        <f t="shared" si="26"/>
        <v>0</v>
      </c>
      <c r="U90" s="87">
        <f t="shared" si="27"/>
        <v>1.5803552578179023E-7</v>
      </c>
      <c r="V90" s="87">
        <f t="shared" si="28"/>
        <v>7.7725774684208153E-8</v>
      </c>
      <c r="W90" s="120">
        <f t="shared" si="29"/>
        <v>5.1817183122805433E-8</v>
      </c>
    </row>
    <row r="91" spans="2:23">
      <c r="B91" s="116">
        <f>Amnt_Deposited!B86</f>
        <v>2072</v>
      </c>
      <c r="C91" s="119">
        <f>Amnt_Deposited!C86</f>
        <v>0</v>
      </c>
      <c r="D91" s="453">
        <f>Dry_Matter_Content!C78</f>
        <v>0.59</v>
      </c>
      <c r="E91" s="319">
        <f>MCF!R90</f>
        <v>0.8</v>
      </c>
      <c r="F91" s="87">
        <f t="shared" si="18"/>
        <v>0</v>
      </c>
      <c r="G91" s="87">
        <f t="shared" si="19"/>
        <v>0</v>
      </c>
      <c r="H91" s="87">
        <f t="shared" si="20"/>
        <v>0</v>
      </c>
      <c r="I91" s="87">
        <f t="shared" si="21"/>
        <v>1.5833658801108188E-7</v>
      </c>
      <c r="J91" s="87">
        <f t="shared" si="22"/>
        <v>7.7873844524100726E-8</v>
      </c>
      <c r="K91" s="120">
        <f t="shared" si="24"/>
        <v>5.1915896349400482E-8</v>
      </c>
      <c r="O91" s="116">
        <f>Amnt_Deposited!B86</f>
        <v>2072</v>
      </c>
      <c r="P91" s="119">
        <f>Amnt_Deposited!C86</f>
        <v>0</v>
      </c>
      <c r="Q91" s="319">
        <f>MCF!R90</f>
        <v>0.8</v>
      </c>
      <c r="R91" s="87">
        <f t="shared" si="23"/>
        <v>0</v>
      </c>
      <c r="S91" s="87">
        <f t="shared" si="25"/>
        <v>0</v>
      </c>
      <c r="T91" s="87">
        <f t="shared" si="26"/>
        <v>0</v>
      </c>
      <c r="U91" s="87">
        <f t="shared" si="27"/>
        <v>1.0593438091731609E-7</v>
      </c>
      <c r="V91" s="87">
        <f t="shared" si="28"/>
        <v>5.2101144864474141E-8</v>
      </c>
      <c r="W91" s="120">
        <f t="shared" si="29"/>
        <v>3.4734096576316091E-8</v>
      </c>
    </row>
    <row r="92" spans="2:23">
      <c r="B92" s="116">
        <f>Amnt_Deposited!B87</f>
        <v>2073</v>
      </c>
      <c r="C92" s="119">
        <f>Amnt_Deposited!C87</f>
        <v>0</v>
      </c>
      <c r="D92" s="453">
        <f>Dry_Matter_Content!C79</f>
        <v>0.59</v>
      </c>
      <c r="E92" s="319">
        <f>MCF!R91</f>
        <v>0.8</v>
      </c>
      <c r="F92" s="87">
        <f t="shared" si="18"/>
        <v>0</v>
      </c>
      <c r="G92" s="87">
        <f t="shared" si="19"/>
        <v>0</v>
      </c>
      <c r="H92" s="87">
        <f t="shared" si="20"/>
        <v>0</v>
      </c>
      <c r="I92" s="87">
        <f t="shared" si="21"/>
        <v>1.0613618896471446E-7</v>
      </c>
      <c r="J92" s="87">
        <f t="shared" si="22"/>
        <v>5.2200399046367413E-8</v>
      </c>
      <c r="K92" s="120">
        <f t="shared" si="24"/>
        <v>3.4800266030911607E-8</v>
      </c>
      <c r="O92" s="116">
        <f>Amnt_Deposited!B87</f>
        <v>2073</v>
      </c>
      <c r="P92" s="119">
        <f>Amnt_Deposited!C87</f>
        <v>0</v>
      </c>
      <c r="Q92" s="319">
        <f>MCF!R91</f>
        <v>0.8</v>
      </c>
      <c r="R92" s="87">
        <f t="shared" si="23"/>
        <v>0</v>
      </c>
      <c r="S92" s="87">
        <f t="shared" si="25"/>
        <v>0</v>
      </c>
      <c r="T92" s="87">
        <f t="shared" si="26"/>
        <v>0</v>
      </c>
      <c r="U92" s="87">
        <f t="shared" si="27"/>
        <v>7.1009939093252268E-8</v>
      </c>
      <c r="V92" s="87">
        <f t="shared" si="28"/>
        <v>3.4924441824063816E-8</v>
      </c>
      <c r="W92" s="120">
        <f t="shared" si="29"/>
        <v>2.3282961216042544E-8</v>
      </c>
    </row>
    <row r="93" spans="2:23">
      <c r="B93" s="116">
        <f>Amnt_Deposited!B88</f>
        <v>2074</v>
      </c>
      <c r="C93" s="119">
        <f>Amnt_Deposited!C88</f>
        <v>0</v>
      </c>
      <c r="D93" s="453">
        <f>Dry_Matter_Content!C80</f>
        <v>0.59</v>
      </c>
      <c r="E93" s="319">
        <f>MCF!R92</f>
        <v>0.8</v>
      </c>
      <c r="F93" s="87">
        <f t="shared" si="18"/>
        <v>0</v>
      </c>
      <c r="G93" s="87">
        <f t="shared" si="19"/>
        <v>0</v>
      </c>
      <c r="H93" s="87">
        <f t="shared" si="20"/>
        <v>0</v>
      </c>
      <c r="I93" s="87">
        <f t="shared" si="21"/>
        <v>7.114521507287471E-8</v>
      </c>
      <c r="J93" s="87">
        <f t="shared" si="22"/>
        <v>3.4990973891839746E-8</v>
      </c>
      <c r="K93" s="120">
        <f t="shared" si="24"/>
        <v>2.3327315927893163E-8</v>
      </c>
      <c r="O93" s="116">
        <f>Amnt_Deposited!B88</f>
        <v>2074</v>
      </c>
      <c r="P93" s="119">
        <f>Amnt_Deposited!C88</f>
        <v>0</v>
      </c>
      <c r="Q93" s="319">
        <f>MCF!R92</f>
        <v>0.8</v>
      </c>
      <c r="R93" s="87">
        <f t="shared" si="23"/>
        <v>0</v>
      </c>
      <c r="S93" s="87">
        <f t="shared" si="25"/>
        <v>0</v>
      </c>
      <c r="T93" s="87">
        <f t="shared" si="26"/>
        <v>0</v>
      </c>
      <c r="U93" s="87">
        <f t="shared" si="27"/>
        <v>4.7599385641976808E-8</v>
      </c>
      <c r="V93" s="87">
        <f t="shared" si="28"/>
        <v>2.3410553451275464E-8</v>
      </c>
      <c r="W93" s="120">
        <f t="shared" si="29"/>
        <v>1.5607035634183643E-8</v>
      </c>
    </row>
    <row r="94" spans="2:23">
      <c r="B94" s="116">
        <f>Amnt_Deposited!B89</f>
        <v>2075</v>
      </c>
      <c r="C94" s="119">
        <f>Amnt_Deposited!C89</f>
        <v>0</v>
      </c>
      <c r="D94" s="453">
        <f>Dry_Matter_Content!C81</f>
        <v>0.59</v>
      </c>
      <c r="E94" s="319">
        <f>MCF!R93</f>
        <v>0.8</v>
      </c>
      <c r="F94" s="87">
        <f t="shared" si="18"/>
        <v>0</v>
      </c>
      <c r="G94" s="87">
        <f t="shared" si="19"/>
        <v>0</v>
      </c>
      <c r="H94" s="87">
        <f t="shared" si="20"/>
        <v>0</v>
      </c>
      <c r="I94" s="87">
        <f t="shared" si="21"/>
        <v>4.769006384286484E-8</v>
      </c>
      <c r="J94" s="87">
        <f t="shared" si="22"/>
        <v>2.3455151230009874E-8</v>
      </c>
      <c r="K94" s="120">
        <f t="shared" si="24"/>
        <v>1.5636767486673247E-8</v>
      </c>
      <c r="O94" s="116">
        <f>Amnt_Deposited!B89</f>
        <v>2075</v>
      </c>
      <c r="P94" s="119">
        <f>Amnt_Deposited!C89</f>
        <v>0</v>
      </c>
      <c r="Q94" s="319">
        <f>MCF!R93</f>
        <v>0.8</v>
      </c>
      <c r="R94" s="87">
        <f t="shared" si="23"/>
        <v>0</v>
      </c>
      <c r="S94" s="87">
        <f t="shared" si="25"/>
        <v>0</v>
      </c>
      <c r="T94" s="87">
        <f t="shared" si="26"/>
        <v>0</v>
      </c>
      <c r="U94" s="87">
        <f t="shared" si="27"/>
        <v>3.1906822374798042E-8</v>
      </c>
      <c r="V94" s="87">
        <f t="shared" si="28"/>
        <v>1.5692563267178765E-8</v>
      </c>
      <c r="W94" s="120">
        <f t="shared" si="29"/>
        <v>1.0461708844785843E-8</v>
      </c>
    </row>
    <row r="95" spans="2:23">
      <c r="B95" s="116">
        <f>Amnt_Deposited!B90</f>
        <v>2076</v>
      </c>
      <c r="C95" s="119">
        <f>Amnt_Deposited!C90</f>
        <v>0</v>
      </c>
      <c r="D95" s="453">
        <f>Dry_Matter_Content!C82</f>
        <v>0.59</v>
      </c>
      <c r="E95" s="319">
        <f>MCF!R94</f>
        <v>0.8</v>
      </c>
      <c r="F95" s="87">
        <f t="shared" si="18"/>
        <v>0</v>
      </c>
      <c r="G95" s="87">
        <f t="shared" si="19"/>
        <v>0</v>
      </c>
      <c r="H95" s="87">
        <f t="shared" si="20"/>
        <v>0</v>
      </c>
      <c r="I95" s="87">
        <f t="shared" si="21"/>
        <v>3.1967605790591736E-8</v>
      </c>
      <c r="J95" s="87">
        <f t="shared" si="22"/>
        <v>1.57224580522731E-8</v>
      </c>
      <c r="K95" s="120">
        <f t="shared" si="24"/>
        <v>1.04816387015154E-8</v>
      </c>
      <c r="O95" s="116">
        <f>Amnt_Deposited!B90</f>
        <v>2076</v>
      </c>
      <c r="P95" s="119">
        <f>Amnt_Deposited!C90</f>
        <v>0</v>
      </c>
      <c r="Q95" s="319">
        <f>MCF!R94</f>
        <v>0.8</v>
      </c>
      <c r="R95" s="87">
        <f t="shared" si="23"/>
        <v>0</v>
      </c>
      <c r="S95" s="87">
        <f t="shared" si="25"/>
        <v>0</v>
      </c>
      <c r="T95" s="87">
        <f t="shared" si="26"/>
        <v>0</v>
      </c>
      <c r="U95" s="87">
        <f t="shared" si="27"/>
        <v>2.138778264312559E-8</v>
      </c>
      <c r="V95" s="87">
        <f t="shared" si="28"/>
        <v>1.0519039731672452E-8</v>
      </c>
      <c r="W95" s="120">
        <f t="shared" si="29"/>
        <v>7.0126931544483013E-9</v>
      </c>
    </row>
    <row r="96" spans="2:23">
      <c r="B96" s="116">
        <f>Amnt_Deposited!B91</f>
        <v>2077</v>
      </c>
      <c r="C96" s="119">
        <f>Amnt_Deposited!C91</f>
        <v>0</v>
      </c>
      <c r="D96" s="453">
        <f>Dry_Matter_Content!C83</f>
        <v>0.59</v>
      </c>
      <c r="E96" s="319">
        <f>MCF!R95</f>
        <v>0.8</v>
      </c>
      <c r="F96" s="87">
        <f t="shared" si="18"/>
        <v>0</v>
      </c>
      <c r="G96" s="87">
        <f t="shared" si="19"/>
        <v>0</v>
      </c>
      <c r="H96" s="87">
        <f t="shared" si="20"/>
        <v>0</v>
      </c>
      <c r="I96" s="87">
        <f t="shared" si="21"/>
        <v>2.1428526985198623E-8</v>
      </c>
      <c r="J96" s="87">
        <f t="shared" si="22"/>
        <v>1.0539078805393113E-8</v>
      </c>
      <c r="K96" s="120">
        <f t="shared" si="24"/>
        <v>7.026052536928742E-9</v>
      </c>
      <c r="O96" s="116">
        <f>Amnt_Deposited!B91</f>
        <v>2077</v>
      </c>
      <c r="P96" s="119">
        <f>Amnt_Deposited!C91</f>
        <v>0</v>
      </c>
      <c r="Q96" s="319">
        <f>MCF!R95</f>
        <v>0.8</v>
      </c>
      <c r="R96" s="87">
        <f t="shared" si="23"/>
        <v>0</v>
      </c>
      <c r="S96" s="87">
        <f t="shared" si="25"/>
        <v>0</v>
      </c>
      <c r="T96" s="87">
        <f t="shared" si="26"/>
        <v>0</v>
      </c>
      <c r="U96" s="87">
        <f t="shared" si="27"/>
        <v>1.4336659445940194E-8</v>
      </c>
      <c r="V96" s="87">
        <f t="shared" si="28"/>
        <v>7.0511231971853965E-9</v>
      </c>
      <c r="W96" s="120">
        <f t="shared" si="29"/>
        <v>4.7007487981235974E-9</v>
      </c>
    </row>
    <row r="97" spans="2:23">
      <c r="B97" s="116">
        <f>Amnt_Deposited!B92</f>
        <v>2078</v>
      </c>
      <c r="C97" s="119">
        <f>Amnt_Deposited!C92</f>
        <v>0</v>
      </c>
      <c r="D97" s="453">
        <f>Dry_Matter_Content!C84</f>
        <v>0.59</v>
      </c>
      <c r="E97" s="319">
        <f>MCF!R96</f>
        <v>0.8</v>
      </c>
      <c r="F97" s="87">
        <f t="shared" si="18"/>
        <v>0</v>
      </c>
      <c r="G97" s="87">
        <f t="shared" si="19"/>
        <v>0</v>
      </c>
      <c r="H97" s="87">
        <f t="shared" si="20"/>
        <v>0</v>
      </c>
      <c r="I97" s="87">
        <f t="shared" si="21"/>
        <v>1.436397119519428E-8</v>
      </c>
      <c r="J97" s="87">
        <f t="shared" si="22"/>
        <v>7.0645557900043426E-9</v>
      </c>
      <c r="K97" s="120">
        <f t="shared" si="24"/>
        <v>4.7097038600028945E-9</v>
      </c>
      <c r="O97" s="116">
        <f>Amnt_Deposited!B92</f>
        <v>2078</v>
      </c>
      <c r="P97" s="119">
        <f>Amnt_Deposited!C92</f>
        <v>0</v>
      </c>
      <c r="Q97" s="319">
        <f>MCF!R96</f>
        <v>0.8</v>
      </c>
      <c r="R97" s="87">
        <f t="shared" si="23"/>
        <v>0</v>
      </c>
      <c r="S97" s="87">
        <f t="shared" si="25"/>
        <v>0</v>
      </c>
      <c r="T97" s="87">
        <f t="shared" si="26"/>
        <v>0</v>
      </c>
      <c r="U97" s="87">
        <f t="shared" si="27"/>
        <v>9.6101502197999142E-9</v>
      </c>
      <c r="V97" s="87">
        <f t="shared" si="28"/>
        <v>4.7265092261402794E-9</v>
      </c>
      <c r="W97" s="120">
        <f t="shared" si="29"/>
        <v>3.1510061507601863E-9</v>
      </c>
    </row>
    <row r="98" spans="2:23">
      <c r="B98" s="116">
        <f>Amnt_Deposited!B93</f>
        <v>2079</v>
      </c>
      <c r="C98" s="119">
        <f>Amnt_Deposited!C93</f>
        <v>0</v>
      </c>
      <c r="D98" s="453">
        <f>Dry_Matter_Content!C85</f>
        <v>0.59</v>
      </c>
      <c r="E98" s="319">
        <f>MCF!R97</f>
        <v>0.8</v>
      </c>
      <c r="F98" s="87">
        <f t="shared" si="18"/>
        <v>0</v>
      </c>
      <c r="G98" s="87">
        <f t="shared" si="19"/>
        <v>0</v>
      </c>
      <c r="H98" s="87">
        <f t="shared" si="20"/>
        <v>0</v>
      </c>
      <c r="I98" s="87">
        <f t="shared" si="21"/>
        <v>9.6284578328172267E-9</v>
      </c>
      <c r="J98" s="87">
        <f t="shared" si="22"/>
        <v>4.7355133623770528E-9</v>
      </c>
      <c r="K98" s="120">
        <f t="shared" si="24"/>
        <v>3.1570089082513683E-9</v>
      </c>
      <c r="O98" s="116">
        <f>Amnt_Deposited!B93</f>
        <v>2079</v>
      </c>
      <c r="P98" s="119">
        <f>Amnt_Deposited!C93</f>
        <v>0</v>
      </c>
      <c r="Q98" s="319">
        <f>MCF!R97</f>
        <v>0.8</v>
      </c>
      <c r="R98" s="87">
        <f t="shared" si="23"/>
        <v>0</v>
      </c>
      <c r="S98" s="87">
        <f t="shared" si="25"/>
        <v>0</v>
      </c>
      <c r="T98" s="87">
        <f t="shared" si="26"/>
        <v>0</v>
      </c>
      <c r="U98" s="87">
        <f t="shared" si="27"/>
        <v>6.4418763377456875E-9</v>
      </c>
      <c r="V98" s="87">
        <f t="shared" si="28"/>
        <v>3.1682738820542263E-9</v>
      </c>
      <c r="W98" s="120">
        <f t="shared" si="29"/>
        <v>2.1121825880361506E-9</v>
      </c>
    </row>
    <row r="99" spans="2:23" ht="13.5" thickBot="1">
      <c r="B99" s="117">
        <f>Amnt_Deposited!B94</f>
        <v>2080</v>
      </c>
      <c r="C99" s="121">
        <f>Amnt_Deposited!C94</f>
        <v>0</v>
      </c>
      <c r="D99" s="454">
        <f>Dry_Matter_Content!C86</f>
        <v>0.59</v>
      </c>
      <c r="E99" s="320">
        <f>MCF!R98</f>
        <v>0.8</v>
      </c>
      <c r="F99" s="88">
        <f t="shared" si="18"/>
        <v>0</v>
      </c>
      <c r="G99" s="88">
        <f t="shared" si="19"/>
        <v>0</v>
      </c>
      <c r="H99" s="88">
        <f t="shared" si="20"/>
        <v>0</v>
      </c>
      <c r="I99" s="88">
        <f t="shared" si="21"/>
        <v>6.4541482977462558E-9</v>
      </c>
      <c r="J99" s="88">
        <f t="shared" si="22"/>
        <v>3.1743095350709713E-9</v>
      </c>
      <c r="K99" s="122">
        <f t="shared" si="24"/>
        <v>2.1162063567139808E-9</v>
      </c>
      <c r="O99" s="117">
        <f>Amnt_Deposited!B94</f>
        <v>2080</v>
      </c>
      <c r="P99" s="121">
        <f>Amnt_Deposited!C94</f>
        <v>0</v>
      </c>
      <c r="Q99" s="320">
        <f>MCF!R98</f>
        <v>0.8</v>
      </c>
      <c r="R99" s="88">
        <f t="shared" si="23"/>
        <v>0</v>
      </c>
      <c r="S99" s="88">
        <f>R99*$W$12</f>
        <v>0</v>
      </c>
      <c r="T99" s="88">
        <f>R99*(1-$W$12)</f>
        <v>0</v>
      </c>
      <c r="U99" s="88">
        <f>S99+U98*$W$10</f>
        <v>4.3181188432735848E-9</v>
      </c>
      <c r="V99" s="88">
        <f>U98*(1-$W$10)+T99</f>
        <v>2.1237574944721027E-9</v>
      </c>
      <c r="W99" s="122">
        <f t="shared" si="29"/>
        <v>1.4158383296480683E-9</v>
      </c>
    </row>
  </sheetData>
  <phoneticPr fontId="16" type="noConversion"/>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65" t="s">
        <v>314</v>
      </c>
      <c r="C2" s="251"/>
      <c r="D2" s="251"/>
      <c r="E2" s="252"/>
      <c r="F2" s="253"/>
      <c r="G2" s="253"/>
      <c r="H2" s="253"/>
      <c r="I2" s="253"/>
      <c r="J2" s="253"/>
      <c r="K2" s="253"/>
    </row>
    <row r="3" spans="1:23" ht="15">
      <c r="B3" s="275" t="str">
        <f>IF(Select2=2,"This sheet applies only to the waste compositon option and can be deleted when the bulk waste option has been chosen","")</f>
        <v/>
      </c>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293">
        <f>Parameters!O16</f>
        <v>0.44</v>
      </c>
      <c r="O6" s="257"/>
      <c r="P6" s="258"/>
      <c r="Q6" s="249"/>
      <c r="R6" s="128" t="s">
        <v>9</v>
      </c>
      <c r="S6" s="129"/>
      <c r="T6" s="129"/>
      <c r="U6" s="133"/>
      <c r="V6" s="140" t="s">
        <v>9</v>
      </c>
      <c r="W6" s="293">
        <f>Parameters!R16</f>
        <v>0.4</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Parameters!O35</f>
        <v>7.0000000000000007E-2</v>
      </c>
      <c r="O8" s="67"/>
      <c r="P8" s="67"/>
      <c r="Q8" s="249"/>
      <c r="R8" s="128" t="s">
        <v>192</v>
      </c>
      <c r="S8" s="129"/>
      <c r="T8" s="129"/>
      <c r="U8" s="133"/>
      <c r="V8" s="140" t="s">
        <v>188</v>
      </c>
      <c r="W8" s="134">
        <f>Parameters!O35</f>
        <v>7.0000000000000007E-2</v>
      </c>
    </row>
    <row r="9" spans="1:23" ht="15.75">
      <c r="F9" s="279" t="s">
        <v>190</v>
      </c>
      <c r="G9" s="280"/>
      <c r="H9" s="280"/>
      <c r="I9" s="281"/>
      <c r="J9" s="282" t="s">
        <v>189</v>
      </c>
      <c r="K9" s="288">
        <f>LN(2)/$K$8</f>
        <v>9.9021025794277886</v>
      </c>
      <c r="O9" s="67"/>
      <c r="P9" s="67"/>
      <c r="Q9" s="249"/>
      <c r="R9" s="279" t="s">
        <v>190</v>
      </c>
      <c r="S9" s="280"/>
      <c r="T9" s="280"/>
      <c r="U9" s="281"/>
      <c r="V9" s="282" t="s">
        <v>189</v>
      </c>
      <c r="W9" s="288">
        <f>LN(2)/$W$8</f>
        <v>9.9021025794277886</v>
      </c>
    </row>
    <row r="10" spans="1:23">
      <c r="F10" s="130" t="s">
        <v>84</v>
      </c>
      <c r="G10" s="131"/>
      <c r="H10" s="131"/>
      <c r="I10" s="132"/>
      <c r="J10" s="141" t="s">
        <v>148</v>
      </c>
      <c r="K10" s="69">
        <f>EXP(-$K$8)</f>
        <v>0.93239381990594827</v>
      </c>
      <c r="O10" s="67"/>
      <c r="P10" s="67"/>
      <c r="Q10" s="249"/>
      <c r="R10" s="130" t="s">
        <v>84</v>
      </c>
      <c r="S10" s="131"/>
      <c r="T10" s="131"/>
      <c r="U10" s="132"/>
      <c r="V10" s="141" t="s">
        <v>148</v>
      </c>
      <c r="W10" s="69">
        <f>EXP(-$W$8)</f>
        <v>0.93239381990594827</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Amnt_Deposited!D14</f>
        <v>1.1730902515199999</v>
      </c>
      <c r="D19" s="451">
        <f>Dry_Matter_Content!D6</f>
        <v>0.44</v>
      </c>
      <c r="E19" s="318">
        <f>MCF!R18</f>
        <v>0.8</v>
      </c>
      <c r="F19" s="150">
        <f t="shared" ref="F19:F50" si="0">C19*D19*$K$6*DOCF*E19</f>
        <v>9.084410907770879E-2</v>
      </c>
      <c r="G19" s="85">
        <f t="shared" ref="G19:G82" si="1">F19*$K$12</f>
        <v>9.084410907770879E-2</v>
      </c>
      <c r="H19" s="85">
        <f t="shared" ref="H19:H82" si="2">F19*(1-$K$12)</f>
        <v>0</v>
      </c>
      <c r="I19" s="85">
        <f t="shared" ref="I19:I82" si="3">G19+I18*$K$10</f>
        <v>9.084410907770879E-2</v>
      </c>
      <c r="J19" s="85">
        <f t="shared" ref="J19:J82" si="4">I18*(1-$K$10)+H19</f>
        <v>0</v>
      </c>
      <c r="K19" s="86">
        <f>J19*CH4_fraction*conv</f>
        <v>0</v>
      </c>
      <c r="O19" s="115">
        <f>Amnt_Deposited!B14</f>
        <v>2000</v>
      </c>
      <c r="P19" s="118">
        <f>Amnt_Deposited!D14</f>
        <v>1.1730902515199999</v>
      </c>
      <c r="Q19" s="318">
        <f>MCF!R18</f>
        <v>0.8</v>
      </c>
      <c r="R19" s="150">
        <f t="shared" ref="R19:R50" si="5">P19*$W$6*DOCF*Q19</f>
        <v>0.18769444024320001</v>
      </c>
      <c r="S19" s="85">
        <f>R19*$W$12</f>
        <v>0.18769444024320001</v>
      </c>
      <c r="T19" s="85">
        <f>R19*(1-$W$12)</f>
        <v>0</v>
      </c>
      <c r="U19" s="85">
        <f>S19+U18*$W$10</f>
        <v>0.18769444024320001</v>
      </c>
      <c r="V19" s="85">
        <f>U18*(1-$W$10)+T19</f>
        <v>0</v>
      </c>
      <c r="W19" s="86">
        <f>V19*CH4_fraction*conv</f>
        <v>0</v>
      </c>
    </row>
    <row r="20" spans="2:23">
      <c r="B20" s="116">
        <f>Amnt_Deposited!B15</f>
        <v>2001</v>
      </c>
      <c r="C20" s="119">
        <f>Amnt_Deposited!D15</f>
        <v>1.2073080345480001</v>
      </c>
      <c r="D20" s="453">
        <f>Dry_Matter_Content!D7</f>
        <v>0.44</v>
      </c>
      <c r="E20" s="319">
        <f>MCF!R19</f>
        <v>0.8</v>
      </c>
      <c r="F20" s="87">
        <f t="shared" si="0"/>
        <v>9.3493934195397144E-2</v>
      </c>
      <c r="G20" s="87">
        <f t="shared" si="1"/>
        <v>9.3493934195397144E-2</v>
      </c>
      <c r="H20" s="87">
        <f t="shared" si="2"/>
        <v>0</v>
      </c>
      <c r="I20" s="87">
        <f t="shared" si="3"/>
        <v>0.17819642007431469</v>
      </c>
      <c r="J20" s="87">
        <f t="shared" si="4"/>
        <v>6.1416231987912601E-3</v>
      </c>
      <c r="K20" s="120">
        <f>J20*CH4_fraction*conv</f>
        <v>4.09441546586084E-3</v>
      </c>
      <c r="M20" s="428"/>
      <c r="O20" s="116">
        <f>Amnt_Deposited!B15</f>
        <v>2001</v>
      </c>
      <c r="P20" s="119">
        <f>Amnt_Deposited!D15</f>
        <v>1.2073080345480001</v>
      </c>
      <c r="Q20" s="319">
        <f>MCF!R19</f>
        <v>0.8</v>
      </c>
      <c r="R20" s="87">
        <f t="shared" si="5"/>
        <v>0.19316928552768003</v>
      </c>
      <c r="S20" s="87">
        <f>R20*$W$12</f>
        <v>0.19316928552768003</v>
      </c>
      <c r="T20" s="87">
        <f>R20*(1-$W$12)</f>
        <v>0</v>
      </c>
      <c r="U20" s="87">
        <f>S20+U19*$W$10</f>
        <v>0.368174421641146</v>
      </c>
      <c r="V20" s="87">
        <f>U19*(1-$W$10)+T20</f>
        <v>1.268930412973401E-2</v>
      </c>
      <c r="W20" s="120">
        <f>V20*CH4_fraction*conv</f>
        <v>8.4595360864893401E-3</v>
      </c>
    </row>
    <row r="21" spans="2:23">
      <c r="B21" s="116">
        <f>Amnt_Deposited!B16</f>
        <v>2002</v>
      </c>
      <c r="C21" s="119">
        <f>Amnt_Deposited!D16</f>
        <v>1.2610402120799999</v>
      </c>
      <c r="D21" s="453">
        <f>Dry_Matter_Content!D8</f>
        <v>0.44</v>
      </c>
      <c r="E21" s="319">
        <f>MCF!R20</f>
        <v>0.8</v>
      </c>
      <c r="F21" s="87">
        <f t="shared" si="0"/>
        <v>9.7654954023475196E-2</v>
      </c>
      <c r="G21" s="87">
        <f t="shared" si="1"/>
        <v>9.7654954023475196E-2</v>
      </c>
      <c r="H21" s="87">
        <f t="shared" si="2"/>
        <v>0</v>
      </c>
      <c r="I21" s="87">
        <f t="shared" si="3"/>
        <v>0.26380419483013046</v>
      </c>
      <c r="J21" s="87">
        <f t="shared" si="4"/>
        <v>1.2047179267659414E-2</v>
      </c>
      <c r="K21" s="120">
        <f t="shared" ref="K21:K84" si="6">J21*CH4_fraction*conv</f>
        <v>8.0314528451062746E-3</v>
      </c>
      <c r="O21" s="116">
        <f>Amnt_Deposited!B16</f>
        <v>2002</v>
      </c>
      <c r="P21" s="119">
        <f>Amnt_Deposited!D16</f>
        <v>1.2610402120799999</v>
      </c>
      <c r="Q21" s="319">
        <f>MCF!R20</f>
        <v>0.8</v>
      </c>
      <c r="R21" s="87">
        <f t="shared" si="5"/>
        <v>0.2017664339328</v>
      </c>
      <c r="S21" s="87">
        <f t="shared" ref="S21:S84" si="7">R21*$W$12</f>
        <v>0.2017664339328</v>
      </c>
      <c r="T21" s="87">
        <f t="shared" ref="T21:T84" si="8">R21*(1-$W$12)</f>
        <v>0</v>
      </c>
      <c r="U21" s="87">
        <f t="shared" ref="U21:U84" si="9">S21+U20*$W$10</f>
        <v>0.54504998931845139</v>
      </c>
      <c r="V21" s="87">
        <f t="shared" ref="V21:V84" si="10">U20*(1-$W$10)+T21</f>
        <v>2.4890866255494651E-2</v>
      </c>
      <c r="W21" s="120">
        <f t="shared" ref="W21:W84" si="11">V21*CH4_fraction*conv</f>
        <v>1.6593910836996434E-2</v>
      </c>
    </row>
    <row r="22" spans="2:23">
      <c r="B22" s="116">
        <f>Amnt_Deposited!B17</f>
        <v>2003</v>
      </c>
      <c r="C22" s="119">
        <f>Amnt_Deposited!D17</f>
        <v>1.3005540777239999</v>
      </c>
      <c r="D22" s="453">
        <f>Dry_Matter_Content!D9</f>
        <v>0.44</v>
      </c>
      <c r="E22" s="319">
        <f>MCF!R21</f>
        <v>0.8</v>
      </c>
      <c r="F22" s="87">
        <f t="shared" si="0"/>
        <v>0.10071490777894657</v>
      </c>
      <c r="G22" s="87">
        <f t="shared" si="1"/>
        <v>0.10071490777894657</v>
      </c>
      <c r="H22" s="87">
        <f t="shared" si="2"/>
        <v>0</v>
      </c>
      <c r="I22" s="87">
        <f t="shared" si="3"/>
        <v>0.34668430870382494</v>
      </c>
      <c r="J22" s="87">
        <f t="shared" si="4"/>
        <v>1.7834793905252107E-2</v>
      </c>
      <c r="K22" s="120">
        <f t="shared" si="6"/>
        <v>1.1889862603501404E-2</v>
      </c>
      <c r="N22" s="290"/>
      <c r="O22" s="116">
        <f>Amnt_Deposited!B17</f>
        <v>2003</v>
      </c>
      <c r="P22" s="119">
        <f>Amnt_Deposited!D17</f>
        <v>1.3005540777239999</v>
      </c>
      <c r="Q22" s="319">
        <f>MCF!R21</f>
        <v>0.8</v>
      </c>
      <c r="R22" s="87">
        <f t="shared" si="5"/>
        <v>0.20808865243583999</v>
      </c>
      <c r="S22" s="87">
        <f t="shared" si="7"/>
        <v>0.20808865243583999</v>
      </c>
      <c r="T22" s="87">
        <f t="shared" si="8"/>
        <v>0</v>
      </c>
      <c r="U22" s="87">
        <f t="shared" si="9"/>
        <v>0.71628989401616716</v>
      </c>
      <c r="V22" s="87">
        <f t="shared" si="10"/>
        <v>3.6848747738124195E-2</v>
      </c>
      <c r="W22" s="120">
        <f t="shared" si="11"/>
        <v>2.4565831825416128E-2</v>
      </c>
    </row>
    <row r="23" spans="2:23">
      <c r="B23" s="116">
        <f>Amnt_Deposited!B18</f>
        <v>2004</v>
      </c>
      <c r="C23" s="119">
        <f>Amnt_Deposited!D18</f>
        <v>1.3385013843960003</v>
      </c>
      <c r="D23" s="453">
        <f>Dry_Matter_Content!D10</f>
        <v>0.44</v>
      </c>
      <c r="E23" s="319">
        <f>MCF!R22</f>
        <v>0.8</v>
      </c>
      <c r="F23" s="87">
        <f t="shared" si="0"/>
        <v>0.10365354720762628</v>
      </c>
      <c r="G23" s="87">
        <f t="shared" si="1"/>
        <v>0.10365354720762628</v>
      </c>
      <c r="H23" s="87">
        <f t="shared" si="2"/>
        <v>0</v>
      </c>
      <c r="I23" s="87">
        <f t="shared" si="3"/>
        <v>0.4268998541014386</v>
      </c>
      <c r="J23" s="87">
        <f t="shared" si="4"/>
        <v>2.3438001810012613E-2</v>
      </c>
      <c r="K23" s="120">
        <f t="shared" si="6"/>
        <v>1.5625334540008407E-2</v>
      </c>
      <c r="N23" s="290"/>
      <c r="O23" s="116">
        <f>Amnt_Deposited!B18</f>
        <v>2004</v>
      </c>
      <c r="P23" s="119">
        <f>Amnt_Deposited!D18</f>
        <v>1.3385013843960003</v>
      </c>
      <c r="Q23" s="319">
        <f>MCF!R22</f>
        <v>0.8</v>
      </c>
      <c r="R23" s="87">
        <f t="shared" si="5"/>
        <v>0.21416022150336006</v>
      </c>
      <c r="S23" s="87">
        <f t="shared" si="7"/>
        <v>0.21416022150336006</v>
      </c>
      <c r="T23" s="87">
        <f t="shared" si="8"/>
        <v>0</v>
      </c>
      <c r="U23" s="87">
        <f t="shared" si="9"/>
        <v>0.882024491945121</v>
      </c>
      <c r="V23" s="87">
        <f t="shared" si="10"/>
        <v>4.8425623574406218E-2</v>
      </c>
      <c r="W23" s="120">
        <f t="shared" si="11"/>
        <v>3.2283749049604141E-2</v>
      </c>
    </row>
    <row r="24" spans="2:23">
      <c r="B24" s="116">
        <f>Amnt_Deposited!B19</f>
        <v>2005</v>
      </c>
      <c r="C24" s="119">
        <f>Amnt_Deposited!D19</f>
        <v>1.4063246405999998</v>
      </c>
      <c r="D24" s="453">
        <f>Dry_Matter_Content!D11</f>
        <v>0.44</v>
      </c>
      <c r="E24" s="319">
        <f>MCF!R23</f>
        <v>0.8</v>
      </c>
      <c r="F24" s="87">
        <f t="shared" si="0"/>
        <v>0.10890578016806399</v>
      </c>
      <c r="G24" s="87">
        <f t="shared" si="1"/>
        <v>0.10890578016806399</v>
      </c>
      <c r="H24" s="87">
        <f t="shared" si="2"/>
        <v>0</v>
      </c>
      <c r="I24" s="87">
        <f t="shared" si="3"/>
        <v>0.50694456585099634</v>
      </c>
      <c r="J24" s="87">
        <f t="shared" si="4"/>
        <v>2.8861068418506265E-2</v>
      </c>
      <c r="K24" s="120">
        <f t="shared" si="6"/>
        <v>1.9240712279004174E-2</v>
      </c>
      <c r="N24" s="290"/>
      <c r="O24" s="116">
        <f>Amnt_Deposited!B19</f>
        <v>2005</v>
      </c>
      <c r="P24" s="119">
        <f>Amnt_Deposited!D19</f>
        <v>1.4063246405999998</v>
      </c>
      <c r="Q24" s="319">
        <f>MCF!R23</f>
        <v>0.8</v>
      </c>
      <c r="R24" s="87">
        <f t="shared" si="5"/>
        <v>0.22501194249599998</v>
      </c>
      <c r="S24" s="87">
        <f t="shared" si="7"/>
        <v>0.22501194249599998</v>
      </c>
      <c r="T24" s="87">
        <f t="shared" si="8"/>
        <v>0</v>
      </c>
      <c r="U24" s="87">
        <f t="shared" si="9"/>
        <v>1.0474061277913147</v>
      </c>
      <c r="V24" s="87">
        <f t="shared" si="10"/>
        <v>5.9630306649806328E-2</v>
      </c>
      <c r="W24" s="120">
        <f t="shared" si="11"/>
        <v>3.9753537766537547E-2</v>
      </c>
    </row>
    <row r="25" spans="2:23">
      <c r="B25" s="116">
        <f>Amnt_Deposited!B20</f>
        <v>2006</v>
      </c>
      <c r="C25" s="119">
        <f>Amnt_Deposited!D20</f>
        <v>1.4453613816840001</v>
      </c>
      <c r="D25" s="453">
        <f>Dry_Matter_Content!D12</f>
        <v>0.44</v>
      </c>
      <c r="E25" s="319">
        <f>MCF!R24</f>
        <v>0.8</v>
      </c>
      <c r="F25" s="87">
        <f t="shared" si="0"/>
        <v>0.11192878539760898</v>
      </c>
      <c r="G25" s="87">
        <f t="shared" si="1"/>
        <v>0.11192878539760898</v>
      </c>
      <c r="H25" s="87">
        <f t="shared" si="2"/>
        <v>0</v>
      </c>
      <c r="I25" s="87">
        <f t="shared" si="3"/>
        <v>0.58460076563198204</v>
      </c>
      <c r="J25" s="87">
        <f t="shared" si="4"/>
        <v>3.4272585616623323E-2</v>
      </c>
      <c r="K25" s="120">
        <f t="shared" si="6"/>
        <v>2.2848390411082213E-2</v>
      </c>
      <c r="N25" s="290"/>
      <c r="O25" s="116">
        <f>Amnt_Deposited!B20</f>
        <v>2006</v>
      </c>
      <c r="P25" s="119">
        <f>Amnt_Deposited!D20</f>
        <v>1.4453613816840001</v>
      </c>
      <c r="Q25" s="319">
        <f>MCF!R24</f>
        <v>0.8</v>
      </c>
      <c r="R25" s="87">
        <f t="shared" si="5"/>
        <v>0.23125782106944004</v>
      </c>
      <c r="S25" s="87">
        <f t="shared" si="7"/>
        <v>0.23125782106944004</v>
      </c>
      <c r="T25" s="87">
        <f t="shared" si="8"/>
        <v>0</v>
      </c>
      <c r="U25" s="87">
        <f t="shared" si="9"/>
        <v>1.2078528215536819</v>
      </c>
      <c r="V25" s="87">
        <f t="shared" si="10"/>
        <v>7.081112730707298E-2</v>
      </c>
      <c r="W25" s="120">
        <f t="shared" si="11"/>
        <v>4.7207418204715315E-2</v>
      </c>
    </row>
    <row r="26" spans="2:23">
      <c r="B26" s="116">
        <f>Amnt_Deposited!B21</f>
        <v>2007</v>
      </c>
      <c r="C26" s="119">
        <f>Amnt_Deposited!D21</f>
        <v>1.484859343176</v>
      </c>
      <c r="D26" s="453">
        <f>Dry_Matter_Content!D13</f>
        <v>0.44</v>
      </c>
      <c r="E26" s="319">
        <f>MCF!R25</f>
        <v>0.8</v>
      </c>
      <c r="F26" s="87">
        <f t="shared" si="0"/>
        <v>0.11498750753554945</v>
      </c>
      <c r="G26" s="87">
        <f t="shared" si="1"/>
        <v>0.11498750753554945</v>
      </c>
      <c r="H26" s="87">
        <f t="shared" si="2"/>
        <v>0</v>
      </c>
      <c r="I26" s="87">
        <f t="shared" si="3"/>
        <v>0.66006564852309513</v>
      </c>
      <c r="J26" s="87">
        <f t="shared" si="4"/>
        <v>3.9522624644436302E-2</v>
      </c>
      <c r="K26" s="120">
        <f t="shared" si="6"/>
        <v>2.63484164296242E-2</v>
      </c>
      <c r="N26" s="290"/>
      <c r="O26" s="116">
        <f>Amnt_Deposited!B21</f>
        <v>2007</v>
      </c>
      <c r="P26" s="119">
        <f>Amnt_Deposited!D21</f>
        <v>1.484859343176</v>
      </c>
      <c r="Q26" s="319">
        <f>MCF!R25</f>
        <v>0.8</v>
      </c>
      <c r="R26" s="87">
        <f t="shared" si="5"/>
        <v>0.23757749490816005</v>
      </c>
      <c r="S26" s="87">
        <f t="shared" si="7"/>
        <v>0.23757749490816005</v>
      </c>
      <c r="T26" s="87">
        <f t="shared" si="8"/>
        <v>0</v>
      </c>
      <c r="U26" s="87">
        <f t="shared" si="9"/>
        <v>1.363772001080775</v>
      </c>
      <c r="V26" s="87">
        <f t="shared" si="10"/>
        <v>8.1658315381066743E-2</v>
      </c>
      <c r="W26" s="120">
        <f t="shared" si="11"/>
        <v>5.4438876920711157E-2</v>
      </c>
    </row>
    <row r="27" spans="2:23">
      <c r="B27" s="116">
        <f>Amnt_Deposited!B22</f>
        <v>2008</v>
      </c>
      <c r="C27" s="119">
        <f>Amnt_Deposited!D22</f>
        <v>1.524635627328</v>
      </c>
      <c r="D27" s="453">
        <f>Dry_Matter_Content!D14</f>
        <v>0.44</v>
      </c>
      <c r="E27" s="319">
        <f>MCF!R26</f>
        <v>0.8</v>
      </c>
      <c r="F27" s="87">
        <f t="shared" si="0"/>
        <v>0.11806778298028031</v>
      </c>
      <c r="G27" s="87">
        <f t="shared" si="1"/>
        <v>0.11806778298028031</v>
      </c>
      <c r="H27" s="87">
        <f t="shared" si="2"/>
        <v>0</v>
      </c>
      <c r="I27" s="87">
        <f t="shared" si="3"/>
        <v>0.73350891439542598</v>
      </c>
      <c r="J27" s="87">
        <f t="shared" si="4"/>
        <v>4.4624517107949416E-2</v>
      </c>
      <c r="K27" s="120">
        <f t="shared" si="6"/>
        <v>2.9749678071966275E-2</v>
      </c>
      <c r="N27" s="290"/>
      <c r="O27" s="116">
        <f>Amnt_Deposited!B22</f>
        <v>2008</v>
      </c>
      <c r="P27" s="119">
        <f>Amnt_Deposited!D22</f>
        <v>1.524635627328</v>
      </c>
      <c r="Q27" s="319">
        <f>MCF!R26</f>
        <v>0.8</v>
      </c>
      <c r="R27" s="87">
        <f t="shared" si="5"/>
        <v>0.24394170037248003</v>
      </c>
      <c r="S27" s="87">
        <f t="shared" si="7"/>
        <v>0.24394170037248003</v>
      </c>
      <c r="T27" s="87">
        <f t="shared" si="8"/>
        <v>0</v>
      </c>
      <c r="U27" s="87">
        <f t="shared" si="9"/>
        <v>1.5155142859409627</v>
      </c>
      <c r="V27" s="87">
        <f t="shared" si="10"/>
        <v>9.2199415512292188E-2</v>
      </c>
      <c r="W27" s="120">
        <f t="shared" si="11"/>
        <v>6.1466277008194792E-2</v>
      </c>
    </row>
    <row r="28" spans="2:23">
      <c r="B28" s="116">
        <f>Amnt_Deposited!B23</f>
        <v>2009</v>
      </c>
      <c r="C28" s="119">
        <f>Amnt_Deposited!D23</f>
        <v>1.5644755280880001</v>
      </c>
      <c r="D28" s="453">
        <f>Dry_Matter_Content!D15</f>
        <v>0.44</v>
      </c>
      <c r="E28" s="319">
        <f>MCF!R27</f>
        <v>0.8</v>
      </c>
      <c r="F28" s="87">
        <f t="shared" si="0"/>
        <v>0.12115298489513474</v>
      </c>
      <c r="G28" s="87">
        <f t="shared" si="1"/>
        <v>0.12115298489513474</v>
      </c>
      <c r="H28" s="87">
        <f t="shared" si="2"/>
        <v>0</v>
      </c>
      <c r="I28" s="87">
        <f t="shared" si="3"/>
        <v>0.8050721635233512</v>
      </c>
      <c r="J28" s="87">
        <f t="shared" si="4"/>
        <v>4.9589735767209542E-2</v>
      </c>
      <c r="K28" s="120">
        <f t="shared" si="6"/>
        <v>3.3059823844806359E-2</v>
      </c>
      <c r="N28" s="290"/>
      <c r="O28" s="116">
        <f>Amnt_Deposited!B23</f>
        <v>2009</v>
      </c>
      <c r="P28" s="119">
        <f>Amnt_Deposited!D23</f>
        <v>1.5644755280880001</v>
      </c>
      <c r="Q28" s="319">
        <f>MCF!R27</f>
        <v>0.8</v>
      </c>
      <c r="R28" s="87">
        <f t="shared" si="5"/>
        <v>0.25031608449408005</v>
      </c>
      <c r="S28" s="87">
        <f t="shared" si="7"/>
        <v>0.25031608449408005</v>
      </c>
      <c r="T28" s="87">
        <f t="shared" si="8"/>
        <v>0</v>
      </c>
      <c r="U28" s="87">
        <f t="shared" si="9"/>
        <v>1.6633722386846097</v>
      </c>
      <c r="V28" s="87">
        <f t="shared" si="10"/>
        <v>0.10245813175043293</v>
      </c>
      <c r="W28" s="120">
        <f t="shared" si="11"/>
        <v>6.8305421166955288E-2</v>
      </c>
    </row>
    <row r="29" spans="2:23">
      <c r="B29" s="116">
        <f>Amnt_Deposited!B24</f>
        <v>2010</v>
      </c>
      <c r="C29" s="119">
        <f>Amnt_Deposited!D24</f>
        <v>2.032844852412</v>
      </c>
      <c r="D29" s="453">
        <f>Dry_Matter_Content!D16</f>
        <v>0.44</v>
      </c>
      <c r="E29" s="319">
        <f>MCF!R28</f>
        <v>0.8</v>
      </c>
      <c r="F29" s="87">
        <f t="shared" si="0"/>
        <v>0.15742350537078528</v>
      </c>
      <c r="G29" s="87">
        <f t="shared" si="1"/>
        <v>0.15742350537078528</v>
      </c>
      <c r="H29" s="87">
        <f t="shared" si="2"/>
        <v>0</v>
      </c>
      <c r="I29" s="87">
        <f t="shared" si="3"/>
        <v>0.90806781521826896</v>
      </c>
      <c r="J29" s="87">
        <f t="shared" si="4"/>
        <v>5.4427853675867541E-2</v>
      </c>
      <c r="K29" s="120">
        <f t="shared" si="6"/>
        <v>3.6285235783911692E-2</v>
      </c>
      <c r="O29" s="116">
        <f>Amnt_Deposited!B24</f>
        <v>2010</v>
      </c>
      <c r="P29" s="119">
        <f>Amnt_Deposited!D24</f>
        <v>2.032844852412</v>
      </c>
      <c r="Q29" s="319">
        <f>MCF!R28</f>
        <v>0.8</v>
      </c>
      <c r="R29" s="87">
        <f t="shared" si="5"/>
        <v>0.32525517638592005</v>
      </c>
      <c r="S29" s="87">
        <f t="shared" si="7"/>
        <v>0.32525517638592005</v>
      </c>
      <c r="T29" s="87">
        <f t="shared" si="8"/>
        <v>0</v>
      </c>
      <c r="U29" s="87">
        <f t="shared" si="9"/>
        <v>1.8761731719385719</v>
      </c>
      <c r="V29" s="87">
        <f t="shared" si="10"/>
        <v>0.11245424313195772</v>
      </c>
      <c r="W29" s="120">
        <f t="shared" si="11"/>
        <v>7.4969495421305141E-2</v>
      </c>
    </row>
    <row r="30" spans="2:23">
      <c r="B30" s="116">
        <f>Amnt_Deposited!B25</f>
        <v>2011</v>
      </c>
      <c r="C30" s="119">
        <f>Amnt_Deposited!D25</f>
        <v>1.9473549750000001</v>
      </c>
      <c r="D30" s="453">
        <f>Dry_Matter_Content!D17</f>
        <v>0.44</v>
      </c>
      <c r="E30" s="319">
        <f>MCF!R29</f>
        <v>0.8</v>
      </c>
      <c r="F30" s="87">
        <f t="shared" si="0"/>
        <v>0.15080316926400003</v>
      </c>
      <c r="G30" s="87">
        <f t="shared" si="1"/>
        <v>0.15080316926400003</v>
      </c>
      <c r="H30" s="87">
        <f t="shared" si="2"/>
        <v>0</v>
      </c>
      <c r="I30" s="87">
        <f t="shared" si="3"/>
        <v>0.99747998822901063</v>
      </c>
      <c r="J30" s="87">
        <f t="shared" si="4"/>
        <v>6.1390996253258376E-2</v>
      </c>
      <c r="K30" s="120">
        <f t="shared" si="6"/>
        <v>4.0927330835505579E-2</v>
      </c>
      <c r="O30" s="116">
        <f>Amnt_Deposited!B25</f>
        <v>2011</v>
      </c>
      <c r="P30" s="119">
        <f>Amnt_Deposited!D25</f>
        <v>1.9473549750000001</v>
      </c>
      <c r="Q30" s="319">
        <f>MCF!R29</f>
        <v>0.8</v>
      </c>
      <c r="R30" s="87">
        <f t="shared" si="5"/>
        <v>0.31157679600000004</v>
      </c>
      <c r="S30" s="87">
        <f t="shared" si="7"/>
        <v>0.31157679600000004</v>
      </c>
      <c r="T30" s="87">
        <f t="shared" si="8"/>
        <v>0</v>
      </c>
      <c r="U30" s="87">
        <f t="shared" si="9"/>
        <v>2.0609090665888647</v>
      </c>
      <c r="V30" s="87">
        <f t="shared" si="10"/>
        <v>0.12684090134970738</v>
      </c>
      <c r="W30" s="120">
        <f t="shared" si="11"/>
        <v>8.4560600899804911E-2</v>
      </c>
    </row>
    <row r="31" spans="2:23">
      <c r="B31" s="116">
        <f>Amnt_Deposited!B26</f>
        <v>2012</v>
      </c>
      <c r="C31" s="119">
        <f>Amnt_Deposited!D26</f>
        <v>2.0356880810400004</v>
      </c>
      <c r="D31" s="453">
        <f>Dry_Matter_Content!D18</f>
        <v>0.44</v>
      </c>
      <c r="E31" s="319">
        <f>MCF!R30</f>
        <v>0.8</v>
      </c>
      <c r="F31" s="87">
        <f t="shared" si="0"/>
        <v>0.15764368499573764</v>
      </c>
      <c r="G31" s="87">
        <f t="shared" si="1"/>
        <v>0.15764368499573764</v>
      </c>
      <c r="H31" s="87">
        <f t="shared" si="2"/>
        <v>0</v>
      </c>
      <c r="I31" s="87">
        <f t="shared" si="3"/>
        <v>1.0876878615003251</v>
      </c>
      <c r="J31" s="87">
        <f t="shared" si="4"/>
        <v>6.7435811724423089E-2</v>
      </c>
      <c r="K31" s="120">
        <f t="shared" si="6"/>
        <v>4.4957207816282055E-2</v>
      </c>
      <c r="O31" s="116">
        <f>Amnt_Deposited!B26</f>
        <v>2012</v>
      </c>
      <c r="P31" s="119">
        <f>Amnt_Deposited!D26</f>
        <v>2.0356880810400004</v>
      </c>
      <c r="Q31" s="319">
        <f>MCF!R30</f>
        <v>0.8</v>
      </c>
      <c r="R31" s="87">
        <f t="shared" si="5"/>
        <v>0.32571009296640008</v>
      </c>
      <c r="S31" s="87">
        <f t="shared" si="7"/>
        <v>0.32571009296640008</v>
      </c>
      <c r="T31" s="87">
        <f t="shared" si="8"/>
        <v>0</v>
      </c>
      <c r="U31" s="87">
        <f t="shared" si="9"/>
        <v>2.247288970041994</v>
      </c>
      <c r="V31" s="87">
        <f t="shared" si="10"/>
        <v>0.13933018951327084</v>
      </c>
      <c r="W31" s="120">
        <f t="shared" si="11"/>
        <v>9.2886793008847224E-2</v>
      </c>
    </row>
    <row r="32" spans="2:23">
      <c r="B32" s="116">
        <f>Amnt_Deposited!B27</f>
        <v>2013</v>
      </c>
      <c r="C32" s="119">
        <f>Amnt_Deposited!D27</f>
        <v>2.1269345385600005</v>
      </c>
      <c r="D32" s="453">
        <f>Dry_Matter_Content!D19</f>
        <v>0.44</v>
      </c>
      <c r="E32" s="319">
        <f>MCF!R31</f>
        <v>0.8</v>
      </c>
      <c r="F32" s="87">
        <f t="shared" si="0"/>
        <v>0.16470981066608645</v>
      </c>
      <c r="G32" s="87">
        <f t="shared" si="1"/>
        <v>0.16470981066608645</v>
      </c>
      <c r="H32" s="87">
        <f t="shared" si="2"/>
        <v>0</v>
      </c>
      <c r="I32" s="87">
        <f t="shared" si="3"/>
        <v>1.1788632507157066</v>
      </c>
      <c r="J32" s="87">
        <f t="shared" si="4"/>
        <v>7.3534421450704976E-2</v>
      </c>
      <c r="K32" s="120">
        <f t="shared" si="6"/>
        <v>4.9022947633803313E-2</v>
      </c>
      <c r="O32" s="116">
        <f>Amnt_Deposited!B27</f>
        <v>2013</v>
      </c>
      <c r="P32" s="119">
        <f>Amnt_Deposited!D27</f>
        <v>2.1269345385600005</v>
      </c>
      <c r="Q32" s="319">
        <f>MCF!R31</f>
        <v>0.8</v>
      </c>
      <c r="R32" s="87">
        <f t="shared" si="5"/>
        <v>0.34030952616960009</v>
      </c>
      <c r="S32" s="87">
        <f t="shared" si="7"/>
        <v>0.34030952616960009</v>
      </c>
      <c r="T32" s="87">
        <f t="shared" si="8"/>
        <v>0</v>
      </c>
      <c r="U32" s="87">
        <f t="shared" si="9"/>
        <v>2.4356678733795594</v>
      </c>
      <c r="V32" s="87">
        <f t="shared" si="10"/>
        <v>0.15193062283203507</v>
      </c>
      <c r="W32" s="120">
        <f t="shared" si="11"/>
        <v>0.10128708188802338</v>
      </c>
    </row>
    <row r="33" spans="2:23">
      <c r="B33" s="116">
        <f>Amnt_Deposited!B28</f>
        <v>2014</v>
      </c>
      <c r="C33" s="119">
        <f>Amnt_Deposited!D28</f>
        <v>2.2191641618400002</v>
      </c>
      <c r="D33" s="453">
        <f>Dry_Matter_Content!D20</f>
        <v>0.44</v>
      </c>
      <c r="E33" s="319">
        <f>MCF!R32</f>
        <v>0.8</v>
      </c>
      <c r="F33" s="87">
        <f t="shared" si="0"/>
        <v>0.17185207269288963</v>
      </c>
      <c r="G33" s="87">
        <f t="shared" si="1"/>
        <v>0.17185207269288963</v>
      </c>
      <c r="H33" s="87">
        <f t="shared" si="2"/>
        <v>0</v>
      </c>
      <c r="I33" s="87">
        <f t="shared" si="3"/>
        <v>1.271016882174451</v>
      </c>
      <c r="J33" s="87">
        <f t="shared" si="4"/>
        <v>7.9698441234145309E-2</v>
      </c>
      <c r="K33" s="120">
        <f t="shared" si="6"/>
        <v>5.3132294156096868E-2</v>
      </c>
      <c r="O33" s="116">
        <f>Amnt_Deposited!B28</f>
        <v>2014</v>
      </c>
      <c r="P33" s="119">
        <f>Amnt_Deposited!D28</f>
        <v>2.2191641618400002</v>
      </c>
      <c r="Q33" s="319">
        <f>MCF!R32</f>
        <v>0.8</v>
      </c>
      <c r="R33" s="87">
        <f t="shared" si="5"/>
        <v>0.3550662658944001</v>
      </c>
      <c r="S33" s="87">
        <f t="shared" si="7"/>
        <v>0.3550662658944001</v>
      </c>
      <c r="T33" s="87">
        <f t="shared" si="8"/>
        <v>0</v>
      </c>
      <c r="U33" s="87">
        <f t="shared" si="9"/>
        <v>2.6260679383769649</v>
      </c>
      <c r="V33" s="87">
        <f t="shared" si="10"/>
        <v>0.16466620089699446</v>
      </c>
      <c r="W33" s="120">
        <f t="shared" si="11"/>
        <v>0.10977746726466298</v>
      </c>
    </row>
    <row r="34" spans="2:23">
      <c r="B34" s="116">
        <f>Amnt_Deposited!B29</f>
        <v>2015</v>
      </c>
      <c r="C34" s="119">
        <f>Amnt_Deposited!D29</f>
        <v>2.3141625533999997</v>
      </c>
      <c r="D34" s="453">
        <f>Dry_Matter_Content!D21</f>
        <v>0.44</v>
      </c>
      <c r="E34" s="319">
        <f>MCF!R33</f>
        <v>0.8</v>
      </c>
      <c r="F34" s="87">
        <f t="shared" si="0"/>
        <v>0.17920874813529597</v>
      </c>
      <c r="G34" s="87">
        <f t="shared" si="1"/>
        <v>0.17920874813529597</v>
      </c>
      <c r="H34" s="87">
        <f t="shared" si="2"/>
        <v>0</v>
      </c>
      <c r="I34" s="87">
        <f t="shared" si="3"/>
        <v>1.3642970340708809</v>
      </c>
      <c r="J34" s="87">
        <f t="shared" si="4"/>
        <v>8.5928596238866062E-2</v>
      </c>
      <c r="K34" s="120">
        <f t="shared" si="6"/>
        <v>5.7285730825910708E-2</v>
      </c>
      <c r="O34" s="116">
        <f>Amnt_Deposited!B29</f>
        <v>2015</v>
      </c>
      <c r="P34" s="119">
        <f>Amnt_Deposited!D29</f>
        <v>2.3141625533999997</v>
      </c>
      <c r="Q34" s="319">
        <f>MCF!R33</f>
        <v>0.8</v>
      </c>
      <c r="R34" s="87">
        <f t="shared" si="5"/>
        <v>0.37026600854399999</v>
      </c>
      <c r="S34" s="87">
        <f t="shared" si="7"/>
        <v>0.37026600854399999</v>
      </c>
      <c r="T34" s="87">
        <f t="shared" si="8"/>
        <v>0</v>
      </c>
      <c r="U34" s="87">
        <f t="shared" si="9"/>
        <v>2.8187955249398371</v>
      </c>
      <c r="V34" s="87">
        <f t="shared" si="10"/>
        <v>0.17753842198112824</v>
      </c>
      <c r="W34" s="120">
        <f t="shared" si="11"/>
        <v>0.11835894798741882</v>
      </c>
    </row>
    <row r="35" spans="2:23">
      <c r="B35" s="116">
        <f>Amnt_Deposited!B30</f>
        <v>2016</v>
      </c>
      <c r="C35" s="119">
        <f>Amnt_Deposited!D30</f>
        <v>2.4115827135600001</v>
      </c>
      <c r="D35" s="453">
        <f>Dry_Matter_Content!D22</f>
        <v>0.44</v>
      </c>
      <c r="E35" s="319">
        <f>MCF!R34</f>
        <v>0.8</v>
      </c>
      <c r="F35" s="87">
        <f t="shared" si="0"/>
        <v>0.18675296533808641</v>
      </c>
      <c r="G35" s="87">
        <f t="shared" si="1"/>
        <v>0.18675296533808641</v>
      </c>
      <c r="H35" s="87">
        <f t="shared" si="2"/>
        <v>0</v>
      </c>
      <c r="I35" s="87">
        <f t="shared" si="3"/>
        <v>1.4588150884217908</v>
      </c>
      <c r="J35" s="87">
        <f t="shared" si="4"/>
        <v>9.2234910987176594E-2</v>
      </c>
      <c r="K35" s="120">
        <f t="shared" si="6"/>
        <v>6.1489940658117727E-2</v>
      </c>
      <c r="O35" s="116">
        <f>Amnt_Deposited!B30</f>
        <v>2016</v>
      </c>
      <c r="P35" s="119">
        <f>Amnt_Deposited!D30</f>
        <v>2.4115827135600001</v>
      </c>
      <c r="Q35" s="319">
        <f>MCF!R34</f>
        <v>0.8</v>
      </c>
      <c r="R35" s="87">
        <f t="shared" si="5"/>
        <v>0.38585323416960005</v>
      </c>
      <c r="S35" s="87">
        <f t="shared" si="7"/>
        <v>0.38585323416960005</v>
      </c>
      <c r="T35" s="87">
        <f t="shared" si="8"/>
        <v>0</v>
      </c>
      <c r="U35" s="87">
        <f t="shared" si="9"/>
        <v>3.0140807612020475</v>
      </c>
      <c r="V35" s="87">
        <f t="shared" si="10"/>
        <v>0.19056799790738971</v>
      </c>
      <c r="W35" s="120">
        <f t="shared" si="11"/>
        <v>0.12704533193825979</v>
      </c>
    </row>
    <row r="36" spans="2:23">
      <c r="B36" s="116">
        <f>Amnt_Deposited!B31</f>
        <v>2017</v>
      </c>
      <c r="C36" s="119">
        <f>Amnt_Deposited!D31</f>
        <v>2.4226794741599997</v>
      </c>
      <c r="D36" s="453">
        <f>Dry_Matter_Content!D23</f>
        <v>0.44</v>
      </c>
      <c r="E36" s="319">
        <f>MCF!R35</f>
        <v>0.8</v>
      </c>
      <c r="F36" s="87">
        <f t="shared" si="0"/>
        <v>0.18761229847895042</v>
      </c>
      <c r="G36" s="87">
        <f t="shared" si="1"/>
        <v>0.18761229847895042</v>
      </c>
      <c r="H36" s="87">
        <f t="shared" si="2"/>
        <v>0</v>
      </c>
      <c r="I36" s="87">
        <f t="shared" si="3"/>
        <v>1.5478024713089775</v>
      </c>
      <c r="J36" s="87">
        <f t="shared" si="4"/>
        <v>9.8624915591763576E-2</v>
      </c>
      <c r="K36" s="120">
        <f t="shared" si="6"/>
        <v>6.5749943727842375E-2</v>
      </c>
      <c r="O36" s="116">
        <f>Amnt_Deposited!B31</f>
        <v>2017</v>
      </c>
      <c r="P36" s="119">
        <f>Amnt_Deposited!D31</f>
        <v>2.4226794741599997</v>
      </c>
      <c r="Q36" s="319">
        <f>MCF!R35</f>
        <v>0.8</v>
      </c>
      <c r="R36" s="87">
        <f t="shared" si="5"/>
        <v>0.38762871586559999</v>
      </c>
      <c r="S36" s="87">
        <f t="shared" si="7"/>
        <v>0.38762871586559999</v>
      </c>
      <c r="T36" s="87">
        <f t="shared" si="8"/>
        <v>0</v>
      </c>
      <c r="U36" s="87">
        <f t="shared" si="9"/>
        <v>3.1979389903078053</v>
      </c>
      <c r="V36" s="87">
        <f t="shared" si="10"/>
        <v>0.20377048675984213</v>
      </c>
      <c r="W36" s="120">
        <f t="shared" si="11"/>
        <v>0.13584699117322807</v>
      </c>
    </row>
    <row r="37" spans="2:23">
      <c r="B37" s="116">
        <f>Amnt_Deposited!B32</f>
        <v>2018</v>
      </c>
      <c r="C37" s="119">
        <f>Amnt_Deposited!D32</f>
        <v>2.5130222866800005</v>
      </c>
      <c r="D37" s="453">
        <f>Dry_Matter_Content!D24</f>
        <v>0.44</v>
      </c>
      <c r="E37" s="319">
        <f>MCF!R36</f>
        <v>0.8</v>
      </c>
      <c r="F37" s="87">
        <f t="shared" si="0"/>
        <v>0.19460844588049925</v>
      </c>
      <c r="G37" s="87">
        <f t="shared" si="1"/>
        <v>0.19460844588049925</v>
      </c>
      <c r="H37" s="87">
        <f t="shared" si="2"/>
        <v>0</v>
      </c>
      <c r="I37" s="87">
        <f t="shared" si="3"/>
        <v>1.6377699045641438</v>
      </c>
      <c r="J37" s="87">
        <f t="shared" si="4"/>
        <v>0.10464101262533307</v>
      </c>
      <c r="K37" s="120">
        <f t="shared" si="6"/>
        <v>6.9760675083555379E-2</v>
      </c>
      <c r="O37" s="116">
        <f>Amnt_Deposited!B32</f>
        <v>2018</v>
      </c>
      <c r="P37" s="119">
        <f>Amnt_Deposited!D32</f>
        <v>2.5130222866800005</v>
      </c>
      <c r="Q37" s="319">
        <f>MCF!R36</f>
        <v>0.8</v>
      </c>
      <c r="R37" s="87">
        <f t="shared" si="5"/>
        <v>0.40208356586880012</v>
      </c>
      <c r="S37" s="87">
        <f t="shared" si="7"/>
        <v>0.40208356586880012</v>
      </c>
      <c r="T37" s="87">
        <f t="shared" si="8"/>
        <v>0</v>
      </c>
      <c r="U37" s="87">
        <f t="shared" si="9"/>
        <v>3.3838221168680658</v>
      </c>
      <c r="V37" s="87">
        <f t="shared" si="10"/>
        <v>0.21620043930853941</v>
      </c>
      <c r="W37" s="120">
        <f t="shared" si="11"/>
        <v>0.14413362620569292</v>
      </c>
    </row>
    <row r="38" spans="2:23">
      <c r="B38" s="116">
        <f>Amnt_Deposited!B33</f>
        <v>2019</v>
      </c>
      <c r="C38" s="119">
        <f>Amnt_Deposited!D33</f>
        <v>2.6033650991999999</v>
      </c>
      <c r="D38" s="453">
        <f>Dry_Matter_Content!D25</f>
        <v>0.44</v>
      </c>
      <c r="E38" s="319">
        <f>MCF!R37</f>
        <v>0.8</v>
      </c>
      <c r="F38" s="87">
        <f t="shared" si="0"/>
        <v>0.20160459328204802</v>
      </c>
      <c r="G38" s="87">
        <f t="shared" si="1"/>
        <v>0.20160459328204802</v>
      </c>
      <c r="H38" s="87">
        <f t="shared" si="2"/>
        <v>0</v>
      </c>
      <c r="I38" s="87">
        <f t="shared" si="3"/>
        <v>1.7286511307256105</v>
      </c>
      <c r="J38" s="87">
        <f t="shared" si="4"/>
        <v>0.11072336712058142</v>
      </c>
      <c r="K38" s="120">
        <f t="shared" si="6"/>
        <v>7.3815578080387606E-2</v>
      </c>
      <c r="O38" s="116">
        <f>Amnt_Deposited!B33</f>
        <v>2019</v>
      </c>
      <c r="P38" s="119">
        <f>Amnt_Deposited!D33</f>
        <v>2.6033650991999999</v>
      </c>
      <c r="Q38" s="319">
        <f>MCF!R37</f>
        <v>0.8</v>
      </c>
      <c r="R38" s="87">
        <f t="shared" si="5"/>
        <v>0.41653841587200002</v>
      </c>
      <c r="S38" s="87">
        <f t="shared" si="7"/>
        <v>0.41653841587200002</v>
      </c>
      <c r="T38" s="87">
        <f t="shared" si="8"/>
        <v>0</v>
      </c>
      <c r="U38" s="87">
        <f t="shared" si="9"/>
        <v>3.5715932453008481</v>
      </c>
      <c r="V38" s="87">
        <f t="shared" si="10"/>
        <v>0.22876728743921781</v>
      </c>
      <c r="W38" s="120">
        <f t="shared" si="11"/>
        <v>0.15251152495947853</v>
      </c>
    </row>
    <row r="39" spans="2:23">
      <c r="B39" s="116">
        <f>Amnt_Deposited!B34</f>
        <v>2020</v>
      </c>
      <c r="C39" s="119">
        <f>Amnt_Deposited!D34</f>
        <v>2.6937079117200007</v>
      </c>
      <c r="D39" s="453">
        <f>Dry_Matter_Content!D26</f>
        <v>0.44</v>
      </c>
      <c r="E39" s="319">
        <f>MCF!R38</f>
        <v>0.8</v>
      </c>
      <c r="F39" s="87">
        <f t="shared" si="0"/>
        <v>0.20860074068359685</v>
      </c>
      <c r="G39" s="87">
        <f t="shared" si="1"/>
        <v>0.20860074068359685</v>
      </c>
      <c r="H39" s="87">
        <f t="shared" si="2"/>
        <v>0</v>
      </c>
      <c r="I39" s="87">
        <f t="shared" si="3"/>
        <v>1.8203843717455854</v>
      </c>
      <c r="J39" s="87">
        <f t="shared" si="4"/>
        <v>0.11686749966362178</v>
      </c>
      <c r="K39" s="120">
        <f t="shared" si="6"/>
        <v>7.7911666442414512E-2</v>
      </c>
      <c r="O39" s="116">
        <f>Amnt_Deposited!B34</f>
        <v>2020</v>
      </c>
      <c r="P39" s="119">
        <f>Amnt_Deposited!D34</f>
        <v>2.6937079117200007</v>
      </c>
      <c r="Q39" s="319">
        <f>MCF!R38</f>
        <v>0.8</v>
      </c>
      <c r="R39" s="87">
        <f t="shared" si="5"/>
        <v>0.43099326587520015</v>
      </c>
      <c r="S39" s="87">
        <f t="shared" si="7"/>
        <v>0.43099326587520015</v>
      </c>
      <c r="T39" s="87">
        <f t="shared" si="8"/>
        <v>0</v>
      </c>
      <c r="U39" s="87">
        <f t="shared" si="9"/>
        <v>3.7611247350115402</v>
      </c>
      <c r="V39" s="87">
        <f t="shared" si="10"/>
        <v>0.24146177616450781</v>
      </c>
      <c r="W39" s="120">
        <f t="shared" si="11"/>
        <v>0.1609745174430052</v>
      </c>
    </row>
    <row r="40" spans="2:23">
      <c r="B40" s="116">
        <f>Amnt_Deposited!B35</f>
        <v>2021</v>
      </c>
      <c r="C40" s="119">
        <f>Amnt_Deposited!D35</f>
        <v>2.7840507242400001</v>
      </c>
      <c r="D40" s="453">
        <f>Dry_Matter_Content!D27</f>
        <v>0.44</v>
      </c>
      <c r="E40" s="319">
        <f>MCF!R39</f>
        <v>0.8</v>
      </c>
      <c r="F40" s="87">
        <f t="shared" si="0"/>
        <v>0.21559688808514565</v>
      </c>
      <c r="G40" s="87">
        <f t="shared" si="1"/>
        <v>0.21559688808514565</v>
      </c>
      <c r="H40" s="87">
        <f t="shared" si="2"/>
        <v>0</v>
      </c>
      <c r="I40" s="87">
        <f t="shared" si="3"/>
        <v>1.9129120261541019</v>
      </c>
      <c r="J40" s="87">
        <f t="shared" si="4"/>
        <v>0.12306923367662925</v>
      </c>
      <c r="K40" s="120">
        <f t="shared" si="6"/>
        <v>8.2046155784419497E-2</v>
      </c>
      <c r="O40" s="116">
        <f>Amnt_Deposited!B35</f>
        <v>2021</v>
      </c>
      <c r="P40" s="119">
        <f>Amnt_Deposited!D35</f>
        <v>2.7840507242400001</v>
      </c>
      <c r="Q40" s="319">
        <f>MCF!R39</f>
        <v>0.8</v>
      </c>
      <c r="R40" s="87">
        <f t="shared" si="5"/>
        <v>0.44544811587840005</v>
      </c>
      <c r="S40" s="87">
        <f t="shared" si="7"/>
        <v>0.44544811587840005</v>
      </c>
      <c r="T40" s="87">
        <f t="shared" si="8"/>
        <v>0</v>
      </c>
      <c r="U40" s="87">
        <f t="shared" si="9"/>
        <v>3.9522975746985574</v>
      </c>
      <c r="V40" s="87">
        <f t="shared" si="10"/>
        <v>0.25427527619138274</v>
      </c>
      <c r="W40" s="120">
        <f t="shared" si="11"/>
        <v>0.16951685079425516</v>
      </c>
    </row>
    <row r="41" spans="2:23">
      <c r="B41" s="116">
        <f>Amnt_Deposited!B36</f>
        <v>2022</v>
      </c>
      <c r="C41" s="119">
        <f>Amnt_Deposited!D36</f>
        <v>2.8743935367600004</v>
      </c>
      <c r="D41" s="453">
        <f>Dry_Matter_Content!D28</f>
        <v>0.44</v>
      </c>
      <c r="E41" s="319">
        <f>MCF!R40</f>
        <v>0.8</v>
      </c>
      <c r="F41" s="87">
        <f t="shared" si="0"/>
        <v>0.22259303548669443</v>
      </c>
      <c r="G41" s="87">
        <f t="shared" si="1"/>
        <v>0.22259303548669443</v>
      </c>
      <c r="H41" s="87">
        <f t="shared" si="2"/>
        <v>0</v>
      </c>
      <c r="I41" s="87">
        <f t="shared" si="3"/>
        <v>2.0061803866965446</v>
      </c>
      <c r="J41" s="87">
        <f t="shared" si="4"/>
        <v>0.12932467494425159</v>
      </c>
      <c r="K41" s="120">
        <f t="shared" si="6"/>
        <v>8.6216449962834396E-2</v>
      </c>
      <c r="O41" s="116">
        <f>Amnt_Deposited!B36</f>
        <v>2022</v>
      </c>
      <c r="P41" s="119">
        <f>Amnt_Deposited!D36</f>
        <v>2.8743935367600004</v>
      </c>
      <c r="Q41" s="319">
        <f>MCF!R40</f>
        <v>0.8</v>
      </c>
      <c r="R41" s="87">
        <f t="shared" si="5"/>
        <v>0.45990296588160007</v>
      </c>
      <c r="S41" s="87">
        <f t="shared" si="7"/>
        <v>0.45990296588160007</v>
      </c>
      <c r="T41" s="87">
        <f t="shared" si="8"/>
        <v>0</v>
      </c>
      <c r="U41" s="87">
        <f t="shared" si="9"/>
        <v>4.1450007989598028</v>
      </c>
      <c r="V41" s="87">
        <f t="shared" si="10"/>
        <v>0.26719974162035454</v>
      </c>
      <c r="W41" s="120">
        <f t="shared" si="11"/>
        <v>0.17813316108023636</v>
      </c>
    </row>
    <row r="42" spans="2:23">
      <c r="B42" s="116">
        <f>Amnt_Deposited!B37</f>
        <v>2023</v>
      </c>
      <c r="C42" s="119">
        <f>Amnt_Deposited!D37</f>
        <v>2.9647363492800007</v>
      </c>
      <c r="D42" s="453">
        <f>Dry_Matter_Content!D29</f>
        <v>0.44</v>
      </c>
      <c r="E42" s="319">
        <f>MCF!R41</f>
        <v>0.8</v>
      </c>
      <c r="F42" s="87">
        <f t="shared" si="0"/>
        <v>0.22958918288824326</v>
      </c>
      <c r="G42" s="87">
        <f t="shared" si="1"/>
        <v>0.22958918288824326</v>
      </c>
      <c r="H42" s="87">
        <f t="shared" si="2"/>
        <v>0</v>
      </c>
      <c r="I42" s="87">
        <f t="shared" si="3"/>
        <v>2.1001393770606267</v>
      </c>
      <c r="J42" s="87">
        <f t="shared" si="4"/>
        <v>0.13563019252416092</v>
      </c>
      <c r="K42" s="120">
        <f t="shared" si="6"/>
        <v>9.0420128349440604E-2</v>
      </c>
      <c r="O42" s="116">
        <f>Amnt_Deposited!B37</f>
        <v>2023</v>
      </c>
      <c r="P42" s="119">
        <f>Amnt_Deposited!D37</f>
        <v>2.9647363492800007</v>
      </c>
      <c r="Q42" s="319">
        <f>MCF!R41</f>
        <v>0.8</v>
      </c>
      <c r="R42" s="87">
        <f t="shared" si="5"/>
        <v>0.47435781588480019</v>
      </c>
      <c r="S42" s="87">
        <f t="shared" si="7"/>
        <v>0.47435781588480019</v>
      </c>
      <c r="T42" s="87">
        <f t="shared" si="8"/>
        <v>0</v>
      </c>
      <c r="U42" s="87">
        <f t="shared" si="9"/>
        <v>4.3391309443401385</v>
      </c>
      <c r="V42" s="87">
        <f t="shared" si="10"/>
        <v>0.28022767050446473</v>
      </c>
      <c r="W42" s="120">
        <f t="shared" si="11"/>
        <v>0.18681844700297648</v>
      </c>
    </row>
    <row r="43" spans="2:23">
      <c r="B43" s="116">
        <f>Amnt_Deposited!B38</f>
        <v>2024</v>
      </c>
      <c r="C43" s="119">
        <f>Amnt_Deposited!D38</f>
        <v>3.0550791618000002</v>
      </c>
      <c r="D43" s="453">
        <f>Dry_Matter_Content!D30</f>
        <v>0.44</v>
      </c>
      <c r="E43" s="319">
        <f>MCF!R42</f>
        <v>0.8</v>
      </c>
      <c r="F43" s="87">
        <f t="shared" si="0"/>
        <v>0.23658533028979201</v>
      </c>
      <c r="G43" s="87">
        <f t="shared" si="1"/>
        <v>0.23658533028979201</v>
      </c>
      <c r="H43" s="87">
        <f t="shared" si="2"/>
        <v>0</v>
      </c>
      <c r="I43" s="87">
        <f t="shared" si="3"/>
        <v>2.1947423064022482</v>
      </c>
      <c r="J43" s="87">
        <f t="shared" si="4"/>
        <v>0.14198240094817033</v>
      </c>
      <c r="K43" s="120">
        <f t="shared" si="6"/>
        <v>9.4654933965446886E-2</v>
      </c>
      <c r="O43" s="116">
        <f>Amnt_Deposited!B38</f>
        <v>2024</v>
      </c>
      <c r="P43" s="119">
        <f>Amnt_Deposited!D38</f>
        <v>3.0550791618000002</v>
      </c>
      <c r="Q43" s="319">
        <f>MCF!R42</f>
        <v>0.8</v>
      </c>
      <c r="R43" s="87">
        <f t="shared" si="5"/>
        <v>0.4888126658880001</v>
      </c>
      <c r="S43" s="87">
        <f t="shared" si="7"/>
        <v>0.4888126658880001</v>
      </c>
      <c r="T43" s="87">
        <f t="shared" si="8"/>
        <v>0</v>
      </c>
      <c r="U43" s="87">
        <f t="shared" si="9"/>
        <v>4.5345915421534064</v>
      </c>
      <c r="V43" s="87">
        <f t="shared" si="10"/>
        <v>0.29335206807473213</v>
      </c>
      <c r="W43" s="120">
        <f t="shared" si="11"/>
        <v>0.19556804538315475</v>
      </c>
    </row>
    <row r="44" spans="2:23">
      <c r="B44" s="116">
        <f>Amnt_Deposited!B39</f>
        <v>2025</v>
      </c>
      <c r="C44" s="119">
        <f>Amnt_Deposited!D39</f>
        <v>3.1454219743200005</v>
      </c>
      <c r="D44" s="453">
        <f>Dry_Matter_Content!D31</f>
        <v>0.44</v>
      </c>
      <c r="E44" s="319">
        <f>MCF!R43</f>
        <v>0.8</v>
      </c>
      <c r="F44" s="87">
        <f t="shared" si="0"/>
        <v>0.24358147769134086</v>
      </c>
      <c r="G44" s="87">
        <f t="shared" si="1"/>
        <v>0.24358147769134086</v>
      </c>
      <c r="H44" s="87">
        <f t="shared" si="2"/>
        <v>0</v>
      </c>
      <c r="I44" s="87">
        <f t="shared" si="3"/>
        <v>2.2899456404669243</v>
      </c>
      <c r="J44" s="87">
        <f t="shared" si="4"/>
        <v>0.14837814362666485</v>
      </c>
      <c r="K44" s="120">
        <f t="shared" si="6"/>
        <v>9.8918762417776557E-2</v>
      </c>
      <c r="O44" s="116">
        <f>Amnt_Deposited!B39</f>
        <v>2025</v>
      </c>
      <c r="P44" s="119">
        <f>Amnt_Deposited!D39</f>
        <v>3.1454219743200005</v>
      </c>
      <c r="Q44" s="319">
        <f>MCF!R43</f>
        <v>0.8</v>
      </c>
      <c r="R44" s="87">
        <f t="shared" si="5"/>
        <v>0.50326751589120011</v>
      </c>
      <c r="S44" s="87">
        <f t="shared" si="7"/>
        <v>0.50326751589120011</v>
      </c>
      <c r="T44" s="87">
        <f t="shared" si="8"/>
        <v>0</v>
      </c>
      <c r="U44" s="87">
        <f t="shared" si="9"/>
        <v>4.7312926455928199</v>
      </c>
      <c r="V44" s="87">
        <f t="shared" si="10"/>
        <v>0.30656641245178695</v>
      </c>
      <c r="W44" s="120">
        <f t="shared" si="11"/>
        <v>0.20437760830119128</v>
      </c>
    </row>
    <row r="45" spans="2:23">
      <c r="B45" s="116">
        <f>Amnt_Deposited!B40</f>
        <v>2026</v>
      </c>
      <c r="C45" s="119">
        <f>Amnt_Deposited!D40</f>
        <v>3.2357647868400004</v>
      </c>
      <c r="D45" s="453">
        <f>Dry_Matter_Content!D32</f>
        <v>0.44</v>
      </c>
      <c r="E45" s="319">
        <f>MCF!R44</f>
        <v>0.8</v>
      </c>
      <c r="F45" s="87">
        <f t="shared" si="0"/>
        <v>0.25057762509288967</v>
      </c>
      <c r="G45" s="87">
        <f t="shared" si="1"/>
        <v>0.25057762509288967</v>
      </c>
      <c r="H45" s="87">
        <f t="shared" si="2"/>
        <v>0</v>
      </c>
      <c r="I45" s="87">
        <f t="shared" si="3"/>
        <v>2.3857087881848185</v>
      </c>
      <c r="J45" s="87">
        <f t="shared" si="4"/>
        <v>0.15481447737499551</v>
      </c>
      <c r="K45" s="120">
        <f t="shared" si="6"/>
        <v>0.10320965158333034</v>
      </c>
      <c r="O45" s="116">
        <f>Amnt_Deposited!B40</f>
        <v>2026</v>
      </c>
      <c r="P45" s="119">
        <f>Amnt_Deposited!D40</f>
        <v>3.2357647868400004</v>
      </c>
      <c r="Q45" s="319">
        <f>MCF!R44</f>
        <v>0.8</v>
      </c>
      <c r="R45" s="87">
        <f t="shared" si="5"/>
        <v>0.51772236589440013</v>
      </c>
      <c r="S45" s="87">
        <f t="shared" si="7"/>
        <v>0.51772236589440013</v>
      </c>
      <c r="T45" s="87">
        <f t="shared" si="8"/>
        <v>0</v>
      </c>
      <c r="U45" s="87">
        <f t="shared" si="9"/>
        <v>4.9291503888116095</v>
      </c>
      <c r="V45" s="87">
        <f t="shared" si="10"/>
        <v>0.31986462267561061</v>
      </c>
      <c r="W45" s="120">
        <f t="shared" si="11"/>
        <v>0.21324308178374041</v>
      </c>
    </row>
    <row r="46" spans="2:23">
      <c r="B46" s="116">
        <f>Amnt_Deposited!B41</f>
        <v>2027</v>
      </c>
      <c r="C46" s="119">
        <f>Amnt_Deposited!D41</f>
        <v>3.3261075993600007</v>
      </c>
      <c r="D46" s="453">
        <f>Dry_Matter_Content!D33</f>
        <v>0.44</v>
      </c>
      <c r="E46" s="319">
        <f>MCF!R45</f>
        <v>0.8</v>
      </c>
      <c r="F46" s="87">
        <f t="shared" si="0"/>
        <v>0.25757377249443847</v>
      </c>
      <c r="G46" s="87">
        <f t="shared" si="1"/>
        <v>0.25757377249443847</v>
      </c>
      <c r="H46" s="87">
        <f t="shared" si="2"/>
        <v>0</v>
      </c>
      <c r="I46" s="87">
        <f t="shared" si="3"/>
        <v>2.4819939026932722</v>
      </c>
      <c r="J46" s="87">
        <f t="shared" si="4"/>
        <v>0.16128865798598474</v>
      </c>
      <c r="K46" s="120">
        <f t="shared" si="6"/>
        <v>0.10752577199065649</v>
      </c>
      <c r="O46" s="116">
        <f>Amnt_Deposited!B41</f>
        <v>2027</v>
      </c>
      <c r="P46" s="119">
        <f>Amnt_Deposited!D41</f>
        <v>3.3261075993600007</v>
      </c>
      <c r="Q46" s="319">
        <f>MCF!R45</f>
        <v>0.8</v>
      </c>
      <c r="R46" s="87">
        <f t="shared" si="5"/>
        <v>0.53217721589760014</v>
      </c>
      <c r="S46" s="87">
        <f t="shared" si="7"/>
        <v>0.53217721589760014</v>
      </c>
      <c r="T46" s="87">
        <f t="shared" si="8"/>
        <v>0</v>
      </c>
      <c r="U46" s="87">
        <f t="shared" si="9"/>
        <v>5.1280865758125467</v>
      </c>
      <c r="V46" s="87">
        <f t="shared" si="10"/>
        <v>0.33324102889666274</v>
      </c>
      <c r="W46" s="120">
        <f t="shared" si="11"/>
        <v>0.22216068593110849</v>
      </c>
    </row>
    <row r="47" spans="2:23">
      <c r="B47" s="116">
        <f>Amnt_Deposited!B42</f>
        <v>2028</v>
      </c>
      <c r="C47" s="119">
        <f>Amnt_Deposited!D42</f>
        <v>3.4164504118800001</v>
      </c>
      <c r="D47" s="453">
        <f>Dry_Matter_Content!D34</f>
        <v>0.44</v>
      </c>
      <c r="E47" s="319">
        <f>MCF!R46</f>
        <v>0.8</v>
      </c>
      <c r="F47" s="87">
        <f t="shared" si="0"/>
        <v>0.26456991989598722</v>
      </c>
      <c r="G47" s="87">
        <f t="shared" si="1"/>
        <v>0.26456991989598722</v>
      </c>
      <c r="H47" s="87">
        <f t="shared" si="2"/>
        <v>0</v>
      </c>
      <c r="I47" s="87">
        <f t="shared" si="3"/>
        <v>2.5787656958114398</v>
      </c>
      <c r="J47" s="87">
        <f t="shared" si="4"/>
        <v>0.16779812677781966</v>
      </c>
      <c r="K47" s="120">
        <f t="shared" si="6"/>
        <v>0.11186541785187977</v>
      </c>
      <c r="O47" s="116">
        <f>Amnt_Deposited!B42</f>
        <v>2028</v>
      </c>
      <c r="P47" s="119">
        <f>Amnt_Deposited!D42</f>
        <v>3.4164504118800001</v>
      </c>
      <c r="Q47" s="319">
        <f>MCF!R46</f>
        <v>0.8</v>
      </c>
      <c r="R47" s="87">
        <f t="shared" si="5"/>
        <v>0.54663206590080005</v>
      </c>
      <c r="S47" s="87">
        <f t="shared" si="7"/>
        <v>0.54663206590080005</v>
      </c>
      <c r="T47" s="87">
        <f t="shared" si="8"/>
        <v>0</v>
      </c>
      <c r="U47" s="87">
        <f t="shared" si="9"/>
        <v>5.3280282971310751</v>
      </c>
      <c r="V47" s="87">
        <f t="shared" si="10"/>
        <v>0.34669034458227205</v>
      </c>
      <c r="W47" s="120">
        <f t="shared" si="11"/>
        <v>0.23112689638818135</v>
      </c>
    </row>
    <row r="48" spans="2:23">
      <c r="B48" s="116">
        <f>Amnt_Deposited!B43</f>
        <v>2029</v>
      </c>
      <c r="C48" s="119">
        <f>Amnt_Deposited!D43</f>
        <v>3.5067932244000004</v>
      </c>
      <c r="D48" s="453">
        <f>Dry_Matter_Content!D35</f>
        <v>0.44</v>
      </c>
      <c r="E48" s="319">
        <f>MCF!R47</f>
        <v>0.8</v>
      </c>
      <c r="F48" s="87">
        <f t="shared" si="0"/>
        <v>0.27156606729753607</v>
      </c>
      <c r="G48" s="87">
        <f t="shared" si="1"/>
        <v>0.27156606729753607</v>
      </c>
      <c r="H48" s="87">
        <f t="shared" si="2"/>
        <v>0</v>
      </c>
      <c r="I48" s="87">
        <f t="shared" si="3"/>
        <v>2.675991265057585</v>
      </c>
      <c r="J48" s="87">
        <f t="shared" si="4"/>
        <v>0.17434049805139082</v>
      </c>
      <c r="K48" s="120">
        <f t="shared" si="6"/>
        <v>0.1162269987009272</v>
      </c>
      <c r="O48" s="116">
        <f>Amnt_Deposited!B43</f>
        <v>2029</v>
      </c>
      <c r="P48" s="119">
        <f>Amnt_Deposited!D43</f>
        <v>3.5067932244000004</v>
      </c>
      <c r="Q48" s="319">
        <f>MCF!R47</f>
        <v>0.8</v>
      </c>
      <c r="R48" s="87">
        <f t="shared" si="5"/>
        <v>0.56108691590400006</v>
      </c>
      <c r="S48" s="87">
        <f t="shared" si="7"/>
        <v>0.56108691590400006</v>
      </c>
      <c r="T48" s="87">
        <f t="shared" si="8"/>
        <v>0</v>
      </c>
      <c r="U48" s="87">
        <f t="shared" si="9"/>
        <v>5.5289075724330283</v>
      </c>
      <c r="V48" s="87">
        <f t="shared" si="10"/>
        <v>0.36020764060204719</v>
      </c>
      <c r="W48" s="120">
        <f t="shared" si="11"/>
        <v>0.24013842706803146</v>
      </c>
    </row>
    <row r="49" spans="2:23">
      <c r="B49" s="116">
        <f>Amnt_Deposited!B44</f>
        <v>2030</v>
      </c>
      <c r="C49" s="119">
        <f>Amnt_Deposited!D44</f>
        <v>3.5971360369200003</v>
      </c>
      <c r="D49" s="453">
        <f>Dry_Matter_Content!D36</f>
        <v>0.44</v>
      </c>
      <c r="E49" s="319">
        <f>MCF!R48</f>
        <v>0.8</v>
      </c>
      <c r="F49" s="87">
        <f t="shared" si="0"/>
        <v>0.27856221469908482</v>
      </c>
      <c r="G49" s="87">
        <f t="shared" si="1"/>
        <v>0.27856221469908482</v>
      </c>
      <c r="H49" s="87">
        <f t="shared" si="2"/>
        <v>0</v>
      </c>
      <c r="I49" s="87">
        <f t="shared" si="3"/>
        <v>2.7736399323610774</v>
      </c>
      <c r="J49" s="87">
        <f t="shared" si="4"/>
        <v>0.1809135473955924</v>
      </c>
      <c r="K49" s="120">
        <f t="shared" si="6"/>
        <v>0.1206090315970616</v>
      </c>
      <c r="O49" s="116">
        <f>Amnt_Deposited!B44</f>
        <v>2030</v>
      </c>
      <c r="P49" s="119">
        <f>Amnt_Deposited!D44</f>
        <v>3.5971360369200003</v>
      </c>
      <c r="Q49" s="319">
        <f>MCF!R48</f>
        <v>0.8</v>
      </c>
      <c r="R49" s="87">
        <f t="shared" si="5"/>
        <v>0.57554176590720008</v>
      </c>
      <c r="S49" s="87">
        <f t="shared" si="7"/>
        <v>0.57554176590720008</v>
      </c>
      <c r="T49" s="87">
        <f t="shared" si="8"/>
        <v>0</v>
      </c>
      <c r="U49" s="87">
        <f t="shared" si="9"/>
        <v>5.7306610172749552</v>
      </c>
      <c r="V49" s="87">
        <f t="shared" si="10"/>
        <v>0.37378832106527365</v>
      </c>
      <c r="W49" s="120">
        <f t="shared" si="11"/>
        <v>0.24919221404351577</v>
      </c>
    </row>
    <row r="50" spans="2:23">
      <c r="B50" s="116">
        <f>Amnt_Deposited!B45</f>
        <v>2031</v>
      </c>
      <c r="C50" s="119">
        <f>Amnt_Deposited!D45</f>
        <v>0</v>
      </c>
      <c r="D50" s="453">
        <f>Dry_Matter_Content!D37</f>
        <v>0.44</v>
      </c>
      <c r="E50" s="319">
        <f>MCF!R49</f>
        <v>0.8</v>
      </c>
      <c r="F50" s="87">
        <f t="shared" si="0"/>
        <v>0</v>
      </c>
      <c r="G50" s="87">
        <f t="shared" si="1"/>
        <v>0</v>
      </c>
      <c r="H50" s="87">
        <f t="shared" si="2"/>
        <v>0</v>
      </c>
      <c r="I50" s="87">
        <f t="shared" si="3"/>
        <v>2.5861247315778209</v>
      </c>
      <c r="J50" s="87">
        <f t="shared" si="4"/>
        <v>0.18751520078325645</v>
      </c>
      <c r="K50" s="120">
        <f t="shared" si="6"/>
        <v>0.1250101338555043</v>
      </c>
      <c r="O50" s="116">
        <f>Amnt_Deposited!B45</f>
        <v>2031</v>
      </c>
      <c r="P50" s="119">
        <f>Amnt_Deposited!D45</f>
        <v>0</v>
      </c>
      <c r="Q50" s="319">
        <f>MCF!R49</f>
        <v>0.8</v>
      </c>
      <c r="R50" s="87">
        <f t="shared" si="5"/>
        <v>0</v>
      </c>
      <c r="S50" s="87">
        <f t="shared" si="7"/>
        <v>0</v>
      </c>
      <c r="T50" s="87">
        <f t="shared" si="8"/>
        <v>0</v>
      </c>
      <c r="U50" s="87">
        <f t="shared" si="9"/>
        <v>5.3432329164831032</v>
      </c>
      <c r="V50" s="87">
        <f t="shared" si="10"/>
        <v>0.3874281007918523</v>
      </c>
      <c r="W50" s="120">
        <f t="shared" si="11"/>
        <v>0.2582854005279015</v>
      </c>
    </row>
    <row r="51" spans="2:23">
      <c r="B51" s="116">
        <f>Amnt_Deposited!B46</f>
        <v>2032</v>
      </c>
      <c r="C51" s="119">
        <f>Amnt_Deposited!D46</f>
        <v>0</v>
      </c>
      <c r="D51" s="453">
        <f>Dry_Matter_Content!D38</f>
        <v>0.44</v>
      </c>
      <c r="E51" s="319">
        <f>MCF!R50</f>
        <v>0.8</v>
      </c>
      <c r="F51" s="87">
        <f t="shared" ref="F51:F82" si="12">C51*D51*$K$6*DOCF*E51</f>
        <v>0</v>
      </c>
      <c r="G51" s="87">
        <f t="shared" si="1"/>
        <v>0</v>
      </c>
      <c r="H51" s="87">
        <f t="shared" si="2"/>
        <v>0</v>
      </c>
      <c r="I51" s="87">
        <f t="shared" si="3"/>
        <v>2.4112867172290895</v>
      </c>
      <c r="J51" s="87">
        <f t="shared" si="4"/>
        <v>0.17483801434873134</v>
      </c>
      <c r="K51" s="120">
        <f t="shared" si="6"/>
        <v>0.11655867623248756</v>
      </c>
      <c r="O51" s="116">
        <f>Amnt_Deposited!B46</f>
        <v>2032</v>
      </c>
      <c r="P51" s="119">
        <f>Amnt_Deposited!D46</f>
        <v>0</v>
      </c>
      <c r="Q51" s="319">
        <f>MCF!R50</f>
        <v>0.8</v>
      </c>
      <c r="R51" s="87">
        <f t="shared" ref="R51:R82" si="13">P51*$W$6*DOCF*Q51</f>
        <v>0</v>
      </c>
      <c r="S51" s="87">
        <f t="shared" si="7"/>
        <v>0</v>
      </c>
      <c r="T51" s="87">
        <f t="shared" si="8"/>
        <v>0</v>
      </c>
      <c r="U51" s="87">
        <f t="shared" si="9"/>
        <v>4.981997349646881</v>
      </c>
      <c r="V51" s="87">
        <f t="shared" si="10"/>
        <v>0.36123556683622193</v>
      </c>
      <c r="W51" s="120">
        <f t="shared" si="11"/>
        <v>0.24082371122414795</v>
      </c>
    </row>
    <row r="52" spans="2:23">
      <c r="B52" s="116">
        <f>Amnt_Deposited!B47</f>
        <v>2033</v>
      </c>
      <c r="C52" s="119">
        <f>Amnt_Deposited!D47</f>
        <v>0</v>
      </c>
      <c r="D52" s="453">
        <f>Dry_Matter_Content!D39</f>
        <v>0.44</v>
      </c>
      <c r="E52" s="319">
        <f>MCF!R51</f>
        <v>0.8</v>
      </c>
      <c r="F52" s="87">
        <f t="shared" si="12"/>
        <v>0</v>
      </c>
      <c r="G52" s="87">
        <f t="shared" si="1"/>
        <v>0</v>
      </c>
      <c r="H52" s="87">
        <f t="shared" si="2"/>
        <v>0</v>
      </c>
      <c r="I52" s="87">
        <f t="shared" si="3"/>
        <v>2.2482688331657048</v>
      </c>
      <c r="J52" s="87">
        <f t="shared" si="4"/>
        <v>0.1630178840633846</v>
      </c>
      <c r="K52" s="120">
        <f t="shared" si="6"/>
        <v>0.10867858937558973</v>
      </c>
      <c r="O52" s="116">
        <f>Amnt_Deposited!B47</f>
        <v>2033</v>
      </c>
      <c r="P52" s="119">
        <f>Amnt_Deposited!D47</f>
        <v>0</v>
      </c>
      <c r="Q52" s="319">
        <f>MCF!R51</f>
        <v>0.8</v>
      </c>
      <c r="R52" s="87">
        <f t="shared" si="13"/>
        <v>0</v>
      </c>
      <c r="S52" s="87">
        <f t="shared" si="7"/>
        <v>0</v>
      </c>
      <c r="T52" s="87">
        <f t="shared" si="8"/>
        <v>0</v>
      </c>
      <c r="U52" s="87">
        <f t="shared" si="9"/>
        <v>4.6451835395985652</v>
      </c>
      <c r="V52" s="87">
        <f t="shared" si="10"/>
        <v>0.33681381004831545</v>
      </c>
      <c r="W52" s="120">
        <f t="shared" si="11"/>
        <v>0.2245425400322103</v>
      </c>
    </row>
    <row r="53" spans="2:23">
      <c r="B53" s="116">
        <f>Amnt_Deposited!B48</f>
        <v>2034</v>
      </c>
      <c r="C53" s="119">
        <f>Amnt_Deposited!D48</f>
        <v>0</v>
      </c>
      <c r="D53" s="453">
        <f>Dry_Matter_Content!D40</f>
        <v>0.44</v>
      </c>
      <c r="E53" s="319">
        <f>MCF!R52</f>
        <v>0.8</v>
      </c>
      <c r="F53" s="87">
        <f t="shared" si="12"/>
        <v>0</v>
      </c>
      <c r="G53" s="87">
        <f t="shared" si="1"/>
        <v>0</v>
      </c>
      <c r="H53" s="87">
        <f t="shared" si="2"/>
        <v>0</v>
      </c>
      <c r="I53" s="87">
        <f t="shared" si="3"/>
        <v>2.0962719655308608</v>
      </c>
      <c r="J53" s="87">
        <f t="shared" si="4"/>
        <v>0.15199686763484418</v>
      </c>
      <c r="K53" s="120">
        <f t="shared" si="6"/>
        <v>0.10133124508989612</v>
      </c>
      <c r="O53" s="116">
        <f>Amnt_Deposited!B48</f>
        <v>2034</v>
      </c>
      <c r="P53" s="119">
        <f>Amnt_Deposited!D48</f>
        <v>0</v>
      </c>
      <c r="Q53" s="319">
        <f>MCF!R52</f>
        <v>0.8</v>
      </c>
      <c r="R53" s="87">
        <f t="shared" si="13"/>
        <v>0</v>
      </c>
      <c r="S53" s="87">
        <f t="shared" si="7"/>
        <v>0</v>
      </c>
      <c r="T53" s="87">
        <f t="shared" si="8"/>
        <v>0</v>
      </c>
      <c r="U53" s="87">
        <f t="shared" si="9"/>
        <v>4.3311404246505401</v>
      </c>
      <c r="V53" s="87">
        <f t="shared" si="10"/>
        <v>0.31404311494802528</v>
      </c>
      <c r="W53" s="120">
        <f t="shared" si="11"/>
        <v>0.20936207663201684</v>
      </c>
    </row>
    <row r="54" spans="2:23">
      <c r="B54" s="116">
        <f>Amnt_Deposited!B49</f>
        <v>2035</v>
      </c>
      <c r="C54" s="119">
        <f>Amnt_Deposited!D49</f>
        <v>0</v>
      </c>
      <c r="D54" s="453">
        <f>Dry_Matter_Content!D41</f>
        <v>0.44</v>
      </c>
      <c r="E54" s="319">
        <f>MCF!R53</f>
        <v>0.8</v>
      </c>
      <c r="F54" s="87">
        <f t="shared" si="12"/>
        <v>0</v>
      </c>
      <c r="G54" s="87">
        <f t="shared" si="1"/>
        <v>0</v>
      </c>
      <c r="H54" s="87">
        <f t="shared" si="2"/>
        <v>0</v>
      </c>
      <c r="I54" s="87">
        <f t="shared" si="3"/>
        <v>1.9545510255030696</v>
      </c>
      <c r="J54" s="87">
        <f t="shared" si="4"/>
        <v>0.14172094002779118</v>
      </c>
      <c r="K54" s="120">
        <f t="shared" si="6"/>
        <v>9.4480626685194108E-2</v>
      </c>
      <c r="O54" s="116">
        <f>Amnt_Deposited!B49</f>
        <v>2035</v>
      </c>
      <c r="P54" s="119">
        <f>Amnt_Deposited!D49</f>
        <v>0</v>
      </c>
      <c r="Q54" s="319">
        <f>MCF!R53</f>
        <v>0.8</v>
      </c>
      <c r="R54" s="87">
        <f t="shared" si="13"/>
        <v>0</v>
      </c>
      <c r="S54" s="87">
        <f t="shared" si="7"/>
        <v>0</v>
      </c>
      <c r="T54" s="87">
        <f t="shared" si="8"/>
        <v>0</v>
      </c>
      <c r="U54" s="87">
        <f t="shared" si="9"/>
        <v>4.038328565088988</v>
      </c>
      <c r="V54" s="87">
        <f t="shared" si="10"/>
        <v>0.29281185956155209</v>
      </c>
      <c r="W54" s="120">
        <f t="shared" si="11"/>
        <v>0.19520790637436805</v>
      </c>
    </row>
    <row r="55" spans="2:23">
      <c r="B55" s="116">
        <f>Amnt_Deposited!B50</f>
        <v>2036</v>
      </c>
      <c r="C55" s="119">
        <f>Amnt_Deposited!D50</f>
        <v>0</v>
      </c>
      <c r="D55" s="453">
        <f>Dry_Matter_Content!D42</f>
        <v>0.44</v>
      </c>
      <c r="E55" s="319">
        <f>MCF!R54</f>
        <v>0.8</v>
      </c>
      <c r="F55" s="87">
        <f t="shared" si="12"/>
        <v>0</v>
      </c>
      <c r="G55" s="87">
        <f t="shared" si="1"/>
        <v>0</v>
      </c>
      <c r="H55" s="87">
        <f t="shared" si="2"/>
        <v>0</v>
      </c>
      <c r="I55" s="87">
        <f t="shared" si="3"/>
        <v>1.8224112968698956</v>
      </c>
      <c r="J55" s="87">
        <f t="shared" si="4"/>
        <v>0.13213972863317403</v>
      </c>
      <c r="K55" s="120">
        <f t="shared" si="6"/>
        <v>8.8093152422116017E-2</v>
      </c>
      <c r="O55" s="116">
        <f>Amnt_Deposited!B50</f>
        <v>2036</v>
      </c>
      <c r="P55" s="119">
        <f>Amnt_Deposited!D50</f>
        <v>0</v>
      </c>
      <c r="Q55" s="319">
        <f>MCF!R54</f>
        <v>0.8</v>
      </c>
      <c r="R55" s="87">
        <f t="shared" si="13"/>
        <v>0</v>
      </c>
      <c r="S55" s="87">
        <f t="shared" si="7"/>
        <v>0</v>
      </c>
      <c r="T55" s="87">
        <f t="shared" si="8"/>
        <v>0</v>
      </c>
      <c r="U55" s="87">
        <f t="shared" si="9"/>
        <v>3.7653125968386285</v>
      </c>
      <c r="V55" s="87">
        <f t="shared" si="10"/>
        <v>0.27301596825035962</v>
      </c>
      <c r="W55" s="120">
        <f t="shared" si="11"/>
        <v>0.18201064550023974</v>
      </c>
    </row>
    <row r="56" spans="2:23">
      <c r="B56" s="116">
        <f>Amnt_Deposited!B51</f>
        <v>2037</v>
      </c>
      <c r="C56" s="119">
        <f>Amnt_Deposited!D51</f>
        <v>0</v>
      </c>
      <c r="D56" s="453">
        <f>Dry_Matter_Content!D43</f>
        <v>0.44</v>
      </c>
      <c r="E56" s="319">
        <f>MCF!R55</f>
        <v>0.8</v>
      </c>
      <c r="F56" s="87">
        <f t="shared" si="12"/>
        <v>0</v>
      </c>
      <c r="G56" s="87">
        <f t="shared" si="1"/>
        <v>0</v>
      </c>
      <c r="H56" s="87">
        <f t="shared" si="2"/>
        <v>0</v>
      </c>
      <c r="I56" s="87">
        <f t="shared" si="3"/>
        <v>1.6992050305282751</v>
      </c>
      <c r="J56" s="87">
        <f t="shared" si="4"/>
        <v>0.12320626634162052</v>
      </c>
      <c r="K56" s="120">
        <f t="shared" si="6"/>
        <v>8.2137510894413679E-2</v>
      </c>
      <c r="O56" s="116">
        <f>Amnt_Deposited!B51</f>
        <v>2037</v>
      </c>
      <c r="P56" s="119">
        <f>Amnt_Deposited!D51</f>
        <v>0</v>
      </c>
      <c r="Q56" s="319">
        <f>MCF!R55</f>
        <v>0.8</v>
      </c>
      <c r="R56" s="87">
        <f t="shared" si="13"/>
        <v>0</v>
      </c>
      <c r="S56" s="87">
        <f t="shared" si="7"/>
        <v>0</v>
      </c>
      <c r="T56" s="87">
        <f t="shared" si="8"/>
        <v>0</v>
      </c>
      <c r="U56" s="87">
        <f t="shared" si="9"/>
        <v>3.5107541953063546</v>
      </c>
      <c r="V56" s="87">
        <f t="shared" si="10"/>
        <v>0.25455840153227388</v>
      </c>
      <c r="W56" s="120">
        <f t="shared" si="11"/>
        <v>0.16970560102151591</v>
      </c>
    </row>
    <row r="57" spans="2:23">
      <c r="B57" s="116">
        <f>Amnt_Deposited!B52</f>
        <v>2038</v>
      </c>
      <c r="C57" s="119">
        <f>Amnt_Deposited!D52</f>
        <v>0</v>
      </c>
      <c r="D57" s="453">
        <f>Dry_Matter_Content!D44</f>
        <v>0.44</v>
      </c>
      <c r="E57" s="319">
        <f>MCF!R56</f>
        <v>0.8</v>
      </c>
      <c r="F57" s="87">
        <f t="shared" si="12"/>
        <v>0</v>
      </c>
      <c r="G57" s="87">
        <f t="shared" si="1"/>
        <v>0</v>
      </c>
      <c r="H57" s="87">
        <f t="shared" si="2"/>
        <v>0</v>
      </c>
      <c r="I57" s="87">
        <f t="shared" si="3"/>
        <v>1.5843282692176619</v>
      </c>
      <c r="J57" s="87">
        <f t="shared" si="4"/>
        <v>0.11487676131061322</v>
      </c>
      <c r="K57" s="120">
        <f t="shared" si="6"/>
        <v>7.6584507540408811E-2</v>
      </c>
      <c r="O57" s="116">
        <f>Amnt_Deposited!B52</f>
        <v>2038</v>
      </c>
      <c r="P57" s="119">
        <f>Amnt_Deposited!D52</f>
        <v>0</v>
      </c>
      <c r="Q57" s="319">
        <f>MCF!R56</f>
        <v>0.8</v>
      </c>
      <c r="R57" s="87">
        <f t="shared" si="13"/>
        <v>0</v>
      </c>
      <c r="S57" s="87">
        <f t="shared" si="7"/>
        <v>0</v>
      </c>
      <c r="T57" s="87">
        <f t="shared" si="8"/>
        <v>0</v>
      </c>
      <c r="U57" s="87">
        <f t="shared" si="9"/>
        <v>3.2734055149125254</v>
      </c>
      <c r="V57" s="87">
        <f t="shared" si="10"/>
        <v>0.23734868039382906</v>
      </c>
      <c r="W57" s="120">
        <f t="shared" si="11"/>
        <v>0.15823245359588603</v>
      </c>
    </row>
    <row r="58" spans="2:23">
      <c r="B58" s="116">
        <f>Amnt_Deposited!B53</f>
        <v>2039</v>
      </c>
      <c r="C58" s="119">
        <f>Amnt_Deposited!D53</f>
        <v>0</v>
      </c>
      <c r="D58" s="453">
        <f>Dry_Matter_Content!D45</f>
        <v>0.44</v>
      </c>
      <c r="E58" s="319">
        <f>MCF!R57</f>
        <v>0.8</v>
      </c>
      <c r="F58" s="87">
        <f t="shared" si="12"/>
        <v>0</v>
      </c>
      <c r="G58" s="87">
        <f t="shared" si="1"/>
        <v>0</v>
      </c>
      <c r="H58" s="87">
        <f t="shared" si="2"/>
        <v>0</v>
      </c>
      <c r="I58" s="87">
        <f t="shared" si="3"/>
        <v>1.4772178869208354</v>
      </c>
      <c r="J58" s="87">
        <f t="shared" si="4"/>
        <v>0.10711038229682653</v>
      </c>
      <c r="K58" s="120">
        <f t="shared" si="6"/>
        <v>7.1406921531217679E-2</v>
      </c>
      <c r="O58" s="116">
        <f>Amnt_Deposited!B53</f>
        <v>2039</v>
      </c>
      <c r="P58" s="119">
        <f>Amnt_Deposited!D53</f>
        <v>0</v>
      </c>
      <c r="Q58" s="319">
        <f>MCF!R57</f>
        <v>0.8</v>
      </c>
      <c r="R58" s="87">
        <f t="shared" si="13"/>
        <v>0</v>
      </c>
      <c r="S58" s="87">
        <f t="shared" si="7"/>
        <v>0</v>
      </c>
      <c r="T58" s="87">
        <f t="shared" si="8"/>
        <v>0</v>
      </c>
      <c r="U58" s="87">
        <f t="shared" si="9"/>
        <v>3.0521030721504872</v>
      </c>
      <c r="V58" s="87">
        <f t="shared" si="10"/>
        <v>0.22130244276203831</v>
      </c>
      <c r="W58" s="120">
        <f t="shared" si="11"/>
        <v>0.14753496184135886</v>
      </c>
    </row>
    <row r="59" spans="2:23">
      <c r="B59" s="116">
        <f>Amnt_Deposited!B54</f>
        <v>2040</v>
      </c>
      <c r="C59" s="119">
        <f>Amnt_Deposited!D54</f>
        <v>0</v>
      </c>
      <c r="D59" s="453">
        <f>Dry_Matter_Content!D46</f>
        <v>0.44</v>
      </c>
      <c r="E59" s="319">
        <f>MCF!R58</f>
        <v>0.8</v>
      </c>
      <c r="F59" s="87">
        <f t="shared" si="12"/>
        <v>0</v>
      </c>
      <c r="G59" s="87">
        <f t="shared" si="1"/>
        <v>0</v>
      </c>
      <c r="H59" s="87">
        <f t="shared" si="2"/>
        <v>0</v>
      </c>
      <c r="I59" s="87">
        <f t="shared" si="3"/>
        <v>1.377348828419511</v>
      </c>
      <c r="J59" s="87">
        <f t="shared" si="4"/>
        <v>9.9869058501324534E-2</v>
      </c>
      <c r="K59" s="120">
        <f t="shared" si="6"/>
        <v>6.6579372334216347E-2</v>
      </c>
      <c r="O59" s="116">
        <f>Amnt_Deposited!B54</f>
        <v>2040</v>
      </c>
      <c r="P59" s="119">
        <f>Amnt_Deposited!D54</f>
        <v>0</v>
      </c>
      <c r="Q59" s="319">
        <f>MCF!R58</f>
        <v>0.8</v>
      </c>
      <c r="R59" s="87">
        <f t="shared" si="13"/>
        <v>0</v>
      </c>
      <c r="S59" s="87">
        <f t="shared" si="7"/>
        <v>0</v>
      </c>
      <c r="T59" s="87">
        <f t="shared" si="8"/>
        <v>0</v>
      </c>
      <c r="U59" s="87">
        <f t="shared" si="9"/>
        <v>2.8457620421890728</v>
      </c>
      <c r="V59" s="87">
        <f t="shared" si="10"/>
        <v>0.20634102996141437</v>
      </c>
      <c r="W59" s="120">
        <f t="shared" si="11"/>
        <v>0.1375606866409429</v>
      </c>
    </row>
    <row r="60" spans="2:23">
      <c r="B60" s="116">
        <f>Amnt_Deposited!B55</f>
        <v>2041</v>
      </c>
      <c r="C60" s="119">
        <f>Amnt_Deposited!D55</f>
        <v>0</v>
      </c>
      <c r="D60" s="453">
        <f>Dry_Matter_Content!D47</f>
        <v>0.44</v>
      </c>
      <c r="E60" s="319">
        <f>MCF!R59</f>
        <v>0.8</v>
      </c>
      <c r="F60" s="87">
        <f t="shared" si="12"/>
        <v>0</v>
      </c>
      <c r="G60" s="87">
        <f t="shared" si="1"/>
        <v>0</v>
      </c>
      <c r="H60" s="87">
        <f t="shared" si="2"/>
        <v>0</v>
      </c>
      <c r="I60" s="87">
        <f t="shared" si="3"/>
        <v>1.2842315354730505</v>
      </c>
      <c r="J60" s="87">
        <f t="shared" si="4"/>
        <v>9.3117292946460609E-2</v>
      </c>
      <c r="K60" s="120">
        <f t="shared" si="6"/>
        <v>6.2078195297640401E-2</v>
      </c>
      <c r="O60" s="116">
        <f>Amnt_Deposited!B55</f>
        <v>2041</v>
      </c>
      <c r="P60" s="119">
        <f>Amnt_Deposited!D55</f>
        <v>0</v>
      </c>
      <c r="Q60" s="319">
        <f>MCF!R59</f>
        <v>0.8</v>
      </c>
      <c r="R60" s="87">
        <f t="shared" si="13"/>
        <v>0</v>
      </c>
      <c r="S60" s="87">
        <f t="shared" si="7"/>
        <v>0</v>
      </c>
      <c r="T60" s="87">
        <f t="shared" si="8"/>
        <v>0</v>
      </c>
      <c r="U60" s="87">
        <f t="shared" si="9"/>
        <v>2.6533709410600221</v>
      </c>
      <c r="V60" s="87">
        <f t="shared" si="10"/>
        <v>0.19239110112905089</v>
      </c>
      <c r="W60" s="120">
        <f t="shared" si="11"/>
        <v>0.12826073408603392</v>
      </c>
    </row>
    <row r="61" spans="2:23">
      <c r="B61" s="116">
        <f>Amnt_Deposited!B56</f>
        <v>2042</v>
      </c>
      <c r="C61" s="119">
        <f>Amnt_Deposited!D56</f>
        <v>0</v>
      </c>
      <c r="D61" s="453">
        <f>Dry_Matter_Content!D48</f>
        <v>0.44</v>
      </c>
      <c r="E61" s="319">
        <f>MCF!R60</f>
        <v>0.8</v>
      </c>
      <c r="F61" s="87">
        <f t="shared" si="12"/>
        <v>0</v>
      </c>
      <c r="G61" s="87">
        <f t="shared" si="1"/>
        <v>0</v>
      </c>
      <c r="H61" s="87">
        <f t="shared" si="2"/>
        <v>0</v>
      </c>
      <c r="I61" s="87">
        <f t="shared" si="3"/>
        <v>1.1974095470033987</v>
      </c>
      <c r="J61" s="87">
        <f t="shared" si="4"/>
        <v>8.6821988469651626E-2</v>
      </c>
      <c r="K61" s="120">
        <f t="shared" si="6"/>
        <v>5.7881325646434417E-2</v>
      </c>
      <c r="O61" s="116">
        <f>Amnt_Deposited!B56</f>
        <v>2042</v>
      </c>
      <c r="P61" s="119">
        <f>Amnt_Deposited!D56</f>
        <v>0</v>
      </c>
      <c r="Q61" s="319">
        <f>MCF!R60</f>
        <v>0.8</v>
      </c>
      <c r="R61" s="87">
        <f t="shared" si="13"/>
        <v>0</v>
      </c>
      <c r="S61" s="87">
        <f t="shared" si="7"/>
        <v>0</v>
      </c>
      <c r="T61" s="87">
        <f t="shared" si="8"/>
        <v>0</v>
      </c>
      <c r="U61" s="87">
        <f t="shared" si="9"/>
        <v>2.4739866673623947</v>
      </c>
      <c r="V61" s="87">
        <f t="shared" si="10"/>
        <v>0.17938427369762736</v>
      </c>
      <c r="W61" s="120">
        <f t="shared" si="11"/>
        <v>0.11958951579841823</v>
      </c>
    </row>
    <row r="62" spans="2:23">
      <c r="B62" s="116">
        <f>Amnt_Deposited!B57</f>
        <v>2043</v>
      </c>
      <c r="C62" s="119">
        <f>Amnt_Deposited!D57</f>
        <v>0</v>
      </c>
      <c r="D62" s="453">
        <f>Dry_Matter_Content!D49</f>
        <v>0.44</v>
      </c>
      <c r="E62" s="319">
        <f>MCF!R61</f>
        <v>0.8</v>
      </c>
      <c r="F62" s="87">
        <f t="shared" si="12"/>
        <v>0</v>
      </c>
      <c r="G62" s="87">
        <f t="shared" si="1"/>
        <v>0</v>
      </c>
      <c r="H62" s="87">
        <f t="shared" si="2"/>
        <v>0</v>
      </c>
      <c r="I62" s="87">
        <f t="shared" si="3"/>
        <v>1.11645726152235</v>
      </c>
      <c r="J62" s="87">
        <f t="shared" si="4"/>
        <v>8.0952285481048672E-2</v>
      </c>
      <c r="K62" s="120">
        <f t="shared" si="6"/>
        <v>5.3968190320699112E-2</v>
      </c>
      <c r="O62" s="116">
        <f>Amnt_Deposited!B57</f>
        <v>2043</v>
      </c>
      <c r="P62" s="119">
        <f>Amnt_Deposited!D57</f>
        <v>0</v>
      </c>
      <c r="Q62" s="319">
        <f>MCF!R61</f>
        <v>0.8</v>
      </c>
      <c r="R62" s="87">
        <f t="shared" si="13"/>
        <v>0</v>
      </c>
      <c r="S62" s="87">
        <f t="shared" si="7"/>
        <v>0</v>
      </c>
      <c r="T62" s="87">
        <f t="shared" si="8"/>
        <v>0</v>
      </c>
      <c r="U62" s="87">
        <f t="shared" si="9"/>
        <v>2.3067298791784099</v>
      </c>
      <c r="V62" s="87">
        <f t="shared" si="10"/>
        <v>0.1672567881839849</v>
      </c>
      <c r="W62" s="120">
        <f t="shared" si="11"/>
        <v>0.11150452545598993</v>
      </c>
    </row>
    <row r="63" spans="2:23">
      <c r="B63" s="116">
        <f>Amnt_Deposited!B58</f>
        <v>2044</v>
      </c>
      <c r="C63" s="119">
        <f>Amnt_Deposited!D58</f>
        <v>0</v>
      </c>
      <c r="D63" s="453">
        <f>Dry_Matter_Content!D50</f>
        <v>0.44</v>
      </c>
      <c r="E63" s="319">
        <f>MCF!R62</f>
        <v>0.8</v>
      </c>
      <c r="F63" s="87">
        <f t="shared" si="12"/>
        <v>0</v>
      </c>
      <c r="G63" s="87">
        <f t="shared" si="1"/>
        <v>0</v>
      </c>
      <c r="H63" s="87">
        <f t="shared" si="2"/>
        <v>0</v>
      </c>
      <c r="I63" s="87">
        <f t="shared" si="3"/>
        <v>1.0409778508325582</v>
      </c>
      <c r="J63" s="87">
        <f t="shared" si="4"/>
        <v>7.5479410689791804E-2</v>
      </c>
      <c r="K63" s="120">
        <f t="shared" si="6"/>
        <v>5.0319607126527867E-2</v>
      </c>
      <c r="O63" s="116">
        <f>Amnt_Deposited!B58</f>
        <v>2044</v>
      </c>
      <c r="P63" s="119">
        <f>Amnt_Deposited!D58</f>
        <v>0</v>
      </c>
      <c r="Q63" s="319">
        <f>MCF!R62</f>
        <v>0.8</v>
      </c>
      <c r="R63" s="87">
        <f t="shared" si="13"/>
        <v>0</v>
      </c>
      <c r="S63" s="87">
        <f t="shared" si="7"/>
        <v>0</v>
      </c>
      <c r="T63" s="87">
        <f t="shared" si="8"/>
        <v>0</v>
      </c>
      <c r="U63" s="87">
        <f t="shared" si="9"/>
        <v>2.1507806835383443</v>
      </c>
      <c r="V63" s="87">
        <f t="shared" si="10"/>
        <v>0.15594919564006576</v>
      </c>
      <c r="W63" s="120">
        <f t="shared" si="11"/>
        <v>0.1039661304267105</v>
      </c>
    </row>
    <row r="64" spans="2:23">
      <c r="B64" s="116">
        <f>Amnt_Deposited!B59</f>
        <v>2045</v>
      </c>
      <c r="C64" s="119">
        <f>Amnt_Deposited!D59</f>
        <v>0</v>
      </c>
      <c r="D64" s="453">
        <f>Dry_Matter_Content!D51</f>
        <v>0.44</v>
      </c>
      <c r="E64" s="319">
        <f>MCF!R63</f>
        <v>0.8</v>
      </c>
      <c r="F64" s="87">
        <f t="shared" si="12"/>
        <v>0</v>
      </c>
      <c r="G64" s="87">
        <f t="shared" si="1"/>
        <v>0</v>
      </c>
      <c r="H64" s="87">
        <f t="shared" si="2"/>
        <v>0</v>
      </c>
      <c r="I64" s="87">
        <f t="shared" si="3"/>
        <v>0.97060131477525335</v>
      </c>
      <c r="J64" s="87">
        <f t="shared" si="4"/>
        <v>7.0376536057304845E-2</v>
      </c>
      <c r="K64" s="120">
        <f t="shared" si="6"/>
        <v>4.6917690704869897E-2</v>
      </c>
      <c r="O64" s="116">
        <f>Amnt_Deposited!B59</f>
        <v>2045</v>
      </c>
      <c r="P64" s="119">
        <f>Amnt_Deposited!D59</f>
        <v>0</v>
      </c>
      <c r="Q64" s="319">
        <f>MCF!R63</f>
        <v>0.8</v>
      </c>
      <c r="R64" s="87">
        <f t="shared" si="13"/>
        <v>0</v>
      </c>
      <c r="S64" s="87">
        <f t="shared" si="7"/>
        <v>0</v>
      </c>
      <c r="T64" s="87">
        <f t="shared" si="8"/>
        <v>0</v>
      </c>
      <c r="U64" s="87">
        <f t="shared" si="9"/>
        <v>2.0053746173042435</v>
      </c>
      <c r="V64" s="87">
        <f t="shared" si="10"/>
        <v>0.14540606623410099</v>
      </c>
      <c r="W64" s="120">
        <f t="shared" si="11"/>
        <v>9.693737748940065E-2</v>
      </c>
    </row>
    <row r="65" spans="2:23">
      <c r="B65" s="116">
        <f>Amnt_Deposited!B60</f>
        <v>2046</v>
      </c>
      <c r="C65" s="119">
        <f>Amnt_Deposited!D60</f>
        <v>0</v>
      </c>
      <c r="D65" s="453">
        <f>Dry_Matter_Content!D52</f>
        <v>0.44</v>
      </c>
      <c r="E65" s="319">
        <f>MCF!R64</f>
        <v>0.8</v>
      </c>
      <c r="F65" s="87">
        <f t="shared" si="12"/>
        <v>0</v>
      </c>
      <c r="G65" s="87">
        <f t="shared" si="1"/>
        <v>0</v>
      </c>
      <c r="H65" s="87">
        <f t="shared" si="2"/>
        <v>0</v>
      </c>
      <c r="I65" s="87">
        <f t="shared" si="3"/>
        <v>0.90498266748903422</v>
      </c>
      <c r="J65" s="87">
        <f t="shared" si="4"/>
        <v>6.5618647286219162E-2</v>
      </c>
      <c r="K65" s="120">
        <f t="shared" si="6"/>
        <v>4.3745764857479441E-2</v>
      </c>
      <c r="O65" s="116">
        <f>Amnt_Deposited!B60</f>
        <v>2046</v>
      </c>
      <c r="P65" s="119">
        <f>Amnt_Deposited!D60</f>
        <v>0</v>
      </c>
      <c r="Q65" s="319">
        <f>MCF!R64</f>
        <v>0.8</v>
      </c>
      <c r="R65" s="87">
        <f t="shared" si="13"/>
        <v>0</v>
      </c>
      <c r="S65" s="87">
        <f t="shared" si="7"/>
        <v>0</v>
      </c>
      <c r="T65" s="87">
        <f t="shared" si="8"/>
        <v>0</v>
      </c>
      <c r="U65" s="87">
        <f t="shared" si="9"/>
        <v>1.8697988997707327</v>
      </c>
      <c r="V65" s="87">
        <f t="shared" si="10"/>
        <v>0.13557571753351075</v>
      </c>
      <c r="W65" s="120">
        <f t="shared" si="11"/>
        <v>9.0383811689007165E-2</v>
      </c>
    </row>
    <row r="66" spans="2:23">
      <c r="B66" s="116">
        <f>Amnt_Deposited!B61</f>
        <v>2047</v>
      </c>
      <c r="C66" s="119">
        <f>Amnt_Deposited!D61</f>
        <v>0</v>
      </c>
      <c r="D66" s="453">
        <f>Dry_Matter_Content!D53</f>
        <v>0.44</v>
      </c>
      <c r="E66" s="319">
        <f>MCF!R65</f>
        <v>0.8</v>
      </c>
      <c r="F66" s="87">
        <f t="shared" si="12"/>
        <v>0</v>
      </c>
      <c r="G66" s="87">
        <f t="shared" si="1"/>
        <v>0</v>
      </c>
      <c r="H66" s="87">
        <f t="shared" si="2"/>
        <v>0</v>
      </c>
      <c r="I66" s="87">
        <f t="shared" si="3"/>
        <v>0.84380024628877526</v>
      </c>
      <c r="J66" s="87">
        <f t="shared" si="4"/>
        <v>6.1182421200258977E-2</v>
      </c>
      <c r="K66" s="120">
        <f t="shared" si="6"/>
        <v>4.0788280800172647E-2</v>
      </c>
      <c r="O66" s="116">
        <f>Amnt_Deposited!B61</f>
        <v>2047</v>
      </c>
      <c r="P66" s="119">
        <f>Amnt_Deposited!D61</f>
        <v>0</v>
      </c>
      <c r="Q66" s="319">
        <f>MCF!R65</f>
        <v>0.8</v>
      </c>
      <c r="R66" s="87">
        <f t="shared" si="13"/>
        <v>0</v>
      </c>
      <c r="S66" s="87">
        <f t="shared" si="7"/>
        <v>0</v>
      </c>
      <c r="T66" s="87">
        <f t="shared" si="8"/>
        <v>0</v>
      </c>
      <c r="U66" s="87">
        <f t="shared" si="9"/>
        <v>1.7433889386131727</v>
      </c>
      <c r="V66" s="87">
        <f t="shared" si="10"/>
        <v>0.12640996115755992</v>
      </c>
      <c r="W66" s="120">
        <f t="shared" si="11"/>
        <v>8.4273307438373274E-2</v>
      </c>
    </row>
    <row r="67" spans="2:23">
      <c r="B67" s="116">
        <f>Amnt_Deposited!B62</f>
        <v>2048</v>
      </c>
      <c r="C67" s="119">
        <f>Amnt_Deposited!D62</f>
        <v>0</v>
      </c>
      <c r="D67" s="453">
        <f>Dry_Matter_Content!D54</f>
        <v>0.44</v>
      </c>
      <c r="E67" s="319">
        <f>MCF!R66</f>
        <v>0.8</v>
      </c>
      <c r="F67" s="87">
        <f t="shared" si="12"/>
        <v>0</v>
      </c>
      <c r="G67" s="87">
        <f t="shared" si="1"/>
        <v>0</v>
      </c>
      <c r="H67" s="87">
        <f t="shared" si="2"/>
        <v>0</v>
      </c>
      <c r="I67" s="87">
        <f t="shared" si="3"/>
        <v>0.78675413487477108</v>
      </c>
      <c r="J67" s="87">
        <f t="shared" si="4"/>
        <v>5.704611141400414E-2</v>
      </c>
      <c r="K67" s="120">
        <f t="shared" si="6"/>
        <v>3.8030740942669422E-2</v>
      </c>
      <c r="O67" s="116">
        <f>Amnt_Deposited!B62</f>
        <v>2048</v>
      </c>
      <c r="P67" s="119">
        <f>Amnt_Deposited!D62</f>
        <v>0</v>
      </c>
      <c r="Q67" s="319">
        <f>MCF!R66</f>
        <v>0.8</v>
      </c>
      <c r="R67" s="87">
        <f t="shared" si="13"/>
        <v>0</v>
      </c>
      <c r="S67" s="87">
        <f t="shared" si="7"/>
        <v>0</v>
      </c>
      <c r="T67" s="87">
        <f t="shared" si="8"/>
        <v>0</v>
      </c>
      <c r="U67" s="87">
        <f t="shared" si="9"/>
        <v>1.6255250720553129</v>
      </c>
      <c r="V67" s="87">
        <f t="shared" si="10"/>
        <v>0.11786386655785984</v>
      </c>
      <c r="W67" s="120">
        <f t="shared" si="11"/>
        <v>7.8575911038573226E-2</v>
      </c>
    </row>
    <row r="68" spans="2:23">
      <c r="B68" s="116">
        <f>Amnt_Deposited!B63</f>
        <v>2049</v>
      </c>
      <c r="C68" s="119">
        <f>Amnt_Deposited!D63</f>
        <v>0</v>
      </c>
      <c r="D68" s="453">
        <f>Dry_Matter_Content!D55</f>
        <v>0.44</v>
      </c>
      <c r="E68" s="319">
        <f>MCF!R67</f>
        <v>0.8</v>
      </c>
      <c r="F68" s="87">
        <f t="shared" si="12"/>
        <v>0</v>
      </c>
      <c r="G68" s="87">
        <f t="shared" si="1"/>
        <v>0</v>
      </c>
      <c r="H68" s="87">
        <f t="shared" si="2"/>
        <v>0</v>
      </c>
      <c r="I68" s="87">
        <f t="shared" si="3"/>
        <v>0.73356469314268746</v>
      </c>
      <c r="J68" s="87">
        <f t="shared" si="4"/>
        <v>5.3189441732083634E-2</v>
      </c>
      <c r="K68" s="120">
        <f t="shared" si="6"/>
        <v>3.5459627821389089E-2</v>
      </c>
      <c r="O68" s="116">
        <f>Amnt_Deposited!B63</f>
        <v>2049</v>
      </c>
      <c r="P68" s="119">
        <f>Amnt_Deposited!D63</f>
        <v>0</v>
      </c>
      <c r="Q68" s="319">
        <f>MCF!R67</f>
        <v>0.8</v>
      </c>
      <c r="R68" s="87">
        <f t="shared" si="13"/>
        <v>0</v>
      </c>
      <c r="S68" s="87">
        <f t="shared" si="7"/>
        <v>0</v>
      </c>
      <c r="T68" s="87">
        <f t="shared" si="8"/>
        <v>0</v>
      </c>
      <c r="U68" s="87">
        <f t="shared" si="9"/>
        <v>1.5156295312865451</v>
      </c>
      <c r="V68" s="87">
        <f t="shared" si="10"/>
        <v>0.1098955407687679</v>
      </c>
      <c r="W68" s="120">
        <f t="shared" si="11"/>
        <v>7.326369384584526E-2</v>
      </c>
    </row>
    <row r="69" spans="2:23">
      <c r="B69" s="116">
        <f>Amnt_Deposited!B64</f>
        <v>2050</v>
      </c>
      <c r="C69" s="119">
        <f>Amnt_Deposited!D64</f>
        <v>0</v>
      </c>
      <c r="D69" s="453">
        <f>Dry_Matter_Content!D56</f>
        <v>0.44</v>
      </c>
      <c r="E69" s="319">
        <f>MCF!R68</f>
        <v>0.8</v>
      </c>
      <c r="F69" s="87">
        <f t="shared" si="12"/>
        <v>0</v>
      </c>
      <c r="G69" s="87">
        <f t="shared" si="1"/>
        <v>0</v>
      </c>
      <c r="H69" s="87">
        <f t="shared" si="2"/>
        <v>0</v>
      </c>
      <c r="I69" s="87">
        <f t="shared" si="3"/>
        <v>0.68397118638744514</v>
      </c>
      <c r="J69" s="87">
        <f t="shared" si="4"/>
        <v>4.9593506755242323E-2</v>
      </c>
      <c r="K69" s="120">
        <f t="shared" si="6"/>
        <v>3.3062337836828215E-2</v>
      </c>
      <c r="O69" s="116">
        <f>Amnt_Deposited!B64</f>
        <v>2050</v>
      </c>
      <c r="P69" s="119">
        <f>Amnt_Deposited!D64</f>
        <v>0</v>
      </c>
      <c r="Q69" s="319">
        <f>MCF!R68</f>
        <v>0.8</v>
      </c>
      <c r="R69" s="87">
        <f t="shared" si="13"/>
        <v>0</v>
      </c>
      <c r="S69" s="87">
        <f t="shared" si="7"/>
        <v>0</v>
      </c>
      <c r="T69" s="87">
        <f t="shared" si="8"/>
        <v>0</v>
      </c>
      <c r="U69" s="87">
        <f t="shared" si="9"/>
        <v>1.4131636082385237</v>
      </c>
      <c r="V69" s="87">
        <f t="shared" si="10"/>
        <v>0.10246592304802138</v>
      </c>
      <c r="W69" s="120">
        <f t="shared" si="11"/>
        <v>6.8310615365347577E-2</v>
      </c>
    </row>
    <row r="70" spans="2:23">
      <c r="B70" s="116">
        <f>Amnt_Deposited!B65</f>
        <v>2051</v>
      </c>
      <c r="C70" s="119">
        <f>Amnt_Deposited!D65</f>
        <v>0</v>
      </c>
      <c r="D70" s="453">
        <f>Dry_Matter_Content!D57</f>
        <v>0.44</v>
      </c>
      <c r="E70" s="319">
        <f>MCF!R69</f>
        <v>0.8</v>
      </c>
      <c r="F70" s="87">
        <f t="shared" si="12"/>
        <v>0</v>
      </c>
      <c r="G70" s="87">
        <f t="shared" si="1"/>
        <v>0</v>
      </c>
      <c r="H70" s="87">
        <f t="shared" si="2"/>
        <v>0</v>
      </c>
      <c r="I70" s="87">
        <f t="shared" si="3"/>
        <v>0.63773050718139335</v>
      </c>
      <c r="J70" s="87">
        <f t="shared" si="4"/>
        <v>4.6240679206051835E-2</v>
      </c>
      <c r="K70" s="120">
        <f t="shared" si="6"/>
        <v>3.0827119470701221E-2</v>
      </c>
      <c r="O70" s="116">
        <f>Amnt_Deposited!B65</f>
        <v>2051</v>
      </c>
      <c r="P70" s="119">
        <f>Amnt_Deposited!D65</f>
        <v>0</v>
      </c>
      <c r="Q70" s="319">
        <f>MCF!R69</f>
        <v>0.8</v>
      </c>
      <c r="R70" s="87">
        <f t="shared" si="13"/>
        <v>0</v>
      </c>
      <c r="S70" s="87">
        <f t="shared" si="7"/>
        <v>0</v>
      </c>
      <c r="T70" s="87">
        <f t="shared" si="8"/>
        <v>0</v>
      </c>
      <c r="U70" s="87">
        <f t="shared" si="9"/>
        <v>1.3176250148375901</v>
      </c>
      <c r="V70" s="87">
        <f t="shared" si="10"/>
        <v>9.5538593400933597E-2</v>
      </c>
      <c r="W70" s="120">
        <f t="shared" si="11"/>
        <v>6.3692395600622398E-2</v>
      </c>
    </row>
    <row r="71" spans="2:23">
      <c r="B71" s="116">
        <f>Amnt_Deposited!B66</f>
        <v>2052</v>
      </c>
      <c r="C71" s="119">
        <f>Amnt_Deposited!D66</f>
        <v>0</v>
      </c>
      <c r="D71" s="453">
        <f>Dry_Matter_Content!D58</f>
        <v>0.44</v>
      </c>
      <c r="E71" s="319">
        <f>MCF!R70</f>
        <v>0.8</v>
      </c>
      <c r="F71" s="87">
        <f t="shared" si="12"/>
        <v>0</v>
      </c>
      <c r="G71" s="87">
        <f t="shared" si="1"/>
        <v>0</v>
      </c>
      <c r="H71" s="87">
        <f t="shared" si="2"/>
        <v>0</v>
      </c>
      <c r="I71" s="87">
        <f t="shared" si="3"/>
        <v>0.5946159836614171</v>
      </c>
      <c r="J71" s="87">
        <f t="shared" si="4"/>
        <v>4.3114523519976224E-2</v>
      </c>
      <c r="K71" s="120">
        <f t="shared" si="6"/>
        <v>2.8743015679984149E-2</v>
      </c>
      <c r="O71" s="116">
        <f>Amnt_Deposited!B66</f>
        <v>2052</v>
      </c>
      <c r="P71" s="119">
        <f>Amnt_Deposited!D66</f>
        <v>0</v>
      </c>
      <c r="Q71" s="319">
        <f>MCF!R70</f>
        <v>0.8</v>
      </c>
      <c r="R71" s="87">
        <f t="shared" si="13"/>
        <v>0</v>
      </c>
      <c r="S71" s="87">
        <f t="shared" si="7"/>
        <v>0</v>
      </c>
      <c r="T71" s="87">
        <f t="shared" si="8"/>
        <v>0</v>
      </c>
      <c r="U71" s="87">
        <f t="shared" si="9"/>
        <v>1.2285454207880524</v>
      </c>
      <c r="V71" s="87">
        <f t="shared" si="10"/>
        <v>8.9079594049537691E-2</v>
      </c>
      <c r="W71" s="120">
        <f t="shared" si="11"/>
        <v>5.9386396033025125E-2</v>
      </c>
    </row>
    <row r="72" spans="2:23">
      <c r="B72" s="116">
        <f>Amnt_Deposited!B67</f>
        <v>2053</v>
      </c>
      <c r="C72" s="119">
        <f>Amnt_Deposited!D67</f>
        <v>0</v>
      </c>
      <c r="D72" s="453">
        <f>Dry_Matter_Content!D59</f>
        <v>0.44</v>
      </c>
      <c r="E72" s="319">
        <f>MCF!R71</f>
        <v>0.8</v>
      </c>
      <c r="F72" s="87">
        <f t="shared" si="12"/>
        <v>0</v>
      </c>
      <c r="G72" s="87">
        <f t="shared" si="1"/>
        <v>0</v>
      </c>
      <c r="H72" s="87">
        <f t="shared" si="2"/>
        <v>0</v>
      </c>
      <c r="I72" s="87">
        <f t="shared" si="3"/>
        <v>0.55441626838320157</v>
      </c>
      <c r="J72" s="87">
        <f t="shared" si="4"/>
        <v>4.0199715278215482E-2</v>
      </c>
      <c r="K72" s="120">
        <f t="shared" si="6"/>
        <v>2.6799810185476988E-2</v>
      </c>
      <c r="O72" s="116">
        <f>Amnt_Deposited!B67</f>
        <v>2053</v>
      </c>
      <c r="P72" s="119">
        <f>Amnt_Deposited!D67</f>
        <v>0</v>
      </c>
      <c r="Q72" s="319">
        <f>MCF!R71</f>
        <v>0.8</v>
      </c>
      <c r="R72" s="87">
        <f t="shared" si="13"/>
        <v>0</v>
      </c>
      <c r="S72" s="87">
        <f t="shared" si="7"/>
        <v>0</v>
      </c>
      <c r="T72" s="87">
        <f t="shared" si="8"/>
        <v>0</v>
      </c>
      <c r="U72" s="87">
        <f t="shared" si="9"/>
        <v>1.1454881578165328</v>
      </c>
      <c r="V72" s="87">
        <f t="shared" si="10"/>
        <v>8.3057262971519635E-2</v>
      </c>
      <c r="W72" s="120">
        <f t="shared" si="11"/>
        <v>5.5371508647679757E-2</v>
      </c>
    </row>
    <row r="73" spans="2:23">
      <c r="B73" s="116">
        <f>Amnt_Deposited!B68</f>
        <v>2054</v>
      </c>
      <c r="C73" s="119">
        <f>Amnt_Deposited!D68</f>
        <v>0</v>
      </c>
      <c r="D73" s="453">
        <f>Dry_Matter_Content!D60</f>
        <v>0.44</v>
      </c>
      <c r="E73" s="319">
        <f>MCF!R72</f>
        <v>0.8</v>
      </c>
      <c r="F73" s="87">
        <f t="shared" si="12"/>
        <v>0</v>
      </c>
      <c r="G73" s="87">
        <f t="shared" si="1"/>
        <v>0</v>
      </c>
      <c r="H73" s="87">
        <f t="shared" si="2"/>
        <v>0</v>
      </c>
      <c r="I73" s="87">
        <f t="shared" si="3"/>
        <v>0.51693430229581472</v>
      </c>
      <c r="J73" s="87">
        <f t="shared" si="4"/>
        <v>3.7481966087386839E-2</v>
      </c>
      <c r="K73" s="120">
        <f t="shared" si="6"/>
        <v>2.4987977391591226E-2</v>
      </c>
      <c r="O73" s="116">
        <f>Amnt_Deposited!B68</f>
        <v>2054</v>
      </c>
      <c r="P73" s="119">
        <f>Amnt_Deposited!D68</f>
        <v>0</v>
      </c>
      <c r="Q73" s="319">
        <f>MCF!R72</f>
        <v>0.8</v>
      </c>
      <c r="R73" s="87">
        <f t="shared" si="13"/>
        <v>0</v>
      </c>
      <c r="S73" s="87">
        <f t="shared" si="7"/>
        <v>0</v>
      </c>
      <c r="T73" s="87">
        <f t="shared" si="8"/>
        <v>0</v>
      </c>
      <c r="U73" s="87">
        <f t="shared" si="9"/>
        <v>1.0680460791235846</v>
      </c>
      <c r="V73" s="87">
        <f t="shared" si="10"/>
        <v>7.7442078692948058E-2</v>
      </c>
      <c r="W73" s="120">
        <f t="shared" si="11"/>
        <v>5.1628052461965369E-2</v>
      </c>
    </row>
    <row r="74" spans="2:23">
      <c r="B74" s="116">
        <f>Amnt_Deposited!B69</f>
        <v>2055</v>
      </c>
      <c r="C74" s="119">
        <f>Amnt_Deposited!D69</f>
        <v>0</v>
      </c>
      <c r="D74" s="453">
        <f>Dry_Matter_Content!D61</f>
        <v>0.44</v>
      </c>
      <c r="E74" s="319">
        <f>MCF!R73</f>
        <v>0.8</v>
      </c>
      <c r="F74" s="87">
        <f t="shared" si="12"/>
        <v>0</v>
      </c>
      <c r="G74" s="87">
        <f t="shared" si="1"/>
        <v>0</v>
      </c>
      <c r="H74" s="87">
        <f t="shared" si="2"/>
        <v>0</v>
      </c>
      <c r="I74" s="87">
        <f t="shared" si="3"/>
        <v>0.48198634875801089</v>
      </c>
      <c r="J74" s="87">
        <f t="shared" si="4"/>
        <v>3.4947953537803826E-2</v>
      </c>
      <c r="K74" s="120">
        <f t="shared" si="6"/>
        <v>2.3298635691869216E-2</v>
      </c>
      <c r="O74" s="116">
        <f>Amnt_Deposited!B69</f>
        <v>2055</v>
      </c>
      <c r="P74" s="119">
        <f>Amnt_Deposited!D69</f>
        <v>0</v>
      </c>
      <c r="Q74" s="319">
        <f>MCF!R73</f>
        <v>0.8</v>
      </c>
      <c r="R74" s="87">
        <f t="shared" si="13"/>
        <v>0</v>
      </c>
      <c r="S74" s="87">
        <f t="shared" si="7"/>
        <v>0</v>
      </c>
      <c r="T74" s="87">
        <f t="shared" si="8"/>
        <v>0</v>
      </c>
      <c r="U74" s="87">
        <f t="shared" si="9"/>
        <v>0.99583956354960979</v>
      </c>
      <c r="V74" s="87">
        <f t="shared" si="10"/>
        <v>7.220651557397488E-2</v>
      </c>
      <c r="W74" s="120">
        <f t="shared" si="11"/>
        <v>4.8137677049316582E-2</v>
      </c>
    </row>
    <row r="75" spans="2:23">
      <c r="B75" s="116">
        <f>Amnt_Deposited!B70</f>
        <v>2056</v>
      </c>
      <c r="C75" s="119">
        <f>Amnt_Deposited!D70</f>
        <v>0</v>
      </c>
      <c r="D75" s="453">
        <f>Dry_Matter_Content!D62</f>
        <v>0.44</v>
      </c>
      <c r="E75" s="319">
        <f>MCF!R74</f>
        <v>0.8</v>
      </c>
      <c r="F75" s="87">
        <f t="shared" si="12"/>
        <v>0</v>
      </c>
      <c r="G75" s="87">
        <f t="shared" si="1"/>
        <v>0</v>
      </c>
      <c r="H75" s="87">
        <f t="shared" si="2"/>
        <v>0</v>
      </c>
      <c r="I75" s="87">
        <f t="shared" si="3"/>
        <v>0.44940109286100238</v>
      </c>
      <c r="J75" s="87">
        <f t="shared" si="4"/>
        <v>3.258525589700851E-2</v>
      </c>
      <c r="K75" s="120">
        <f t="shared" si="6"/>
        <v>2.1723503931339004E-2</v>
      </c>
      <c r="O75" s="116">
        <f>Amnt_Deposited!B70</f>
        <v>2056</v>
      </c>
      <c r="P75" s="119">
        <f>Amnt_Deposited!D70</f>
        <v>0</v>
      </c>
      <c r="Q75" s="319">
        <f>MCF!R74</f>
        <v>0.8</v>
      </c>
      <c r="R75" s="87">
        <f t="shared" si="13"/>
        <v>0</v>
      </c>
      <c r="S75" s="87">
        <f t="shared" si="7"/>
        <v>0</v>
      </c>
      <c r="T75" s="87">
        <f t="shared" si="8"/>
        <v>0</v>
      </c>
      <c r="U75" s="87">
        <f t="shared" si="9"/>
        <v>0.92851465467149297</v>
      </c>
      <c r="V75" s="87">
        <f t="shared" si="10"/>
        <v>6.732490887811679E-2</v>
      </c>
      <c r="W75" s="120">
        <f t="shared" si="11"/>
        <v>4.4883272585411194E-2</v>
      </c>
    </row>
    <row r="76" spans="2:23">
      <c r="B76" s="116">
        <f>Amnt_Deposited!B71</f>
        <v>2057</v>
      </c>
      <c r="C76" s="119">
        <f>Amnt_Deposited!D71</f>
        <v>0</v>
      </c>
      <c r="D76" s="453">
        <f>Dry_Matter_Content!D63</f>
        <v>0.44</v>
      </c>
      <c r="E76" s="319">
        <f>MCF!R75</f>
        <v>0.8</v>
      </c>
      <c r="F76" s="87">
        <f t="shared" si="12"/>
        <v>0</v>
      </c>
      <c r="G76" s="87">
        <f t="shared" si="1"/>
        <v>0</v>
      </c>
      <c r="H76" s="87">
        <f t="shared" si="2"/>
        <v>0</v>
      </c>
      <c r="I76" s="87">
        <f t="shared" si="3"/>
        <v>0.41901880164257777</v>
      </c>
      <c r="J76" s="87">
        <f t="shared" si="4"/>
        <v>3.038229121842459E-2</v>
      </c>
      <c r="K76" s="120">
        <f t="shared" si="6"/>
        <v>2.025486081228306E-2</v>
      </c>
      <c r="O76" s="116">
        <f>Amnt_Deposited!B71</f>
        <v>2057</v>
      </c>
      <c r="P76" s="119">
        <f>Amnt_Deposited!D71</f>
        <v>0</v>
      </c>
      <c r="Q76" s="319">
        <f>MCF!R75</f>
        <v>0.8</v>
      </c>
      <c r="R76" s="87">
        <f t="shared" si="13"/>
        <v>0</v>
      </c>
      <c r="S76" s="87">
        <f t="shared" si="7"/>
        <v>0</v>
      </c>
      <c r="T76" s="87">
        <f t="shared" si="8"/>
        <v>0</v>
      </c>
      <c r="U76" s="87">
        <f t="shared" si="9"/>
        <v>0.86574132570780582</v>
      </c>
      <c r="V76" s="87">
        <f t="shared" si="10"/>
        <v>6.2773328963687203E-2</v>
      </c>
      <c r="W76" s="120">
        <f t="shared" si="11"/>
        <v>4.1848885975791464E-2</v>
      </c>
    </row>
    <row r="77" spans="2:23">
      <c r="B77" s="116">
        <f>Amnt_Deposited!B72</f>
        <v>2058</v>
      </c>
      <c r="C77" s="119">
        <f>Amnt_Deposited!D72</f>
        <v>0</v>
      </c>
      <c r="D77" s="453">
        <f>Dry_Matter_Content!D64</f>
        <v>0.44</v>
      </c>
      <c r="E77" s="319">
        <f>MCF!R76</f>
        <v>0.8</v>
      </c>
      <c r="F77" s="87">
        <f t="shared" si="12"/>
        <v>0</v>
      </c>
      <c r="G77" s="87">
        <f t="shared" si="1"/>
        <v>0</v>
      </c>
      <c r="H77" s="87">
        <f t="shared" si="2"/>
        <v>0</v>
      </c>
      <c r="I77" s="87">
        <f t="shared" si="3"/>
        <v>0.39069054107593593</v>
      </c>
      <c r="J77" s="87">
        <f t="shared" si="4"/>
        <v>2.8328260566641849E-2</v>
      </c>
      <c r="K77" s="120">
        <f t="shared" si="6"/>
        <v>1.8885507044427898E-2</v>
      </c>
      <c r="O77" s="116">
        <f>Amnt_Deposited!B72</f>
        <v>2058</v>
      </c>
      <c r="P77" s="119">
        <f>Amnt_Deposited!D72</f>
        <v>0</v>
      </c>
      <c r="Q77" s="319">
        <f>MCF!R76</f>
        <v>0.8</v>
      </c>
      <c r="R77" s="87">
        <f t="shared" si="13"/>
        <v>0</v>
      </c>
      <c r="S77" s="87">
        <f t="shared" si="7"/>
        <v>0</v>
      </c>
      <c r="T77" s="87">
        <f t="shared" si="8"/>
        <v>0</v>
      </c>
      <c r="U77" s="87">
        <f t="shared" si="9"/>
        <v>0.80721186172714077</v>
      </c>
      <c r="V77" s="87">
        <f t="shared" si="10"/>
        <v>5.8529463980665011E-2</v>
      </c>
      <c r="W77" s="120">
        <f t="shared" si="11"/>
        <v>3.9019642653776672E-2</v>
      </c>
    </row>
    <row r="78" spans="2:23">
      <c r="B78" s="116">
        <f>Amnt_Deposited!B73</f>
        <v>2059</v>
      </c>
      <c r="C78" s="119">
        <f>Amnt_Deposited!D73</f>
        <v>0</v>
      </c>
      <c r="D78" s="453">
        <f>Dry_Matter_Content!D65</f>
        <v>0.44</v>
      </c>
      <c r="E78" s="319">
        <f>MCF!R77</f>
        <v>0.8</v>
      </c>
      <c r="F78" s="87">
        <f t="shared" si="12"/>
        <v>0</v>
      </c>
      <c r="G78" s="87">
        <f t="shared" si="1"/>
        <v>0</v>
      </c>
      <c r="H78" s="87">
        <f t="shared" si="2"/>
        <v>0</v>
      </c>
      <c r="I78" s="87">
        <f t="shared" si="3"/>
        <v>0.36427744599491368</v>
      </c>
      <c r="J78" s="87">
        <f t="shared" si="4"/>
        <v>2.6413095081022239E-2</v>
      </c>
      <c r="K78" s="120">
        <f t="shared" si="6"/>
        <v>1.7608730054014823E-2</v>
      </c>
      <c r="O78" s="116">
        <f>Amnt_Deposited!B73</f>
        <v>2059</v>
      </c>
      <c r="P78" s="119">
        <f>Amnt_Deposited!D73</f>
        <v>0</v>
      </c>
      <c r="Q78" s="319">
        <f>MCF!R77</f>
        <v>0.8</v>
      </c>
      <c r="R78" s="87">
        <f t="shared" si="13"/>
        <v>0</v>
      </c>
      <c r="S78" s="87">
        <f t="shared" si="7"/>
        <v>0</v>
      </c>
      <c r="T78" s="87">
        <f t="shared" si="8"/>
        <v>0</v>
      </c>
      <c r="U78" s="87">
        <f t="shared" si="9"/>
        <v>0.75263935122916092</v>
      </c>
      <c r="V78" s="87">
        <f t="shared" si="10"/>
        <v>5.4572510497979856E-2</v>
      </c>
      <c r="W78" s="120">
        <f t="shared" si="11"/>
        <v>3.63816736653199E-2</v>
      </c>
    </row>
    <row r="79" spans="2:23">
      <c r="B79" s="116">
        <f>Amnt_Deposited!B74</f>
        <v>2060</v>
      </c>
      <c r="C79" s="119">
        <f>Amnt_Deposited!D74</f>
        <v>0</v>
      </c>
      <c r="D79" s="453">
        <f>Dry_Matter_Content!D66</f>
        <v>0.44</v>
      </c>
      <c r="E79" s="319">
        <f>MCF!R78</f>
        <v>0.8</v>
      </c>
      <c r="F79" s="87">
        <f t="shared" si="12"/>
        <v>0</v>
      </c>
      <c r="G79" s="87">
        <f t="shared" si="1"/>
        <v>0</v>
      </c>
      <c r="H79" s="87">
        <f t="shared" si="2"/>
        <v>0</v>
      </c>
      <c r="I79" s="87">
        <f t="shared" si="3"/>
        <v>0.33965003937678034</v>
      </c>
      <c r="J79" s="87">
        <f t="shared" si="4"/>
        <v>2.4627406618133337E-2</v>
      </c>
      <c r="K79" s="120">
        <f t="shared" si="6"/>
        <v>1.6418271078755556E-2</v>
      </c>
      <c r="O79" s="116">
        <f>Amnt_Deposited!B74</f>
        <v>2060</v>
      </c>
      <c r="P79" s="119">
        <f>Amnt_Deposited!D74</f>
        <v>0</v>
      </c>
      <c r="Q79" s="319">
        <f>MCF!R78</f>
        <v>0.8</v>
      </c>
      <c r="R79" s="87">
        <f t="shared" si="13"/>
        <v>0</v>
      </c>
      <c r="S79" s="87">
        <f t="shared" si="7"/>
        <v>0</v>
      </c>
      <c r="T79" s="87">
        <f t="shared" si="8"/>
        <v>0</v>
      </c>
      <c r="U79" s="87">
        <f t="shared" si="9"/>
        <v>0.70175627970409205</v>
      </c>
      <c r="V79" s="87">
        <f t="shared" si="10"/>
        <v>5.0883071525068907E-2</v>
      </c>
      <c r="W79" s="120">
        <f t="shared" si="11"/>
        <v>3.3922047683379267E-2</v>
      </c>
    </row>
    <row r="80" spans="2:23">
      <c r="B80" s="116">
        <f>Amnt_Deposited!B75</f>
        <v>2061</v>
      </c>
      <c r="C80" s="119">
        <f>Amnt_Deposited!D75</f>
        <v>0</v>
      </c>
      <c r="D80" s="453">
        <f>Dry_Matter_Content!D67</f>
        <v>0.44</v>
      </c>
      <c r="E80" s="319">
        <f>MCF!R79</f>
        <v>0.8</v>
      </c>
      <c r="F80" s="87">
        <f t="shared" si="12"/>
        <v>0</v>
      </c>
      <c r="G80" s="87">
        <f t="shared" si="1"/>
        <v>0</v>
      </c>
      <c r="H80" s="87">
        <f t="shared" si="2"/>
        <v>0</v>
      </c>
      <c r="I80" s="87">
        <f t="shared" si="3"/>
        <v>0.31668759764572196</v>
      </c>
      <c r="J80" s="87">
        <f t="shared" si="4"/>
        <v>2.2962441731058374E-2</v>
      </c>
      <c r="K80" s="120">
        <f t="shared" si="6"/>
        <v>1.5308294487372249E-2</v>
      </c>
      <c r="O80" s="116">
        <f>Amnt_Deposited!B75</f>
        <v>2061</v>
      </c>
      <c r="P80" s="119">
        <f>Amnt_Deposited!D75</f>
        <v>0</v>
      </c>
      <c r="Q80" s="319">
        <f>MCF!R79</f>
        <v>0.8</v>
      </c>
      <c r="R80" s="87">
        <f t="shared" si="13"/>
        <v>0</v>
      </c>
      <c r="S80" s="87">
        <f t="shared" si="7"/>
        <v>0</v>
      </c>
      <c r="T80" s="87">
        <f t="shared" si="8"/>
        <v>0</v>
      </c>
      <c r="U80" s="87">
        <f t="shared" si="9"/>
        <v>0.65431321827628541</v>
      </c>
      <c r="V80" s="87">
        <f t="shared" si="10"/>
        <v>4.7443061427806583E-2</v>
      </c>
      <c r="W80" s="120">
        <f t="shared" si="11"/>
        <v>3.162870761853772E-2</v>
      </c>
    </row>
    <row r="81" spans="2:23">
      <c r="B81" s="116">
        <f>Amnt_Deposited!B76</f>
        <v>2062</v>
      </c>
      <c r="C81" s="119">
        <f>Amnt_Deposited!D76</f>
        <v>0</v>
      </c>
      <c r="D81" s="453">
        <f>Dry_Matter_Content!D68</f>
        <v>0.44</v>
      </c>
      <c r="E81" s="319">
        <f>MCF!R80</f>
        <v>0.8</v>
      </c>
      <c r="F81" s="87">
        <f t="shared" si="12"/>
        <v>0</v>
      </c>
      <c r="G81" s="87">
        <f t="shared" si="1"/>
        <v>0</v>
      </c>
      <c r="H81" s="87">
        <f t="shared" si="2"/>
        <v>0</v>
      </c>
      <c r="I81" s="87">
        <f t="shared" si="3"/>
        <v>0.2952775588857327</v>
      </c>
      <c r="J81" s="87">
        <f t="shared" si="4"/>
        <v>2.1410038759989272E-2</v>
      </c>
      <c r="K81" s="120">
        <f t="shared" si="6"/>
        <v>1.4273359173326181E-2</v>
      </c>
      <c r="O81" s="116">
        <f>Amnt_Deposited!B76</f>
        <v>2062</v>
      </c>
      <c r="P81" s="119">
        <f>Amnt_Deposited!D76</f>
        <v>0</v>
      </c>
      <c r="Q81" s="319">
        <f>MCF!R80</f>
        <v>0.8</v>
      </c>
      <c r="R81" s="87">
        <f t="shared" si="13"/>
        <v>0</v>
      </c>
      <c r="S81" s="87">
        <f t="shared" si="7"/>
        <v>0</v>
      </c>
      <c r="T81" s="87">
        <f t="shared" si="8"/>
        <v>0</v>
      </c>
      <c r="U81" s="87">
        <f t="shared" si="9"/>
        <v>0.61007760100358033</v>
      </c>
      <c r="V81" s="87">
        <f t="shared" si="10"/>
        <v>4.4235617272705127E-2</v>
      </c>
      <c r="W81" s="120">
        <f t="shared" si="11"/>
        <v>2.949041151513675E-2</v>
      </c>
    </row>
    <row r="82" spans="2:23">
      <c r="B82" s="116">
        <f>Amnt_Deposited!B77</f>
        <v>2063</v>
      </c>
      <c r="C82" s="119">
        <f>Amnt_Deposited!D77</f>
        <v>0</v>
      </c>
      <c r="D82" s="453">
        <f>Dry_Matter_Content!D69</f>
        <v>0.44</v>
      </c>
      <c r="E82" s="319">
        <f>MCF!R81</f>
        <v>0.8</v>
      </c>
      <c r="F82" s="87">
        <f t="shared" si="12"/>
        <v>0</v>
      </c>
      <c r="G82" s="87">
        <f t="shared" si="1"/>
        <v>0</v>
      </c>
      <c r="H82" s="87">
        <f t="shared" si="2"/>
        <v>0</v>
      </c>
      <c r="I82" s="87">
        <f t="shared" si="3"/>
        <v>0.27531497106197189</v>
      </c>
      <c r="J82" s="87">
        <f t="shared" si="4"/>
        <v>1.996258782376081E-2</v>
      </c>
      <c r="K82" s="120">
        <f t="shared" si="6"/>
        <v>1.3308391882507205E-2</v>
      </c>
      <c r="O82" s="116">
        <f>Amnt_Deposited!B77</f>
        <v>2063</v>
      </c>
      <c r="P82" s="119">
        <f>Amnt_Deposited!D77</f>
        <v>0</v>
      </c>
      <c r="Q82" s="319">
        <f>MCF!R81</f>
        <v>0.8</v>
      </c>
      <c r="R82" s="87">
        <f t="shared" si="13"/>
        <v>0</v>
      </c>
      <c r="S82" s="87">
        <f t="shared" si="7"/>
        <v>0</v>
      </c>
      <c r="T82" s="87">
        <f t="shared" si="8"/>
        <v>0</v>
      </c>
      <c r="U82" s="87">
        <f t="shared" si="9"/>
        <v>0.56883258483878529</v>
      </c>
      <c r="V82" s="87">
        <f t="shared" si="10"/>
        <v>4.1245016164795083E-2</v>
      </c>
      <c r="W82" s="120">
        <f t="shared" si="11"/>
        <v>2.749667744319672E-2</v>
      </c>
    </row>
    <row r="83" spans="2:23">
      <c r="B83" s="116">
        <f>Amnt_Deposited!B78</f>
        <v>2064</v>
      </c>
      <c r="C83" s="119">
        <f>Amnt_Deposited!D78</f>
        <v>0</v>
      </c>
      <c r="D83" s="453">
        <f>Dry_Matter_Content!D70</f>
        <v>0.44</v>
      </c>
      <c r="E83" s="319">
        <f>MCF!R82</f>
        <v>0.8</v>
      </c>
      <c r="F83" s="87">
        <f t="shared" ref="F83:F99" si="14">C83*D83*$K$6*DOCF*E83</f>
        <v>0</v>
      </c>
      <c r="G83" s="87">
        <f t="shared" ref="G83:G99" si="15">F83*$K$12</f>
        <v>0</v>
      </c>
      <c r="H83" s="87">
        <f t="shared" ref="H83:H99" si="16">F83*(1-$K$12)</f>
        <v>0</v>
      </c>
      <c r="I83" s="87">
        <f t="shared" ref="I83:I99" si="17">G83+I82*$K$10</f>
        <v>0.25670197754576757</v>
      </c>
      <c r="J83" s="87">
        <f t="shared" ref="J83:J99" si="18">I82*(1-$K$10)+H83</f>
        <v>1.861299351620431E-2</v>
      </c>
      <c r="K83" s="120">
        <f t="shared" si="6"/>
        <v>1.2408662344136207E-2</v>
      </c>
      <c r="O83" s="116">
        <f>Amnt_Deposited!B78</f>
        <v>2064</v>
      </c>
      <c r="P83" s="119">
        <f>Amnt_Deposited!D78</f>
        <v>0</v>
      </c>
      <c r="Q83" s="319">
        <f>MCF!R82</f>
        <v>0.8</v>
      </c>
      <c r="R83" s="87">
        <f t="shared" ref="R83:R99" si="19">P83*$W$6*DOCF*Q83</f>
        <v>0</v>
      </c>
      <c r="S83" s="87">
        <f t="shared" si="7"/>
        <v>0</v>
      </c>
      <c r="T83" s="87">
        <f t="shared" si="8"/>
        <v>0</v>
      </c>
      <c r="U83" s="87">
        <f t="shared" si="9"/>
        <v>0.53037598666480945</v>
      </c>
      <c r="V83" s="87">
        <f t="shared" si="10"/>
        <v>3.8456598173975877E-2</v>
      </c>
      <c r="W83" s="120">
        <f t="shared" si="11"/>
        <v>2.5637732115983917E-2</v>
      </c>
    </row>
    <row r="84" spans="2:23">
      <c r="B84" s="116">
        <f>Amnt_Deposited!B79</f>
        <v>2065</v>
      </c>
      <c r="C84" s="119">
        <f>Amnt_Deposited!D79</f>
        <v>0</v>
      </c>
      <c r="D84" s="453">
        <f>Dry_Matter_Content!D71</f>
        <v>0.44</v>
      </c>
      <c r="E84" s="319">
        <f>MCF!R83</f>
        <v>0.8</v>
      </c>
      <c r="F84" s="87">
        <f t="shared" si="14"/>
        <v>0</v>
      </c>
      <c r="G84" s="87">
        <f t="shared" si="15"/>
        <v>0</v>
      </c>
      <c r="H84" s="87">
        <f t="shared" si="16"/>
        <v>0</v>
      </c>
      <c r="I84" s="87">
        <f t="shared" si="17"/>
        <v>0.23934733742130918</v>
      </c>
      <c r="J84" s="87">
        <f t="shared" si="18"/>
        <v>1.7354640124458386E-2</v>
      </c>
      <c r="K84" s="120">
        <f t="shared" si="6"/>
        <v>1.1569760082972256E-2</v>
      </c>
      <c r="O84" s="116">
        <f>Amnt_Deposited!B79</f>
        <v>2065</v>
      </c>
      <c r="P84" s="119">
        <f>Amnt_Deposited!D79</f>
        <v>0</v>
      </c>
      <c r="Q84" s="319">
        <f>MCF!R83</f>
        <v>0.8</v>
      </c>
      <c r="R84" s="87">
        <f t="shared" si="19"/>
        <v>0</v>
      </c>
      <c r="S84" s="87">
        <f t="shared" si="7"/>
        <v>0</v>
      </c>
      <c r="T84" s="87">
        <f t="shared" si="8"/>
        <v>0</v>
      </c>
      <c r="U84" s="87">
        <f t="shared" si="9"/>
        <v>0.49451929219278795</v>
      </c>
      <c r="V84" s="87">
        <f t="shared" si="10"/>
        <v>3.5856694472021486E-2</v>
      </c>
      <c r="W84" s="120">
        <f t="shared" si="11"/>
        <v>2.3904462981347657E-2</v>
      </c>
    </row>
    <row r="85" spans="2:23">
      <c r="B85" s="116">
        <f>Amnt_Deposited!B80</f>
        <v>2066</v>
      </c>
      <c r="C85" s="119">
        <f>Amnt_Deposited!D80</f>
        <v>0</v>
      </c>
      <c r="D85" s="453">
        <f>Dry_Matter_Content!D72</f>
        <v>0.44</v>
      </c>
      <c r="E85" s="319">
        <f>MCF!R84</f>
        <v>0.8</v>
      </c>
      <c r="F85" s="87">
        <f t="shared" si="14"/>
        <v>0</v>
      </c>
      <c r="G85" s="87">
        <f t="shared" si="15"/>
        <v>0</v>
      </c>
      <c r="H85" s="87">
        <f t="shared" si="16"/>
        <v>0</v>
      </c>
      <c r="I85" s="87">
        <f t="shared" si="17"/>
        <v>0.22316597822257239</v>
      </c>
      <c r="J85" s="87">
        <f t="shared" si="18"/>
        <v>1.6181359198736794E-2</v>
      </c>
      <c r="K85" s="120">
        <f t="shared" ref="K85:K99" si="20">J85*CH4_fraction*conv</f>
        <v>1.0787572799157862E-2</v>
      </c>
      <c r="O85" s="116">
        <f>Amnt_Deposited!B80</f>
        <v>2066</v>
      </c>
      <c r="P85" s="119">
        <f>Amnt_Deposited!D80</f>
        <v>0</v>
      </c>
      <c r="Q85" s="319">
        <f>MCF!R84</f>
        <v>0.8</v>
      </c>
      <c r="R85" s="87">
        <f t="shared" si="19"/>
        <v>0</v>
      </c>
      <c r="S85" s="87">
        <f t="shared" ref="S85:S98" si="21">R85*$W$12</f>
        <v>0</v>
      </c>
      <c r="T85" s="87">
        <f t="shared" ref="T85:T98" si="22">R85*(1-$W$12)</f>
        <v>0</v>
      </c>
      <c r="U85" s="87">
        <f t="shared" ref="U85:U98" si="23">S85+U84*$W$10</f>
        <v>0.46108673186481935</v>
      </c>
      <c r="V85" s="87">
        <f t="shared" ref="V85:V98" si="24">U84*(1-$W$10)+T85</f>
        <v>3.3432560327968611E-2</v>
      </c>
      <c r="W85" s="120">
        <f t="shared" ref="W85:W99" si="25">V85*CH4_fraction*conv</f>
        <v>2.2288373551979074E-2</v>
      </c>
    </row>
    <row r="86" spans="2:23">
      <c r="B86" s="116">
        <f>Amnt_Deposited!B81</f>
        <v>2067</v>
      </c>
      <c r="C86" s="119">
        <f>Amnt_Deposited!D81</f>
        <v>0</v>
      </c>
      <c r="D86" s="453">
        <f>Dry_Matter_Content!D73</f>
        <v>0.44</v>
      </c>
      <c r="E86" s="319">
        <f>MCF!R85</f>
        <v>0.8</v>
      </c>
      <c r="F86" s="87">
        <f t="shared" si="14"/>
        <v>0</v>
      </c>
      <c r="G86" s="87">
        <f t="shared" si="15"/>
        <v>0</v>
      </c>
      <c r="H86" s="87">
        <f t="shared" si="16"/>
        <v>0</v>
      </c>
      <c r="I86" s="87">
        <f t="shared" si="17"/>
        <v>0.20807857890799195</v>
      </c>
      <c r="J86" s="87">
        <f t="shared" si="18"/>
        <v>1.5087399314580455E-2</v>
      </c>
      <c r="K86" s="120">
        <f t="shared" si="20"/>
        <v>1.0058266209720303E-2</v>
      </c>
      <c r="O86" s="116">
        <f>Amnt_Deposited!B81</f>
        <v>2067</v>
      </c>
      <c r="P86" s="119">
        <f>Amnt_Deposited!D81</f>
        <v>0</v>
      </c>
      <c r="Q86" s="319">
        <f>MCF!R85</f>
        <v>0.8</v>
      </c>
      <c r="R86" s="87">
        <f t="shared" si="19"/>
        <v>0</v>
      </c>
      <c r="S86" s="87">
        <f t="shared" si="21"/>
        <v>0</v>
      </c>
      <c r="T86" s="87">
        <f t="shared" si="22"/>
        <v>0</v>
      </c>
      <c r="U86" s="87">
        <f t="shared" si="23"/>
        <v>0.42991441923138862</v>
      </c>
      <c r="V86" s="87">
        <f t="shared" si="24"/>
        <v>3.1172312633430715E-2</v>
      </c>
      <c r="W86" s="120">
        <f t="shared" si="25"/>
        <v>2.0781541755620477E-2</v>
      </c>
    </row>
    <row r="87" spans="2:23">
      <c r="B87" s="116">
        <f>Amnt_Deposited!B82</f>
        <v>2068</v>
      </c>
      <c r="C87" s="119">
        <f>Amnt_Deposited!D82</f>
        <v>0</v>
      </c>
      <c r="D87" s="453">
        <f>Dry_Matter_Content!D74</f>
        <v>0.44</v>
      </c>
      <c r="E87" s="319">
        <f>MCF!R86</f>
        <v>0.8</v>
      </c>
      <c r="F87" s="87">
        <f t="shared" si="14"/>
        <v>0</v>
      </c>
      <c r="G87" s="87">
        <f t="shared" si="15"/>
        <v>0</v>
      </c>
      <c r="H87" s="87">
        <f t="shared" si="16"/>
        <v>0</v>
      </c>
      <c r="I87" s="87">
        <f t="shared" si="17"/>
        <v>0.19401118102862389</v>
      </c>
      <c r="J87" s="87">
        <f t="shared" si="18"/>
        <v>1.4067397879368056E-2</v>
      </c>
      <c r="K87" s="120">
        <f t="shared" si="20"/>
        <v>9.378265252912037E-3</v>
      </c>
      <c r="O87" s="116">
        <f>Amnt_Deposited!B82</f>
        <v>2068</v>
      </c>
      <c r="P87" s="119">
        <f>Amnt_Deposited!D82</f>
        <v>0</v>
      </c>
      <c r="Q87" s="319">
        <f>MCF!R86</f>
        <v>0.8</v>
      </c>
      <c r="R87" s="87">
        <f t="shared" si="19"/>
        <v>0</v>
      </c>
      <c r="S87" s="87">
        <f t="shared" si="21"/>
        <v>0</v>
      </c>
      <c r="T87" s="87">
        <f t="shared" si="22"/>
        <v>0</v>
      </c>
      <c r="U87" s="87">
        <f t="shared" si="23"/>
        <v>0.40084954757980173</v>
      </c>
      <c r="V87" s="87">
        <f t="shared" si="24"/>
        <v>2.9064871651586915E-2</v>
      </c>
      <c r="W87" s="120">
        <f t="shared" si="25"/>
        <v>1.9376581101057944E-2</v>
      </c>
    </row>
    <row r="88" spans="2:23">
      <c r="B88" s="116">
        <f>Amnt_Deposited!B83</f>
        <v>2069</v>
      </c>
      <c r="C88" s="119">
        <f>Amnt_Deposited!D83</f>
        <v>0</v>
      </c>
      <c r="D88" s="453">
        <f>Dry_Matter_Content!D75</f>
        <v>0.44</v>
      </c>
      <c r="E88" s="319">
        <f>MCF!R87</f>
        <v>0.8</v>
      </c>
      <c r="F88" s="87">
        <f t="shared" si="14"/>
        <v>0</v>
      </c>
      <c r="G88" s="87">
        <f t="shared" si="15"/>
        <v>0</v>
      </c>
      <c r="H88" s="87">
        <f t="shared" si="16"/>
        <v>0</v>
      </c>
      <c r="I88" s="87">
        <f t="shared" si="17"/>
        <v>0.18089482618374306</v>
      </c>
      <c r="J88" s="87">
        <f t="shared" si="18"/>
        <v>1.3116354844880818E-2</v>
      </c>
      <c r="K88" s="120">
        <f t="shared" si="20"/>
        <v>8.7442365632538783E-3</v>
      </c>
      <c r="O88" s="116">
        <f>Amnt_Deposited!B83</f>
        <v>2069</v>
      </c>
      <c r="P88" s="119">
        <f>Amnt_Deposited!D83</f>
        <v>0</v>
      </c>
      <c r="Q88" s="319">
        <f>MCF!R87</f>
        <v>0.8</v>
      </c>
      <c r="R88" s="87">
        <f t="shared" si="19"/>
        <v>0</v>
      </c>
      <c r="S88" s="87">
        <f t="shared" si="21"/>
        <v>0</v>
      </c>
      <c r="T88" s="87">
        <f t="shared" si="22"/>
        <v>0</v>
      </c>
      <c r="U88" s="87">
        <f t="shared" si="23"/>
        <v>0.3737496408755025</v>
      </c>
      <c r="V88" s="87">
        <f t="shared" si="24"/>
        <v>2.7099906704299234E-2</v>
      </c>
      <c r="W88" s="120">
        <f t="shared" si="25"/>
        <v>1.8066604469532822E-2</v>
      </c>
    </row>
    <row r="89" spans="2:23">
      <c r="B89" s="116">
        <f>Amnt_Deposited!B84</f>
        <v>2070</v>
      </c>
      <c r="C89" s="119">
        <f>Amnt_Deposited!D84</f>
        <v>0</v>
      </c>
      <c r="D89" s="453">
        <f>Dry_Matter_Content!D76</f>
        <v>0.44</v>
      </c>
      <c r="E89" s="319">
        <f>MCF!R88</f>
        <v>0.8</v>
      </c>
      <c r="F89" s="87">
        <f t="shared" si="14"/>
        <v>0</v>
      </c>
      <c r="G89" s="87">
        <f t="shared" si="15"/>
        <v>0</v>
      </c>
      <c r="H89" s="87">
        <f t="shared" si="16"/>
        <v>0</v>
      </c>
      <c r="I89" s="87">
        <f t="shared" si="17"/>
        <v>0.16866521798668274</v>
      </c>
      <c r="J89" s="87">
        <f t="shared" si="18"/>
        <v>1.2229608197060317E-2</v>
      </c>
      <c r="K89" s="120">
        <f t="shared" si="20"/>
        <v>8.1530721313735448E-3</v>
      </c>
      <c r="O89" s="116">
        <f>Amnt_Deposited!B84</f>
        <v>2070</v>
      </c>
      <c r="P89" s="119">
        <f>Amnt_Deposited!D84</f>
        <v>0</v>
      </c>
      <c r="Q89" s="319">
        <f>MCF!R88</f>
        <v>0.8</v>
      </c>
      <c r="R89" s="87">
        <f t="shared" si="19"/>
        <v>0</v>
      </c>
      <c r="S89" s="87">
        <f t="shared" si="21"/>
        <v>0</v>
      </c>
      <c r="T89" s="87">
        <f t="shared" si="22"/>
        <v>0</v>
      </c>
      <c r="U89" s="87">
        <f t="shared" si="23"/>
        <v>0.34848185534438614</v>
      </c>
      <c r="V89" s="87">
        <f t="shared" si="24"/>
        <v>2.5267785531116378E-2</v>
      </c>
      <c r="W89" s="120">
        <f t="shared" si="25"/>
        <v>1.6845190354077583E-2</v>
      </c>
    </row>
    <row r="90" spans="2:23">
      <c r="B90" s="116">
        <f>Amnt_Deposited!B85</f>
        <v>2071</v>
      </c>
      <c r="C90" s="119">
        <f>Amnt_Deposited!D85</f>
        <v>0</v>
      </c>
      <c r="D90" s="453">
        <f>Dry_Matter_Content!D77</f>
        <v>0.44</v>
      </c>
      <c r="E90" s="319">
        <f>MCF!R89</f>
        <v>0.8</v>
      </c>
      <c r="F90" s="87">
        <f t="shared" si="14"/>
        <v>0</v>
      </c>
      <c r="G90" s="87">
        <f t="shared" si="15"/>
        <v>0</v>
      </c>
      <c r="H90" s="87">
        <f t="shared" si="16"/>
        <v>0</v>
      </c>
      <c r="I90" s="87">
        <f t="shared" si="17"/>
        <v>0.15726240688387258</v>
      </c>
      <c r="J90" s="87">
        <f t="shared" si="18"/>
        <v>1.1402811102810165E-2</v>
      </c>
      <c r="K90" s="120">
        <f t="shared" si="20"/>
        <v>7.60187406854011E-3</v>
      </c>
      <c r="O90" s="116">
        <f>Amnt_Deposited!B85</f>
        <v>2071</v>
      </c>
      <c r="P90" s="119">
        <f>Amnt_Deposited!D85</f>
        <v>0</v>
      </c>
      <c r="Q90" s="319">
        <f>MCF!R89</f>
        <v>0.8</v>
      </c>
      <c r="R90" s="87">
        <f t="shared" si="19"/>
        <v>0</v>
      </c>
      <c r="S90" s="87">
        <f t="shared" si="21"/>
        <v>0</v>
      </c>
      <c r="T90" s="87">
        <f t="shared" si="22"/>
        <v>0</v>
      </c>
      <c r="U90" s="87">
        <f t="shared" si="23"/>
        <v>0.32492232827246431</v>
      </c>
      <c r="V90" s="87">
        <f t="shared" si="24"/>
        <v>2.3559527071921851E-2</v>
      </c>
      <c r="W90" s="120">
        <f t="shared" si="25"/>
        <v>1.5706351381281233E-2</v>
      </c>
    </row>
    <row r="91" spans="2:23">
      <c r="B91" s="116">
        <f>Amnt_Deposited!B86</f>
        <v>2072</v>
      </c>
      <c r="C91" s="119">
        <f>Amnt_Deposited!D86</f>
        <v>0</v>
      </c>
      <c r="D91" s="453">
        <f>Dry_Matter_Content!D78</f>
        <v>0.44</v>
      </c>
      <c r="E91" s="319">
        <f>MCF!R90</f>
        <v>0.8</v>
      </c>
      <c r="F91" s="87">
        <f t="shared" si="14"/>
        <v>0</v>
      </c>
      <c r="G91" s="87">
        <f t="shared" si="15"/>
        <v>0</v>
      </c>
      <c r="H91" s="87">
        <f t="shared" si="16"/>
        <v>0</v>
      </c>
      <c r="I91" s="87">
        <f t="shared" si="17"/>
        <v>0.14663049628205746</v>
      </c>
      <c r="J91" s="87">
        <f t="shared" si="18"/>
        <v>1.063191060181513E-2</v>
      </c>
      <c r="K91" s="120">
        <f t="shared" si="20"/>
        <v>7.0879404012100869E-3</v>
      </c>
      <c r="O91" s="116">
        <f>Amnt_Deposited!B86</f>
        <v>2072</v>
      </c>
      <c r="P91" s="119">
        <f>Amnt_Deposited!D86</f>
        <v>0</v>
      </c>
      <c r="Q91" s="319">
        <f>MCF!R90</f>
        <v>0.8</v>
      </c>
      <c r="R91" s="87">
        <f t="shared" si="19"/>
        <v>0</v>
      </c>
      <c r="S91" s="87">
        <f t="shared" si="21"/>
        <v>0</v>
      </c>
      <c r="T91" s="87">
        <f t="shared" si="22"/>
        <v>0</v>
      </c>
      <c r="U91" s="87">
        <f t="shared" si="23"/>
        <v>0.30295557083069752</v>
      </c>
      <c r="V91" s="87">
        <f t="shared" si="24"/>
        <v>2.1966757441766818E-2</v>
      </c>
      <c r="W91" s="120">
        <f t="shared" si="25"/>
        <v>1.4644504961177878E-2</v>
      </c>
    </row>
    <row r="92" spans="2:23">
      <c r="B92" s="116">
        <f>Amnt_Deposited!B87</f>
        <v>2073</v>
      </c>
      <c r="C92" s="119">
        <f>Amnt_Deposited!D87</f>
        <v>0</v>
      </c>
      <c r="D92" s="453">
        <f>Dry_Matter_Content!D79</f>
        <v>0.44</v>
      </c>
      <c r="E92" s="319">
        <f>MCF!R91</f>
        <v>0.8</v>
      </c>
      <c r="F92" s="87">
        <f t="shared" si="14"/>
        <v>0</v>
      </c>
      <c r="G92" s="87">
        <f t="shared" si="15"/>
        <v>0</v>
      </c>
      <c r="H92" s="87">
        <f t="shared" si="16"/>
        <v>0</v>
      </c>
      <c r="I92" s="87">
        <f t="shared" si="17"/>
        <v>0.13671736854313249</v>
      </c>
      <c r="J92" s="87">
        <f t="shared" si="18"/>
        <v>9.9131277389249584E-3</v>
      </c>
      <c r="K92" s="120">
        <f t="shared" si="20"/>
        <v>6.608751825949972E-3</v>
      </c>
      <c r="O92" s="116">
        <f>Amnt_Deposited!B87</f>
        <v>2073</v>
      </c>
      <c r="P92" s="119">
        <f>Amnt_Deposited!D87</f>
        <v>0</v>
      </c>
      <c r="Q92" s="319">
        <f>MCF!R91</f>
        <v>0.8</v>
      </c>
      <c r="R92" s="87">
        <f t="shared" si="19"/>
        <v>0</v>
      </c>
      <c r="S92" s="87">
        <f t="shared" si="21"/>
        <v>0</v>
      </c>
      <c r="T92" s="87">
        <f t="shared" si="22"/>
        <v>0</v>
      </c>
      <c r="U92" s="87">
        <f t="shared" si="23"/>
        <v>0.28247390194862115</v>
      </c>
      <c r="V92" s="87">
        <f t="shared" si="24"/>
        <v>2.0481668882076382E-2</v>
      </c>
      <c r="W92" s="120">
        <f t="shared" si="25"/>
        <v>1.3654445921384255E-2</v>
      </c>
    </row>
    <row r="93" spans="2:23">
      <c r="B93" s="116">
        <f>Amnt_Deposited!B88</f>
        <v>2074</v>
      </c>
      <c r="C93" s="119">
        <f>Amnt_Deposited!D88</f>
        <v>0</v>
      </c>
      <c r="D93" s="453">
        <f>Dry_Matter_Content!D80</f>
        <v>0.44</v>
      </c>
      <c r="E93" s="319">
        <f>MCF!R92</f>
        <v>0.8</v>
      </c>
      <c r="F93" s="87">
        <f t="shared" si="14"/>
        <v>0</v>
      </c>
      <c r="G93" s="87">
        <f t="shared" si="15"/>
        <v>0</v>
      </c>
      <c r="H93" s="87">
        <f t="shared" si="16"/>
        <v>0</v>
      </c>
      <c r="I93" s="87">
        <f t="shared" si="17"/>
        <v>0.12747442950342064</v>
      </c>
      <c r="J93" s="87">
        <f t="shared" si="18"/>
        <v>9.2429390397118574E-3</v>
      </c>
      <c r="K93" s="120">
        <f t="shared" si="20"/>
        <v>6.1619593598079047E-3</v>
      </c>
      <c r="O93" s="116">
        <f>Amnt_Deposited!B88</f>
        <v>2074</v>
      </c>
      <c r="P93" s="119">
        <f>Amnt_Deposited!D88</f>
        <v>0</v>
      </c>
      <c r="Q93" s="319">
        <f>MCF!R92</f>
        <v>0.8</v>
      </c>
      <c r="R93" s="87">
        <f t="shared" si="19"/>
        <v>0</v>
      </c>
      <c r="S93" s="87">
        <f t="shared" si="21"/>
        <v>0</v>
      </c>
      <c r="T93" s="87">
        <f t="shared" si="22"/>
        <v>0</v>
      </c>
      <c r="U93" s="87">
        <f t="shared" si="23"/>
        <v>0.26337692046161315</v>
      </c>
      <c r="V93" s="87">
        <f t="shared" si="24"/>
        <v>1.9096981487007992E-2</v>
      </c>
      <c r="W93" s="120">
        <f t="shared" si="25"/>
        <v>1.2731320991338661E-2</v>
      </c>
    </row>
    <row r="94" spans="2:23">
      <c r="B94" s="116">
        <f>Amnt_Deposited!B89</f>
        <v>2075</v>
      </c>
      <c r="C94" s="119">
        <f>Amnt_Deposited!D89</f>
        <v>0</v>
      </c>
      <c r="D94" s="453">
        <f>Dry_Matter_Content!D81</f>
        <v>0.44</v>
      </c>
      <c r="E94" s="319">
        <f>MCF!R93</f>
        <v>0.8</v>
      </c>
      <c r="F94" s="87">
        <f t="shared" si="14"/>
        <v>0</v>
      </c>
      <c r="G94" s="87">
        <f t="shared" si="15"/>
        <v>0</v>
      </c>
      <c r="H94" s="87">
        <f t="shared" si="16"/>
        <v>0</v>
      </c>
      <c r="I94" s="87">
        <f t="shared" si="17"/>
        <v>0.11885637026502588</v>
      </c>
      <c r="J94" s="87">
        <f t="shared" si="18"/>
        <v>8.6180592383947562E-3</v>
      </c>
      <c r="K94" s="120">
        <f t="shared" si="20"/>
        <v>5.7453728255965038E-3</v>
      </c>
      <c r="O94" s="116">
        <f>Amnt_Deposited!B89</f>
        <v>2075</v>
      </c>
      <c r="P94" s="119">
        <f>Amnt_Deposited!D89</f>
        <v>0</v>
      </c>
      <c r="Q94" s="319">
        <f>MCF!R93</f>
        <v>0.8</v>
      </c>
      <c r="R94" s="87">
        <f t="shared" si="19"/>
        <v>0</v>
      </c>
      <c r="S94" s="87">
        <f t="shared" si="21"/>
        <v>0</v>
      </c>
      <c r="T94" s="87">
        <f t="shared" si="22"/>
        <v>0</v>
      </c>
      <c r="U94" s="87">
        <f t="shared" si="23"/>
        <v>0.24557101294426859</v>
      </c>
      <c r="V94" s="87">
        <f t="shared" si="24"/>
        <v>1.7805907517344555E-2</v>
      </c>
      <c r="W94" s="120">
        <f t="shared" si="25"/>
        <v>1.1870605011563036E-2</v>
      </c>
    </row>
    <row r="95" spans="2:23">
      <c r="B95" s="116">
        <f>Amnt_Deposited!B90</f>
        <v>2076</v>
      </c>
      <c r="C95" s="119">
        <f>Amnt_Deposited!D90</f>
        <v>0</v>
      </c>
      <c r="D95" s="453">
        <f>Dry_Matter_Content!D82</f>
        <v>0.44</v>
      </c>
      <c r="E95" s="319">
        <f>MCF!R94</f>
        <v>0.8</v>
      </c>
      <c r="F95" s="87">
        <f t="shared" si="14"/>
        <v>0</v>
      </c>
      <c r="G95" s="87">
        <f t="shared" si="15"/>
        <v>0</v>
      </c>
      <c r="H95" s="87">
        <f t="shared" si="16"/>
        <v>0</v>
      </c>
      <c r="I95" s="87">
        <f t="shared" si="17"/>
        <v>0.11082094509156325</v>
      </c>
      <c r="J95" s="87">
        <f t="shared" si="18"/>
        <v>8.0354251734626337E-3</v>
      </c>
      <c r="K95" s="120">
        <f t="shared" si="20"/>
        <v>5.3569501156417558E-3</v>
      </c>
      <c r="O95" s="116">
        <f>Amnt_Deposited!B90</f>
        <v>2076</v>
      </c>
      <c r="P95" s="119">
        <f>Amnt_Deposited!D90</f>
        <v>0</v>
      </c>
      <c r="Q95" s="319">
        <f>MCF!R94</f>
        <v>0.8</v>
      </c>
      <c r="R95" s="87">
        <f t="shared" si="19"/>
        <v>0</v>
      </c>
      <c r="S95" s="87">
        <f t="shared" si="21"/>
        <v>0</v>
      </c>
      <c r="T95" s="87">
        <f t="shared" si="22"/>
        <v>0</v>
      </c>
      <c r="U95" s="87">
        <f t="shared" si="23"/>
        <v>0.22896889481727967</v>
      </c>
      <c r="V95" s="87">
        <f t="shared" si="24"/>
        <v>1.6602118126988929E-2</v>
      </c>
      <c r="W95" s="120">
        <f t="shared" si="25"/>
        <v>1.1068078751325951E-2</v>
      </c>
    </row>
    <row r="96" spans="2:23">
      <c r="B96" s="116">
        <f>Amnt_Deposited!B91</f>
        <v>2077</v>
      </c>
      <c r="C96" s="119">
        <f>Amnt_Deposited!D91</f>
        <v>0</v>
      </c>
      <c r="D96" s="453">
        <f>Dry_Matter_Content!D83</f>
        <v>0.44</v>
      </c>
      <c r="E96" s="319">
        <f>MCF!R95</f>
        <v>0.8</v>
      </c>
      <c r="F96" s="87">
        <f t="shared" si="14"/>
        <v>0</v>
      </c>
      <c r="G96" s="87">
        <f t="shared" si="15"/>
        <v>0</v>
      </c>
      <c r="H96" s="87">
        <f t="shared" si="16"/>
        <v>0</v>
      </c>
      <c r="I96" s="87">
        <f t="shared" si="17"/>
        <v>0.10332876431951001</v>
      </c>
      <c r="J96" s="87">
        <f t="shared" si="18"/>
        <v>7.4921807720532427E-3</v>
      </c>
      <c r="K96" s="120">
        <f t="shared" si="20"/>
        <v>4.9947871813688285E-3</v>
      </c>
      <c r="O96" s="116">
        <f>Amnt_Deposited!B91</f>
        <v>2077</v>
      </c>
      <c r="P96" s="119">
        <f>Amnt_Deposited!D91</f>
        <v>0</v>
      </c>
      <c r="Q96" s="319">
        <f>MCF!R95</f>
        <v>0.8</v>
      </c>
      <c r="R96" s="87">
        <f t="shared" si="19"/>
        <v>0</v>
      </c>
      <c r="S96" s="87">
        <f t="shared" si="21"/>
        <v>0</v>
      </c>
      <c r="T96" s="87">
        <f t="shared" si="22"/>
        <v>0</v>
      </c>
      <c r="U96" s="87">
        <f t="shared" si="23"/>
        <v>0.21348918247832668</v>
      </c>
      <c r="V96" s="87">
        <f t="shared" si="24"/>
        <v>1.5479712338952996E-2</v>
      </c>
      <c r="W96" s="120">
        <f t="shared" si="25"/>
        <v>1.0319808225968664E-2</v>
      </c>
    </row>
    <row r="97" spans="2:23">
      <c r="B97" s="116">
        <f>Amnt_Deposited!B92</f>
        <v>2078</v>
      </c>
      <c r="C97" s="119">
        <f>Amnt_Deposited!D92</f>
        <v>0</v>
      </c>
      <c r="D97" s="453">
        <f>Dry_Matter_Content!D84</f>
        <v>0.44</v>
      </c>
      <c r="E97" s="319">
        <f>MCF!R96</f>
        <v>0.8</v>
      </c>
      <c r="F97" s="87">
        <f t="shared" si="14"/>
        <v>0</v>
      </c>
      <c r="G97" s="87">
        <f t="shared" si="15"/>
        <v>0</v>
      </c>
      <c r="H97" s="87">
        <f t="shared" si="16"/>
        <v>0</v>
      </c>
      <c r="I97" s="87">
        <f t="shared" si="17"/>
        <v>9.6343101270029388E-2</v>
      </c>
      <c r="J97" s="87">
        <f t="shared" si="18"/>
        <v>6.9856630494806197E-3</v>
      </c>
      <c r="K97" s="120">
        <f t="shared" si="20"/>
        <v>4.6571086996537465E-3</v>
      </c>
      <c r="O97" s="116">
        <f>Amnt_Deposited!B92</f>
        <v>2078</v>
      </c>
      <c r="P97" s="119">
        <f>Amnt_Deposited!D92</f>
        <v>0</v>
      </c>
      <c r="Q97" s="319">
        <f>MCF!R96</f>
        <v>0.8</v>
      </c>
      <c r="R97" s="87">
        <f t="shared" si="19"/>
        <v>0</v>
      </c>
      <c r="S97" s="87">
        <f t="shared" si="21"/>
        <v>0</v>
      </c>
      <c r="T97" s="87">
        <f t="shared" si="22"/>
        <v>0</v>
      </c>
      <c r="U97" s="87">
        <f t="shared" si="23"/>
        <v>0.19905599435956506</v>
      </c>
      <c r="V97" s="87">
        <f t="shared" si="24"/>
        <v>1.4433188118761627E-2</v>
      </c>
      <c r="W97" s="120">
        <f t="shared" si="25"/>
        <v>9.6221254125077506E-3</v>
      </c>
    </row>
    <row r="98" spans="2:23">
      <c r="B98" s="116">
        <f>Amnt_Deposited!B93</f>
        <v>2079</v>
      </c>
      <c r="C98" s="119">
        <f>Amnt_Deposited!D93</f>
        <v>0</v>
      </c>
      <c r="D98" s="453">
        <f>Dry_Matter_Content!D85</f>
        <v>0.44</v>
      </c>
      <c r="E98" s="319">
        <f>MCF!R97</f>
        <v>0.8</v>
      </c>
      <c r="F98" s="87">
        <f t="shared" si="14"/>
        <v>0</v>
      </c>
      <c r="G98" s="87">
        <f t="shared" si="15"/>
        <v>0</v>
      </c>
      <c r="H98" s="87">
        <f t="shared" si="16"/>
        <v>0</v>
      </c>
      <c r="I98" s="87">
        <f t="shared" si="17"/>
        <v>8.9829712214748322E-2</v>
      </c>
      <c r="J98" s="87">
        <f t="shared" si="18"/>
        <v>6.5133890552810702E-3</v>
      </c>
      <c r="K98" s="120">
        <f t="shared" si="20"/>
        <v>4.3422593701873801E-3</v>
      </c>
      <c r="O98" s="116">
        <f>Amnt_Deposited!B93</f>
        <v>2079</v>
      </c>
      <c r="P98" s="119">
        <f>Amnt_Deposited!D93</f>
        <v>0</v>
      </c>
      <c r="Q98" s="319">
        <f>MCF!R97</f>
        <v>0.8</v>
      </c>
      <c r="R98" s="87">
        <f t="shared" si="19"/>
        <v>0</v>
      </c>
      <c r="S98" s="87">
        <f t="shared" si="21"/>
        <v>0</v>
      </c>
      <c r="T98" s="87">
        <f t="shared" si="22"/>
        <v>0</v>
      </c>
      <c r="U98" s="87">
        <f t="shared" si="23"/>
        <v>0.18559857895609175</v>
      </c>
      <c r="V98" s="87">
        <f t="shared" si="24"/>
        <v>1.34574154034733E-2</v>
      </c>
      <c r="W98" s="120">
        <f t="shared" si="25"/>
        <v>8.971610268982199E-3</v>
      </c>
    </row>
    <row r="99" spans="2:23" ht="13.5" thickBot="1">
      <c r="B99" s="117">
        <f>Amnt_Deposited!B94</f>
        <v>2080</v>
      </c>
      <c r="C99" s="121">
        <f>Amnt_Deposited!D94</f>
        <v>0</v>
      </c>
      <c r="D99" s="454">
        <f>Dry_Matter_Content!D86</f>
        <v>0.44</v>
      </c>
      <c r="E99" s="320">
        <f>MCF!R98</f>
        <v>0.8</v>
      </c>
      <c r="F99" s="88">
        <f t="shared" si="14"/>
        <v>0</v>
      </c>
      <c r="G99" s="88">
        <f t="shared" si="15"/>
        <v>0</v>
      </c>
      <c r="H99" s="88">
        <f t="shared" si="16"/>
        <v>0</v>
      </c>
      <c r="I99" s="88">
        <f t="shared" si="17"/>
        <v>8.3756668512961208E-2</v>
      </c>
      <c r="J99" s="88">
        <f t="shared" si="18"/>
        <v>6.073043701787113E-3</v>
      </c>
      <c r="K99" s="122">
        <f t="shared" si="20"/>
        <v>4.0486958011914081E-3</v>
      </c>
      <c r="O99" s="117">
        <f>Amnt_Deposited!B94</f>
        <v>2080</v>
      </c>
      <c r="P99" s="121">
        <f>Amnt_Deposited!D94</f>
        <v>0</v>
      </c>
      <c r="Q99" s="320">
        <f>MCF!R98</f>
        <v>0.8</v>
      </c>
      <c r="R99" s="88">
        <f t="shared" si="19"/>
        <v>0</v>
      </c>
      <c r="S99" s="88">
        <f>R99*$W$12</f>
        <v>0</v>
      </c>
      <c r="T99" s="88">
        <f>R99*(1-$W$12)</f>
        <v>0</v>
      </c>
      <c r="U99" s="88">
        <f>S99+U98*$W$10</f>
        <v>0.17305096800198613</v>
      </c>
      <c r="V99" s="88">
        <f>U98*(1-$W$10)+T99</f>
        <v>1.2547610954105618E-2</v>
      </c>
      <c r="W99" s="122">
        <f t="shared" si="25"/>
        <v>8.3650739694037454E-3</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65" t="s">
        <v>313</v>
      </c>
      <c r="C2" s="251"/>
      <c r="D2" s="251"/>
      <c r="E2" s="252"/>
      <c r="F2" s="253"/>
      <c r="G2" s="253"/>
      <c r="H2" s="253"/>
      <c r="I2" s="253"/>
      <c r="J2" s="253"/>
      <c r="K2" s="253"/>
    </row>
    <row r="3" spans="1:23" ht="15">
      <c r="B3" s="275" t="str">
        <f>IF(Select2=2,"This sheet applies only to the waste compositon option and can be deleted when the bulk waste option has been chosen","")</f>
        <v/>
      </c>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293">
        <f>Parameters!O21</f>
        <v>0.6</v>
      </c>
      <c r="O6" s="257"/>
      <c r="P6" s="258"/>
      <c r="Q6" s="249"/>
      <c r="R6" s="128" t="s">
        <v>9</v>
      </c>
      <c r="S6" s="129"/>
      <c r="T6" s="129"/>
      <c r="U6" s="133"/>
      <c r="V6" s="140" t="s">
        <v>9</v>
      </c>
      <c r="W6" s="293">
        <f>Parameters!R21</f>
        <v>0.24</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Parameters!O40</f>
        <v>0.17</v>
      </c>
      <c r="O8" s="67"/>
      <c r="P8" s="67"/>
      <c r="Q8" s="249"/>
      <c r="R8" s="128" t="s">
        <v>192</v>
      </c>
      <c r="S8" s="129"/>
      <c r="T8" s="129"/>
      <c r="U8" s="133"/>
      <c r="V8" s="140" t="s">
        <v>188</v>
      </c>
      <c r="W8" s="134">
        <f>Parameters!O40</f>
        <v>0.17</v>
      </c>
    </row>
    <row r="9" spans="1:23" ht="15.75">
      <c r="F9" s="279" t="s">
        <v>190</v>
      </c>
      <c r="G9" s="280"/>
      <c r="H9" s="280"/>
      <c r="I9" s="281"/>
      <c r="J9" s="282" t="s">
        <v>189</v>
      </c>
      <c r="K9" s="288">
        <f>LN(2)/$K$8</f>
        <v>4.077336356234972</v>
      </c>
      <c r="O9" s="67"/>
      <c r="P9" s="67"/>
      <c r="Q9" s="249"/>
      <c r="R9" s="279" t="s">
        <v>190</v>
      </c>
      <c r="S9" s="280"/>
      <c r="T9" s="280"/>
      <c r="U9" s="281"/>
      <c r="V9" s="282" t="s">
        <v>189</v>
      </c>
      <c r="W9" s="288">
        <f>LN(2)/$W$8</f>
        <v>4.077336356234972</v>
      </c>
    </row>
    <row r="10" spans="1:23">
      <c r="F10" s="130" t="s">
        <v>84</v>
      </c>
      <c r="G10" s="131"/>
      <c r="H10" s="131"/>
      <c r="I10" s="132"/>
      <c r="J10" s="141" t="s">
        <v>148</v>
      </c>
      <c r="K10" s="69">
        <f>EXP(-$K$8)</f>
        <v>0.8436648165963837</v>
      </c>
      <c r="O10" s="67"/>
      <c r="P10" s="67"/>
      <c r="Q10" s="249"/>
      <c r="R10" s="130" t="s">
        <v>84</v>
      </c>
      <c r="S10" s="131"/>
      <c r="T10" s="131"/>
      <c r="U10" s="132"/>
      <c r="V10" s="141" t="s">
        <v>148</v>
      </c>
      <c r="W10" s="69">
        <f>EXP(-$W$8)</f>
        <v>0.8436648165963837</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Amnt_Deposited!D14</f>
        <v>1.1730902515199999</v>
      </c>
      <c r="D19" s="451">
        <f>Dry_Matter_Content!E6</f>
        <v>0.44</v>
      </c>
      <c r="E19" s="318">
        <f>MCF!R18</f>
        <v>0.8</v>
      </c>
      <c r="F19" s="150">
        <f t="shared" ref="F19:F82" si="0">C19*D19*$K$6*DOCF*E19</f>
        <v>0.12387833056051199</v>
      </c>
      <c r="G19" s="85">
        <f t="shared" ref="G19:G82" si="1">F19*$K$12</f>
        <v>0.12387833056051199</v>
      </c>
      <c r="H19" s="85">
        <f t="shared" ref="H19:H82" si="2">F19*(1-$K$12)</f>
        <v>0</v>
      </c>
      <c r="I19" s="85">
        <f t="shared" ref="I19:I82" si="3">G19+I18*$K$10</f>
        <v>0.12387833056051199</v>
      </c>
      <c r="J19" s="85">
        <f t="shared" ref="J19:J82" si="4">I18*(1-$K$10)+H19</f>
        <v>0</v>
      </c>
      <c r="K19" s="86">
        <f>J19*CH4_fraction*conv</f>
        <v>0</v>
      </c>
      <c r="O19" s="115">
        <f>Amnt_Deposited!B14</f>
        <v>2000</v>
      </c>
      <c r="P19" s="118">
        <f>Amnt_Deposited!E14</f>
        <v>0</v>
      </c>
      <c r="Q19" s="318">
        <f>MCF!R18</f>
        <v>0.8</v>
      </c>
      <c r="R19" s="150">
        <f t="shared" ref="R19:R82" si="5">P19*$W$6*DOCF*Q19</f>
        <v>0</v>
      </c>
      <c r="S19" s="85">
        <f>R19*$W$12</f>
        <v>0</v>
      </c>
      <c r="T19" s="85">
        <f>R19*(1-$W$12)</f>
        <v>0</v>
      </c>
      <c r="U19" s="85">
        <f>S19+U18*$W$10</f>
        <v>0</v>
      </c>
      <c r="V19" s="85">
        <f>U18*(1-$W$10)+T19</f>
        <v>0</v>
      </c>
      <c r="W19" s="86">
        <f>V19*CH4_fraction*conv</f>
        <v>0</v>
      </c>
    </row>
    <row r="20" spans="2:23">
      <c r="B20" s="116">
        <f>Amnt_Deposited!B15</f>
        <v>2001</v>
      </c>
      <c r="C20" s="119">
        <f>Amnt_Deposited!D15</f>
        <v>1.2073080345480001</v>
      </c>
      <c r="D20" s="453">
        <f>Dry_Matter_Content!E7</f>
        <v>0.44</v>
      </c>
      <c r="E20" s="319">
        <f>MCF!R19</f>
        <v>0.8</v>
      </c>
      <c r="F20" s="87">
        <f t="shared" si="0"/>
        <v>0.12749172844826881</v>
      </c>
      <c r="G20" s="87">
        <f t="shared" si="1"/>
        <v>0.12749172844826881</v>
      </c>
      <c r="H20" s="87">
        <f t="shared" si="2"/>
        <v>0</v>
      </c>
      <c r="I20" s="87">
        <f t="shared" si="3"/>
        <v>0.23200351748086934</v>
      </c>
      <c r="J20" s="87">
        <f t="shared" si="4"/>
        <v>1.9366541527911448E-2</v>
      </c>
      <c r="K20" s="120">
        <f>J20*CH4_fraction*conv</f>
        <v>1.2911027685274298E-2</v>
      </c>
      <c r="M20" s="428"/>
      <c r="O20" s="116">
        <f>Amnt_Deposited!B15</f>
        <v>2001</v>
      </c>
      <c r="P20" s="119">
        <f>Amnt_Deposited!E15</f>
        <v>0</v>
      </c>
      <c r="Q20" s="319">
        <f>MCF!R19</f>
        <v>0.8</v>
      </c>
      <c r="R20" s="87">
        <f t="shared" si="5"/>
        <v>0</v>
      </c>
      <c r="S20" s="87">
        <f>R20*$W$12</f>
        <v>0</v>
      </c>
      <c r="T20" s="87">
        <f>R20*(1-$W$12)</f>
        <v>0</v>
      </c>
      <c r="U20" s="87">
        <f>S20+U19*$W$10</f>
        <v>0</v>
      </c>
      <c r="V20" s="87">
        <f>U19*(1-$W$10)+T20</f>
        <v>0</v>
      </c>
      <c r="W20" s="120">
        <f>V20*CH4_fraction*conv</f>
        <v>0</v>
      </c>
    </row>
    <row r="21" spans="2:23">
      <c r="B21" s="116">
        <f>Amnt_Deposited!B16</f>
        <v>2002</v>
      </c>
      <c r="C21" s="119">
        <f>Amnt_Deposited!D16</f>
        <v>1.2610402120799999</v>
      </c>
      <c r="D21" s="453">
        <f>Dry_Matter_Content!E8</f>
        <v>0.44</v>
      </c>
      <c r="E21" s="319">
        <f>MCF!R20</f>
        <v>0.8</v>
      </c>
      <c r="F21" s="87">
        <f t="shared" si="0"/>
        <v>0.13316584639564799</v>
      </c>
      <c r="G21" s="87">
        <f t="shared" si="1"/>
        <v>0.13316584639564799</v>
      </c>
      <c r="H21" s="87">
        <f t="shared" si="2"/>
        <v>0</v>
      </c>
      <c r="I21" s="87">
        <f t="shared" si="3"/>
        <v>0.32889905142086151</v>
      </c>
      <c r="J21" s="87">
        <f t="shared" si="4"/>
        <v>3.6270312455655804E-2</v>
      </c>
      <c r="K21" s="120">
        <f t="shared" ref="K21:K84" si="6">J21*CH4_fraction*conv</f>
        <v>2.4180208303770535E-2</v>
      </c>
      <c r="O21" s="116">
        <f>Amnt_Deposited!B16</f>
        <v>2002</v>
      </c>
      <c r="P21" s="119">
        <f>Amnt_Deposited!E16</f>
        <v>0</v>
      </c>
      <c r="Q21" s="319">
        <f>MCF!R20</f>
        <v>0.8</v>
      </c>
      <c r="R21" s="87">
        <f t="shared" si="5"/>
        <v>0</v>
      </c>
      <c r="S21" s="87">
        <f t="shared" ref="S21:S84" si="7">R21*$W$12</f>
        <v>0</v>
      </c>
      <c r="T21" s="87">
        <f t="shared" ref="T21:T84" si="8">R21*(1-$W$12)</f>
        <v>0</v>
      </c>
      <c r="U21" s="87">
        <f t="shared" ref="U21:U84" si="9">S21+U20*$W$10</f>
        <v>0</v>
      </c>
      <c r="V21" s="87">
        <f t="shared" ref="V21:V84" si="10">U20*(1-$W$10)+T21</f>
        <v>0</v>
      </c>
      <c r="W21" s="120">
        <f t="shared" ref="W21:W84" si="11">V21*CH4_fraction*conv</f>
        <v>0</v>
      </c>
    </row>
    <row r="22" spans="2:23">
      <c r="B22" s="116">
        <f>Amnt_Deposited!B17</f>
        <v>2003</v>
      </c>
      <c r="C22" s="119">
        <f>Amnt_Deposited!D17</f>
        <v>1.3005540777239999</v>
      </c>
      <c r="D22" s="453">
        <f>Dry_Matter_Content!E9</f>
        <v>0.44</v>
      </c>
      <c r="E22" s="319">
        <f>MCF!R21</f>
        <v>0.8</v>
      </c>
      <c r="F22" s="87">
        <f t="shared" si="0"/>
        <v>0.1373385106076544</v>
      </c>
      <c r="G22" s="87">
        <f t="shared" si="1"/>
        <v>0.1373385106076544</v>
      </c>
      <c r="H22" s="87">
        <f t="shared" si="2"/>
        <v>0</v>
      </c>
      <c r="I22" s="87">
        <f t="shared" si="3"/>
        <v>0.41481906850336009</v>
      </c>
      <c r="J22" s="87">
        <f t="shared" si="4"/>
        <v>5.141849352515581E-2</v>
      </c>
      <c r="K22" s="120">
        <f t="shared" si="6"/>
        <v>3.4278995683437202E-2</v>
      </c>
      <c r="N22" s="290"/>
      <c r="O22" s="116">
        <f>Amnt_Deposited!B17</f>
        <v>2003</v>
      </c>
      <c r="P22" s="119">
        <f>Amnt_Deposited!E17</f>
        <v>0</v>
      </c>
      <c r="Q22" s="319">
        <f>MCF!R21</f>
        <v>0.8</v>
      </c>
      <c r="R22" s="87">
        <f t="shared" si="5"/>
        <v>0</v>
      </c>
      <c r="S22" s="87">
        <f t="shared" si="7"/>
        <v>0</v>
      </c>
      <c r="T22" s="87">
        <f t="shared" si="8"/>
        <v>0</v>
      </c>
      <c r="U22" s="87">
        <f t="shared" si="9"/>
        <v>0</v>
      </c>
      <c r="V22" s="87">
        <f t="shared" si="10"/>
        <v>0</v>
      </c>
      <c r="W22" s="120">
        <f t="shared" si="11"/>
        <v>0</v>
      </c>
    </row>
    <row r="23" spans="2:23">
      <c r="B23" s="116">
        <f>Amnt_Deposited!B18</f>
        <v>2004</v>
      </c>
      <c r="C23" s="119">
        <f>Amnt_Deposited!D18</f>
        <v>1.3385013843960003</v>
      </c>
      <c r="D23" s="453">
        <f>Dry_Matter_Content!E10</f>
        <v>0.44</v>
      </c>
      <c r="E23" s="319">
        <f>MCF!R22</f>
        <v>0.8</v>
      </c>
      <c r="F23" s="87">
        <f t="shared" si="0"/>
        <v>0.14134574619221765</v>
      </c>
      <c r="G23" s="87">
        <f t="shared" si="1"/>
        <v>0.14134574619221765</v>
      </c>
      <c r="H23" s="87">
        <f t="shared" si="2"/>
        <v>0</v>
      </c>
      <c r="I23" s="87">
        <f t="shared" si="3"/>
        <v>0.49131399954178767</v>
      </c>
      <c r="J23" s="87">
        <f t="shared" si="4"/>
        <v>6.485081515379007E-2</v>
      </c>
      <c r="K23" s="120">
        <f t="shared" si="6"/>
        <v>4.323387676919338E-2</v>
      </c>
      <c r="N23" s="290"/>
      <c r="O23" s="116">
        <f>Amnt_Deposited!B18</f>
        <v>2004</v>
      </c>
      <c r="P23" s="119">
        <f>Amnt_Deposited!E18</f>
        <v>0</v>
      </c>
      <c r="Q23" s="319">
        <f>MCF!R22</f>
        <v>0.8</v>
      </c>
      <c r="R23" s="87">
        <f t="shared" si="5"/>
        <v>0</v>
      </c>
      <c r="S23" s="87">
        <f t="shared" si="7"/>
        <v>0</v>
      </c>
      <c r="T23" s="87">
        <f t="shared" si="8"/>
        <v>0</v>
      </c>
      <c r="U23" s="87">
        <f t="shared" si="9"/>
        <v>0</v>
      </c>
      <c r="V23" s="87">
        <f t="shared" si="10"/>
        <v>0</v>
      </c>
      <c r="W23" s="120">
        <f t="shared" si="11"/>
        <v>0</v>
      </c>
    </row>
    <row r="24" spans="2:23">
      <c r="B24" s="116">
        <f>Amnt_Deposited!B19</f>
        <v>2005</v>
      </c>
      <c r="C24" s="119">
        <f>Amnt_Deposited!D19</f>
        <v>1.4063246405999998</v>
      </c>
      <c r="D24" s="453">
        <f>Dry_Matter_Content!E11</f>
        <v>0.44</v>
      </c>
      <c r="E24" s="319">
        <f>MCF!R23</f>
        <v>0.8</v>
      </c>
      <c r="F24" s="87">
        <f t="shared" si="0"/>
        <v>0.14850788204735996</v>
      </c>
      <c r="G24" s="87">
        <f t="shared" si="1"/>
        <v>0.14850788204735996</v>
      </c>
      <c r="H24" s="87">
        <f t="shared" si="2"/>
        <v>0</v>
      </c>
      <c r="I24" s="87">
        <f t="shared" si="3"/>
        <v>0.56301221736201801</v>
      </c>
      <c r="J24" s="87">
        <f t="shared" si="4"/>
        <v>7.6809664227129634E-2</v>
      </c>
      <c r="K24" s="120">
        <f t="shared" si="6"/>
        <v>5.1206442818086423E-2</v>
      </c>
      <c r="N24" s="290"/>
      <c r="O24" s="116">
        <f>Amnt_Deposited!B19</f>
        <v>2005</v>
      </c>
      <c r="P24" s="119">
        <f>Amnt_Deposited!E19</f>
        <v>0</v>
      </c>
      <c r="Q24" s="319">
        <f>MCF!R23</f>
        <v>0.8</v>
      </c>
      <c r="R24" s="87">
        <f t="shared" si="5"/>
        <v>0</v>
      </c>
      <c r="S24" s="87">
        <f t="shared" si="7"/>
        <v>0</v>
      </c>
      <c r="T24" s="87">
        <f t="shared" si="8"/>
        <v>0</v>
      </c>
      <c r="U24" s="87">
        <f t="shared" si="9"/>
        <v>0</v>
      </c>
      <c r="V24" s="87">
        <f t="shared" si="10"/>
        <v>0</v>
      </c>
      <c r="W24" s="120">
        <f t="shared" si="11"/>
        <v>0</v>
      </c>
    </row>
    <row r="25" spans="2:23">
      <c r="B25" s="116">
        <f>Amnt_Deposited!B20</f>
        <v>2006</v>
      </c>
      <c r="C25" s="119">
        <f>Amnt_Deposited!D20</f>
        <v>1.4453613816840001</v>
      </c>
      <c r="D25" s="453">
        <f>Dry_Matter_Content!E12</f>
        <v>0.44</v>
      </c>
      <c r="E25" s="319">
        <f>MCF!R24</f>
        <v>0.8</v>
      </c>
      <c r="F25" s="87">
        <f t="shared" si="0"/>
        <v>0.15263016190583042</v>
      </c>
      <c r="G25" s="87">
        <f t="shared" si="1"/>
        <v>0.15263016190583042</v>
      </c>
      <c r="H25" s="87">
        <f t="shared" si="2"/>
        <v>0</v>
      </c>
      <c r="I25" s="87">
        <f t="shared" si="3"/>
        <v>0.62762376100808071</v>
      </c>
      <c r="J25" s="87">
        <f t="shared" si="4"/>
        <v>8.801861825976777E-2</v>
      </c>
      <c r="K25" s="120">
        <f t="shared" si="6"/>
        <v>5.8679078839845175E-2</v>
      </c>
      <c r="N25" s="290"/>
      <c r="O25" s="116">
        <f>Amnt_Deposited!B20</f>
        <v>2006</v>
      </c>
      <c r="P25" s="119">
        <f>Amnt_Deposited!E20</f>
        <v>0</v>
      </c>
      <c r="Q25" s="319">
        <f>MCF!R24</f>
        <v>0.8</v>
      </c>
      <c r="R25" s="87">
        <f t="shared" si="5"/>
        <v>0</v>
      </c>
      <c r="S25" s="87">
        <f t="shared" si="7"/>
        <v>0</v>
      </c>
      <c r="T25" s="87">
        <f t="shared" si="8"/>
        <v>0</v>
      </c>
      <c r="U25" s="87">
        <f t="shared" si="9"/>
        <v>0</v>
      </c>
      <c r="V25" s="87">
        <f t="shared" si="10"/>
        <v>0</v>
      </c>
      <c r="W25" s="120">
        <f t="shared" si="11"/>
        <v>0</v>
      </c>
    </row>
    <row r="26" spans="2:23">
      <c r="B26" s="116">
        <f>Amnt_Deposited!B21</f>
        <v>2007</v>
      </c>
      <c r="C26" s="119">
        <f>Amnt_Deposited!D21</f>
        <v>1.484859343176</v>
      </c>
      <c r="D26" s="453">
        <f>Dry_Matter_Content!E13</f>
        <v>0.44</v>
      </c>
      <c r="E26" s="319">
        <f>MCF!R25</f>
        <v>0.8</v>
      </c>
      <c r="F26" s="87">
        <f t="shared" si="0"/>
        <v>0.1568011466393856</v>
      </c>
      <c r="G26" s="87">
        <f t="shared" si="1"/>
        <v>0.1568011466393856</v>
      </c>
      <c r="H26" s="87">
        <f t="shared" si="2"/>
        <v>0</v>
      </c>
      <c r="I26" s="87">
        <f t="shared" si="3"/>
        <v>0.68630523186180059</v>
      </c>
      <c r="J26" s="87">
        <f t="shared" si="4"/>
        <v>9.8119675785665744E-2</v>
      </c>
      <c r="K26" s="120">
        <f t="shared" si="6"/>
        <v>6.541311719044382E-2</v>
      </c>
      <c r="N26" s="290"/>
      <c r="O26" s="116">
        <f>Amnt_Deposited!B21</f>
        <v>2007</v>
      </c>
      <c r="P26" s="119">
        <f>Amnt_Deposited!E21</f>
        <v>0</v>
      </c>
      <c r="Q26" s="319">
        <f>MCF!R25</f>
        <v>0.8</v>
      </c>
      <c r="R26" s="87">
        <f t="shared" si="5"/>
        <v>0</v>
      </c>
      <c r="S26" s="87">
        <f t="shared" si="7"/>
        <v>0</v>
      </c>
      <c r="T26" s="87">
        <f t="shared" si="8"/>
        <v>0</v>
      </c>
      <c r="U26" s="87">
        <f t="shared" si="9"/>
        <v>0</v>
      </c>
      <c r="V26" s="87">
        <f t="shared" si="10"/>
        <v>0</v>
      </c>
      <c r="W26" s="120">
        <f t="shared" si="11"/>
        <v>0</v>
      </c>
    </row>
    <row r="27" spans="2:23">
      <c r="B27" s="116">
        <f>Amnt_Deposited!B22</f>
        <v>2008</v>
      </c>
      <c r="C27" s="119">
        <f>Amnt_Deposited!D22</f>
        <v>1.524635627328</v>
      </c>
      <c r="D27" s="453">
        <f>Dry_Matter_Content!E14</f>
        <v>0.44</v>
      </c>
      <c r="E27" s="319">
        <f>MCF!R26</f>
        <v>0.8</v>
      </c>
      <c r="F27" s="87">
        <f t="shared" si="0"/>
        <v>0.16100152224583678</v>
      </c>
      <c r="G27" s="87">
        <f t="shared" si="1"/>
        <v>0.16100152224583678</v>
      </c>
      <c r="H27" s="87">
        <f t="shared" si="2"/>
        <v>0</v>
      </c>
      <c r="I27" s="87">
        <f t="shared" si="3"/>
        <v>0.74001309981366137</v>
      </c>
      <c r="J27" s="87">
        <f t="shared" si="4"/>
        <v>0.107293654293976</v>
      </c>
      <c r="K27" s="120">
        <f t="shared" si="6"/>
        <v>7.1529102862650656E-2</v>
      </c>
      <c r="N27" s="290"/>
      <c r="O27" s="116">
        <f>Amnt_Deposited!B22</f>
        <v>2008</v>
      </c>
      <c r="P27" s="119">
        <f>Amnt_Deposited!E22</f>
        <v>0</v>
      </c>
      <c r="Q27" s="319">
        <f>MCF!R26</f>
        <v>0.8</v>
      </c>
      <c r="R27" s="87">
        <f t="shared" si="5"/>
        <v>0</v>
      </c>
      <c r="S27" s="87">
        <f t="shared" si="7"/>
        <v>0</v>
      </c>
      <c r="T27" s="87">
        <f t="shared" si="8"/>
        <v>0</v>
      </c>
      <c r="U27" s="87">
        <f t="shared" si="9"/>
        <v>0</v>
      </c>
      <c r="V27" s="87">
        <f t="shared" si="10"/>
        <v>0</v>
      </c>
      <c r="W27" s="120">
        <f t="shared" si="11"/>
        <v>0</v>
      </c>
    </row>
    <row r="28" spans="2:23">
      <c r="B28" s="116">
        <f>Amnt_Deposited!B23</f>
        <v>2009</v>
      </c>
      <c r="C28" s="119">
        <f>Amnt_Deposited!D23</f>
        <v>1.5644755280880001</v>
      </c>
      <c r="D28" s="453">
        <f>Dry_Matter_Content!E15</f>
        <v>0.44</v>
      </c>
      <c r="E28" s="319">
        <f>MCF!R27</f>
        <v>0.8</v>
      </c>
      <c r="F28" s="87">
        <f t="shared" si="0"/>
        <v>0.1652086157660928</v>
      </c>
      <c r="G28" s="87">
        <f t="shared" si="1"/>
        <v>0.1652086157660928</v>
      </c>
      <c r="H28" s="87">
        <f t="shared" si="2"/>
        <v>0</v>
      </c>
      <c r="I28" s="87">
        <f t="shared" si="3"/>
        <v>0.78953163189930686</v>
      </c>
      <c r="J28" s="87">
        <f t="shared" si="4"/>
        <v>0.11569008368044736</v>
      </c>
      <c r="K28" s="120">
        <f t="shared" si="6"/>
        <v>7.7126722453631572E-2</v>
      </c>
      <c r="N28" s="290"/>
      <c r="O28" s="116">
        <f>Amnt_Deposited!B23</f>
        <v>2009</v>
      </c>
      <c r="P28" s="119">
        <f>Amnt_Deposited!E23</f>
        <v>0</v>
      </c>
      <c r="Q28" s="319">
        <f>MCF!R27</f>
        <v>0.8</v>
      </c>
      <c r="R28" s="87">
        <f t="shared" si="5"/>
        <v>0</v>
      </c>
      <c r="S28" s="87">
        <f t="shared" si="7"/>
        <v>0</v>
      </c>
      <c r="T28" s="87">
        <f t="shared" si="8"/>
        <v>0</v>
      </c>
      <c r="U28" s="87">
        <f t="shared" si="9"/>
        <v>0</v>
      </c>
      <c r="V28" s="87">
        <f t="shared" si="10"/>
        <v>0</v>
      </c>
      <c r="W28" s="120">
        <f t="shared" si="11"/>
        <v>0</v>
      </c>
    </row>
    <row r="29" spans="2:23">
      <c r="B29" s="116">
        <f>Amnt_Deposited!B24</f>
        <v>2010</v>
      </c>
      <c r="C29" s="119">
        <f>Amnt_Deposited!D24</f>
        <v>2.032844852412</v>
      </c>
      <c r="D29" s="453">
        <f>Dry_Matter_Content!E16</f>
        <v>0.44</v>
      </c>
      <c r="E29" s="319">
        <f>MCF!R28</f>
        <v>0.8</v>
      </c>
      <c r="F29" s="87">
        <f t="shared" si="0"/>
        <v>0.21466841641470721</v>
      </c>
      <c r="G29" s="87">
        <f t="shared" si="1"/>
        <v>0.21466841641470721</v>
      </c>
      <c r="H29" s="87">
        <f t="shared" si="2"/>
        <v>0</v>
      </c>
      <c r="I29" s="87">
        <f t="shared" si="3"/>
        <v>0.88076847583807949</v>
      </c>
      <c r="J29" s="87">
        <f t="shared" si="4"/>
        <v>0.12343157247593461</v>
      </c>
      <c r="K29" s="120">
        <f t="shared" si="6"/>
        <v>8.22877149839564E-2</v>
      </c>
      <c r="O29" s="116">
        <f>Amnt_Deposited!B24</f>
        <v>2010</v>
      </c>
      <c r="P29" s="119">
        <f>Amnt_Deposited!E24</f>
        <v>0</v>
      </c>
      <c r="Q29" s="319">
        <f>MCF!R28</f>
        <v>0.8</v>
      </c>
      <c r="R29" s="87">
        <f t="shared" si="5"/>
        <v>0</v>
      </c>
      <c r="S29" s="87">
        <f t="shared" si="7"/>
        <v>0</v>
      </c>
      <c r="T29" s="87">
        <f t="shared" si="8"/>
        <v>0</v>
      </c>
      <c r="U29" s="87">
        <f t="shared" si="9"/>
        <v>0</v>
      </c>
      <c r="V29" s="87">
        <f t="shared" si="10"/>
        <v>0</v>
      </c>
      <c r="W29" s="120">
        <f t="shared" si="11"/>
        <v>0</v>
      </c>
    </row>
    <row r="30" spans="2:23">
      <c r="B30" s="116">
        <f>Amnt_Deposited!B25</f>
        <v>2011</v>
      </c>
      <c r="C30" s="119">
        <f>Amnt_Deposited!D25</f>
        <v>1.9473549750000001</v>
      </c>
      <c r="D30" s="453">
        <f>Dry_Matter_Content!E17</f>
        <v>0.44</v>
      </c>
      <c r="E30" s="319">
        <f>MCF!R29</f>
        <v>0.8</v>
      </c>
      <c r="F30" s="87">
        <f t="shared" si="0"/>
        <v>0.20564068536000002</v>
      </c>
      <c r="G30" s="87">
        <f t="shared" si="1"/>
        <v>0.20564068536000002</v>
      </c>
      <c r="H30" s="87">
        <f t="shared" si="2"/>
        <v>0</v>
      </c>
      <c r="I30" s="87">
        <f t="shared" si="3"/>
        <v>0.9487140599918098</v>
      </c>
      <c r="J30" s="87">
        <f t="shared" si="4"/>
        <v>0.13769510120626974</v>
      </c>
      <c r="K30" s="120">
        <f t="shared" si="6"/>
        <v>9.1796734137513158E-2</v>
      </c>
      <c r="O30" s="116">
        <f>Amnt_Deposited!B25</f>
        <v>2011</v>
      </c>
      <c r="P30" s="119">
        <f>Amnt_Deposited!E25</f>
        <v>0</v>
      </c>
      <c r="Q30" s="319">
        <f>MCF!R29</f>
        <v>0.8</v>
      </c>
      <c r="R30" s="87">
        <f t="shared" si="5"/>
        <v>0</v>
      </c>
      <c r="S30" s="87">
        <f t="shared" si="7"/>
        <v>0</v>
      </c>
      <c r="T30" s="87">
        <f t="shared" si="8"/>
        <v>0</v>
      </c>
      <c r="U30" s="87">
        <f t="shared" si="9"/>
        <v>0</v>
      </c>
      <c r="V30" s="87">
        <f t="shared" si="10"/>
        <v>0</v>
      </c>
      <c r="W30" s="120">
        <f t="shared" si="11"/>
        <v>0</v>
      </c>
    </row>
    <row r="31" spans="2:23">
      <c r="B31" s="116">
        <f>Amnt_Deposited!B26</f>
        <v>2012</v>
      </c>
      <c r="C31" s="119">
        <f>Amnt_Deposited!D26</f>
        <v>2.0356880810400004</v>
      </c>
      <c r="D31" s="453">
        <f>Dry_Matter_Content!E18</f>
        <v>0.44</v>
      </c>
      <c r="E31" s="319">
        <f>MCF!R30</f>
        <v>0.8</v>
      </c>
      <c r="F31" s="87">
        <f t="shared" si="0"/>
        <v>0.21496866135782403</v>
      </c>
      <c r="G31" s="87">
        <f t="shared" si="1"/>
        <v>0.21496866135782403</v>
      </c>
      <c r="H31" s="87">
        <f t="shared" si="2"/>
        <v>0</v>
      </c>
      <c r="I31" s="87">
        <f t="shared" si="3"/>
        <v>1.0153653347832248</v>
      </c>
      <c r="J31" s="87">
        <f t="shared" si="4"/>
        <v>0.14831738656640903</v>
      </c>
      <c r="K31" s="120">
        <f t="shared" si="6"/>
        <v>9.8878257710939346E-2</v>
      </c>
      <c r="O31" s="116">
        <f>Amnt_Deposited!B26</f>
        <v>2012</v>
      </c>
      <c r="P31" s="119">
        <f>Amnt_Deposited!E26</f>
        <v>0</v>
      </c>
      <c r="Q31" s="319">
        <f>MCF!R30</f>
        <v>0.8</v>
      </c>
      <c r="R31" s="87">
        <f t="shared" si="5"/>
        <v>0</v>
      </c>
      <c r="S31" s="87">
        <f t="shared" si="7"/>
        <v>0</v>
      </c>
      <c r="T31" s="87">
        <f t="shared" si="8"/>
        <v>0</v>
      </c>
      <c r="U31" s="87">
        <f t="shared" si="9"/>
        <v>0</v>
      </c>
      <c r="V31" s="87">
        <f t="shared" si="10"/>
        <v>0</v>
      </c>
      <c r="W31" s="120">
        <f t="shared" si="11"/>
        <v>0</v>
      </c>
    </row>
    <row r="32" spans="2:23">
      <c r="B32" s="116">
        <f>Amnt_Deposited!B27</f>
        <v>2013</v>
      </c>
      <c r="C32" s="119">
        <f>Amnt_Deposited!D27</f>
        <v>2.1269345385600005</v>
      </c>
      <c r="D32" s="453">
        <f>Dry_Matter_Content!E19</f>
        <v>0.44</v>
      </c>
      <c r="E32" s="319">
        <f>MCF!R31</f>
        <v>0.8</v>
      </c>
      <c r="F32" s="87">
        <f t="shared" si="0"/>
        <v>0.22460428727193604</v>
      </c>
      <c r="G32" s="87">
        <f t="shared" si="1"/>
        <v>0.22460428727193604</v>
      </c>
      <c r="H32" s="87">
        <f t="shared" si="2"/>
        <v>0</v>
      </c>
      <c r="I32" s="87">
        <f t="shared" si="3"/>
        <v>1.081232296220151</v>
      </c>
      <c r="J32" s="87">
        <f t="shared" si="4"/>
        <v>0.15873732583500971</v>
      </c>
      <c r="K32" s="120">
        <f t="shared" si="6"/>
        <v>0.10582488389000647</v>
      </c>
      <c r="O32" s="116">
        <f>Amnt_Deposited!B27</f>
        <v>2013</v>
      </c>
      <c r="P32" s="119">
        <f>Amnt_Deposited!E27</f>
        <v>0</v>
      </c>
      <c r="Q32" s="319">
        <f>MCF!R31</f>
        <v>0.8</v>
      </c>
      <c r="R32" s="87">
        <f t="shared" si="5"/>
        <v>0</v>
      </c>
      <c r="S32" s="87">
        <f t="shared" si="7"/>
        <v>0</v>
      </c>
      <c r="T32" s="87">
        <f t="shared" si="8"/>
        <v>0</v>
      </c>
      <c r="U32" s="87">
        <f t="shared" si="9"/>
        <v>0</v>
      </c>
      <c r="V32" s="87">
        <f t="shared" si="10"/>
        <v>0</v>
      </c>
      <c r="W32" s="120">
        <f t="shared" si="11"/>
        <v>0</v>
      </c>
    </row>
    <row r="33" spans="2:23">
      <c r="B33" s="116">
        <f>Amnt_Deposited!B28</f>
        <v>2014</v>
      </c>
      <c r="C33" s="119">
        <f>Amnt_Deposited!D28</f>
        <v>2.2191641618400002</v>
      </c>
      <c r="D33" s="453">
        <f>Dry_Matter_Content!E20</f>
        <v>0.44</v>
      </c>
      <c r="E33" s="319">
        <f>MCF!R32</f>
        <v>0.8</v>
      </c>
      <c r="F33" s="87">
        <f t="shared" si="0"/>
        <v>0.23434373549030402</v>
      </c>
      <c r="G33" s="87">
        <f t="shared" si="1"/>
        <v>0.23434373549030402</v>
      </c>
      <c r="H33" s="87">
        <f t="shared" si="2"/>
        <v>0</v>
      </c>
      <c r="I33" s="87">
        <f t="shared" si="3"/>
        <v>1.1465413823789645</v>
      </c>
      <c r="J33" s="87">
        <f t="shared" si="4"/>
        <v>0.16903464933149048</v>
      </c>
      <c r="K33" s="120">
        <f t="shared" si="6"/>
        <v>0.11268976622099365</v>
      </c>
      <c r="O33" s="116">
        <f>Amnt_Deposited!B28</f>
        <v>2014</v>
      </c>
      <c r="P33" s="119">
        <f>Amnt_Deposited!E28</f>
        <v>0</v>
      </c>
      <c r="Q33" s="319">
        <f>MCF!R32</f>
        <v>0.8</v>
      </c>
      <c r="R33" s="87">
        <f t="shared" si="5"/>
        <v>0</v>
      </c>
      <c r="S33" s="87">
        <f t="shared" si="7"/>
        <v>0</v>
      </c>
      <c r="T33" s="87">
        <f t="shared" si="8"/>
        <v>0</v>
      </c>
      <c r="U33" s="87">
        <f t="shared" si="9"/>
        <v>0</v>
      </c>
      <c r="V33" s="87">
        <f t="shared" si="10"/>
        <v>0</v>
      </c>
      <c r="W33" s="120">
        <f t="shared" si="11"/>
        <v>0</v>
      </c>
    </row>
    <row r="34" spans="2:23">
      <c r="B34" s="116">
        <f>Amnt_Deposited!B29</f>
        <v>2015</v>
      </c>
      <c r="C34" s="119">
        <f>Amnt_Deposited!D29</f>
        <v>2.3141625533999997</v>
      </c>
      <c r="D34" s="453">
        <f>Dry_Matter_Content!E21</f>
        <v>0.44</v>
      </c>
      <c r="E34" s="319">
        <f>MCF!R33</f>
        <v>0.8</v>
      </c>
      <c r="F34" s="87">
        <f t="shared" si="0"/>
        <v>0.24437556563903995</v>
      </c>
      <c r="G34" s="87">
        <f t="shared" si="1"/>
        <v>0.24437556563903995</v>
      </c>
      <c r="H34" s="87">
        <f t="shared" si="2"/>
        <v>0</v>
      </c>
      <c r="I34" s="87">
        <f t="shared" si="3"/>
        <v>1.2116721907239532</v>
      </c>
      <c r="J34" s="87">
        <f t="shared" si="4"/>
        <v>0.17924475729405118</v>
      </c>
      <c r="K34" s="120">
        <f t="shared" si="6"/>
        <v>0.11949650486270078</v>
      </c>
      <c r="O34" s="116">
        <f>Amnt_Deposited!B29</f>
        <v>2015</v>
      </c>
      <c r="P34" s="119">
        <f>Amnt_Deposited!E29</f>
        <v>0</v>
      </c>
      <c r="Q34" s="319">
        <f>MCF!R33</f>
        <v>0.8</v>
      </c>
      <c r="R34" s="87">
        <f t="shared" si="5"/>
        <v>0</v>
      </c>
      <c r="S34" s="87">
        <f t="shared" si="7"/>
        <v>0</v>
      </c>
      <c r="T34" s="87">
        <f t="shared" si="8"/>
        <v>0</v>
      </c>
      <c r="U34" s="87">
        <f t="shared" si="9"/>
        <v>0</v>
      </c>
      <c r="V34" s="87">
        <f t="shared" si="10"/>
        <v>0</v>
      </c>
      <c r="W34" s="120">
        <f t="shared" si="11"/>
        <v>0</v>
      </c>
    </row>
    <row r="35" spans="2:23">
      <c r="B35" s="116">
        <f>Amnt_Deposited!B30</f>
        <v>2016</v>
      </c>
      <c r="C35" s="119">
        <f>Amnt_Deposited!D30</f>
        <v>2.4115827135600001</v>
      </c>
      <c r="D35" s="453">
        <f>Dry_Matter_Content!E22</f>
        <v>0.44</v>
      </c>
      <c r="E35" s="319">
        <f>MCF!R34</f>
        <v>0.8</v>
      </c>
      <c r="F35" s="87">
        <f t="shared" si="0"/>
        <v>0.25466313455193601</v>
      </c>
      <c r="G35" s="87">
        <f t="shared" si="1"/>
        <v>0.25466313455193601</v>
      </c>
      <c r="H35" s="87">
        <f t="shared" si="2"/>
        <v>0</v>
      </c>
      <c r="I35" s="87">
        <f t="shared" si="3"/>
        <v>1.2769083311139986</v>
      </c>
      <c r="J35" s="87">
        <f t="shared" si="4"/>
        <v>0.18942699416189077</v>
      </c>
      <c r="K35" s="120">
        <f t="shared" si="6"/>
        <v>0.12628466277459383</v>
      </c>
      <c r="O35" s="116">
        <f>Amnt_Deposited!B30</f>
        <v>2016</v>
      </c>
      <c r="P35" s="119">
        <f>Amnt_Deposited!E30</f>
        <v>0</v>
      </c>
      <c r="Q35" s="319">
        <f>MCF!R34</f>
        <v>0.8</v>
      </c>
      <c r="R35" s="87">
        <f t="shared" si="5"/>
        <v>0</v>
      </c>
      <c r="S35" s="87">
        <f t="shared" si="7"/>
        <v>0</v>
      </c>
      <c r="T35" s="87">
        <f t="shared" si="8"/>
        <v>0</v>
      </c>
      <c r="U35" s="87">
        <f t="shared" si="9"/>
        <v>0</v>
      </c>
      <c r="V35" s="87">
        <f t="shared" si="10"/>
        <v>0</v>
      </c>
      <c r="W35" s="120">
        <f t="shared" si="11"/>
        <v>0</v>
      </c>
    </row>
    <row r="36" spans="2:23">
      <c r="B36" s="116">
        <f>Amnt_Deposited!B31</f>
        <v>2017</v>
      </c>
      <c r="C36" s="119">
        <f>Amnt_Deposited!D31</f>
        <v>2.4226794741599997</v>
      </c>
      <c r="D36" s="453">
        <f>Dry_Matter_Content!E23</f>
        <v>0.44</v>
      </c>
      <c r="E36" s="319">
        <f>MCF!R35</f>
        <v>0.8</v>
      </c>
      <c r="F36" s="87">
        <f t="shared" si="0"/>
        <v>0.25583495247129601</v>
      </c>
      <c r="G36" s="87">
        <f t="shared" si="1"/>
        <v>0.25583495247129601</v>
      </c>
      <c r="H36" s="87">
        <f t="shared" si="2"/>
        <v>0</v>
      </c>
      <c r="I36" s="87">
        <f t="shared" si="3"/>
        <v>1.333117585450982</v>
      </c>
      <c r="J36" s="87">
        <f t="shared" si="4"/>
        <v>0.19962569813431258</v>
      </c>
      <c r="K36" s="120">
        <f t="shared" si="6"/>
        <v>0.13308379875620838</v>
      </c>
      <c r="O36" s="116">
        <f>Amnt_Deposited!B31</f>
        <v>2017</v>
      </c>
      <c r="P36" s="119">
        <f>Amnt_Deposited!E31</f>
        <v>0</v>
      </c>
      <c r="Q36" s="319">
        <f>MCF!R35</f>
        <v>0.8</v>
      </c>
      <c r="R36" s="87">
        <f t="shared" si="5"/>
        <v>0</v>
      </c>
      <c r="S36" s="87">
        <f t="shared" si="7"/>
        <v>0</v>
      </c>
      <c r="T36" s="87">
        <f t="shared" si="8"/>
        <v>0</v>
      </c>
      <c r="U36" s="87">
        <f t="shared" si="9"/>
        <v>0</v>
      </c>
      <c r="V36" s="87">
        <f t="shared" si="10"/>
        <v>0</v>
      </c>
      <c r="W36" s="120">
        <f t="shared" si="11"/>
        <v>0</v>
      </c>
    </row>
    <row r="37" spans="2:23">
      <c r="B37" s="116">
        <f>Amnt_Deposited!B32</f>
        <v>2018</v>
      </c>
      <c r="C37" s="119">
        <f>Amnt_Deposited!D32</f>
        <v>2.5130222866800005</v>
      </c>
      <c r="D37" s="453">
        <f>Dry_Matter_Content!E24</f>
        <v>0.44</v>
      </c>
      <c r="E37" s="319">
        <f>MCF!R36</f>
        <v>0.8</v>
      </c>
      <c r="F37" s="87">
        <f t="shared" si="0"/>
        <v>0.26537515347340807</v>
      </c>
      <c r="G37" s="87">
        <f t="shared" si="1"/>
        <v>0.26537515347340807</v>
      </c>
      <c r="H37" s="87">
        <f t="shared" si="2"/>
        <v>0</v>
      </c>
      <c r="I37" s="87">
        <f t="shared" si="3"/>
        <v>1.3900795567043247</v>
      </c>
      <c r="J37" s="87">
        <f t="shared" si="4"/>
        <v>0.20841318222006538</v>
      </c>
      <c r="K37" s="120">
        <f t="shared" si="6"/>
        <v>0.13894212148004359</v>
      </c>
      <c r="O37" s="116">
        <f>Amnt_Deposited!B32</f>
        <v>2018</v>
      </c>
      <c r="P37" s="119">
        <f>Amnt_Deposited!E32</f>
        <v>0</v>
      </c>
      <c r="Q37" s="319">
        <f>MCF!R36</f>
        <v>0.8</v>
      </c>
      <c r="R37" s="87">
        <f t="shared" si="5"/>
        <v>0</v>
      </c>
      <c r="S37" s="87">
        <f t="shared" si="7"/>
        <v>0</v>
      </c>
      <c r="T37" s="87">
        <f t="shared" si="8"/>
        <v>0</v>
      </c>
      <c r="U37" s="87">
        <f t="shared" si="9"/>
        <v>0</v>
      </c>
      <c r="V37" s="87">
        <f t="shared" si="10"/>
        <v>0</v>
      </c>
      <c r="W37" s="120">
        <f t="shared" si="11"/>
        <v>0</v>
      </c>
    </row>
    <row r="38" spans="2:23">
      <c r="B38" s="116">
        <f>Amnt_Deposited!B33</f>
        <v>2019</v>
      </c>
      <c r="C38" s="119">
        <f>Amnt_Deposited!D33</f>
        <v>2.6033650991999999</v>
      </c>
      <c r="D38" s="453">
        <f>Dry_Matter_Content!E25</f>
        <v>0.44</v>
      </c>
      <c r="E38" s="319">
        <f>MCF!R37</f>
        <v>0.8</v>
      </c>
      <c r="F38" s="87">
        <f t="shared" si="0"/>
        <v>0.27491535447552001</v>
      </c>
      <c r="G38" s="87">
        <f t="shared" si="1"/>
        <v>0.27491535447552001</v>
      </c>
      <c r="H38" s="87">
        <f t="shared" si="2"/>
        <v>0</v>
      </c>
      <c r="I38" s="87">
        <f t="shared" si="3"/>
        <v>1.4476765687368565</v>
      </c>
      <c r="J38" s="87">
        <f t="shared" si="4"/>
        <v>0.21731834244298823</v>
      </c>
      <c r="K38" s="120">
        <f t="shared" si="6"/>
        <v>0.14487889496199213</v>
      </c>
      <c r="O38" s="116">
        <f>Amnt_Deposited!B33</f>
        <v>2019</v>
      </c>
      <c r="P38" s="119">
        <f>Amnt_Deposited!E33</f>
        <v>0</v>
      </c>
      <c r="Q38" s="319">
        <f>MCF!R37</f>
        <v>0.8</v>
      </c>
      <c r="R38" s="87">
        <f t="shared" si="5"/>
        <v>0</v>
      </c>
      <c r="S38" s="87">
        <f t="shared" si="7"/>
        <v>0</v>
      </c>
      <c r="T38" s="87">
        <f t="shared" si="8"/>
        <v>0</v>
      </c>
      <c r="U38" s="87">
        <f t="shared" si="9"/>
        <v>0</v>
      </c>
      <c r="V38" s="87">
        <f t="shared" si="10"/>
        <v>0</v>
      </c>
      <c r="W38" s="120">
        <f t="shared" si="11"/>
        <v>0</v>
      </c>
    </row>
    <row r="39" spans="2:23">
      <c r="B39" s="116">
        <f>Amnt_Deposited!B34</f>
        <v>2020</v>
      </c>
      <c r="C39" s="119">
        <f>Amnt_Deposited!D34</f>
        <v>2.6937079117200007</v>
      </c>
      <c r="D39" s="453">
        <f>Dry_Matter_Content!E26</f>
        <v>0.44</v>
      </c>
      <c r="E39" s="319">
        <f>MCF!R38</f>
        <v>0.8</v>
      </c>
      <c r="F39" s="87">
        <f t="shared" si="0"/>
        <v>0.28445555547763207</v>
      </c>
      <c r="G39" s="87">
        <f t="shared" si="1"/>
        <v>0.28445555547763207</v>
      </c>
      <c r="H39" s="87">
        <f t="shared" si="2"/>
        <v>0</v>
      </c>
      <c r="I39" s="87">
        <f t="shared" si="3"/>
        <v>1.5058093423318941</v>
      </c>
      <c r="J39" s="87">
        <f t="shared" si="4"/>
        <v>0.22632278188259439</v>
      </c>
      <c r="K39" s="120">
        <f t="shared" si="6"/>
        <v>0.15088185458839626</v>
      </c>
      <c r="O39" s="116">
        <f>Amnt_Deposited!B34</f>
        <v>2020</v>
      </c>
      <c r="P39" s="119">
        <f>Amnt_Deposited!E34</f>
        <v>0</v>
      </c>
      <c r="Q39" s="319">
        <f>MCF!R38</f>
        <v>0.8</v>
      </c>
      <c r="R39" s="87">
        <f t="shared" si="5"/>
        <v>0</v>
      </c>
      <c r="S39" s="87">
        <f t="shared" si="7"/>
        <v>0</v>
      </c>
      <c r="T39" s="87">
        <f t="shared" si="8"/>
        <v>0</v>
      </c>
      <c r="U39" s="87">
        <f t="shared" si="9"/>
        <v>0</v>
      </c>
      <c r="V39" s="87">
        <f t="shared" si="10"/>
        <v>0</v>
      </c>
      <c r="W39" s="120">
        <f t="shared" si="11"/>
        <v>0</v>
      </c>
    </row>
    <row r="40" spans="2:23">
      <c r="B40" s="116">
        <f>Amnt_Deposited!B35</f>
        <v>2021</v>
      </c>
      <c r="C40" s="119">
        <f>Amnt_Deposited!D35</f>
        <v>2.7840507242400001</v>
      </c>
      <c r="D40" s="453">
        <f>Dry_Matter_Content!E27</f>
        <v>0.44</v>
      </c>
      <c r="E40" s="319">
        <f>MCF!R39</f>
        <v>0.8</v>
      </c>
      <c r="F40" s="87">
        <f t="shared" si="0"/>
        <v>0.29399575647974402</v>
      </c>
      <c r="G40" s="87">
        <f t="shared" si="1"/>
        <v>0.29399575647974402</v>
      </c>
      <c r="H40" s="87">
        <f t="shared" si="2"/>
        <v>0</v>
      </c>
      <c r="I40" s="87">
        <f t="shared" si="3"/>
        <v>1.5643941191073025</v>
      </c>
      <c r="J40" s="87">
        <f t="shared" si="4"/>
        <v>0.2354109797043355</v>
      </c>
      <c r="K40" s="120">
        <f t="shared" si="6"/>
        <v>0.15694065313622366</v>
      </c>
      <c r="O40" s="116">
        <f>Amnt_Deposited!B35</f>
        <v>2021</v>
      </c>
      <c r="P40" s="119">
        <f>Amnt_Deposited!E35</f>
        <v>0</v>
      </c>
      <c r="Q40" s="319">
        <f>MCF!R39</f>
        <v>0.8</v>
      </c>
      <c r="R40" s="87">
        <f t="shared" si="5"/>
        <v>0</v>
      </c>
      <c r="S40" s="87">
        <f t="shared" si="7"/>
        <v>0</v>
      </c>
      <c r="T40" s="87">
        <f t="shared" si="8"/>
        <v>0</v>
      </c>
      <c r="U40" s="87">
        <f t="shared" si="9"/>
        <v>0</v>
      </c>
      <c r="V40" s="87">
        <f t="shared" si="10"/>
        <v>0</v>
      </c>
      <c r="W40" s="120">
        <f t="shared" si="11"/>
        <v>0</v>
      </c>
    </row>
    <row r="41" spans="2:23">
      <c r="B41" s="116">
        <f>Amnt_Deposited!B36</f>
        <v>2022</v>
      </c>
      <c r="C41" s="119">
        <f>Amnt_Deposited!D36</f>
        <v>2.8743935367600004</v>
      </c>
      <c r="D41" s="453">
        <f>Dry_Matter_Content!E28</f>
        <v>0.44</v>
      </c>
      <c r="E41" s="319">
        <f>MCF!R40</f>
        <v>0.8</v>
      </c>
      <c r="F41" s="87">
        <f t="shared" si="0"/>
        <v>0.30353595748185608</v>
      </c>
      <c r="G41" s="87">
        <f t="shared" si="1"/>
        <v>0.30353595748185608</v>
      </c>
      <c r="H41" s="87">
        <f t="shared" si="2"/>
        <v>0</v>
      </c>
      <c r="I41" s="87">
        <f t="shared" si="3"/>
        <v>1.6233602350629797</v>
      </c>
      <c r="J41" s="87">
        <f t="shared" si="4"/>
        <v>0.24456984152617889</v>
      </c>
      <c r="K41" s="120">
        <f t="shared" si="6"/>
        <v>0.16304656101745257</v>
      </c>
      <c r="O41" s="116">
        <f>Amnt_Deposited!B36</f>
        <v>2022</v>
      </c>
      <c r="P41" s="119">
        <f>Amnt_Deposited!E36</f>
        <v>0</v>
      </c>
      <c r="Q41" s="319">
        <f>MCF!R40</f>
        <v>0.8</v>
      </c>
      <c r="R41" s="87">
        <f t="shared" si="5"/>
        <v>0</v>
      </c>
      <c r="S41" s="87">
        <f t="shared" si="7"/>
        <v>0</v>
      </c>
      <c r="T41" s="87">
        <f t="shared" si="8"/>
        <v>0</v>
      </c>
      <c r="U41" s="87">
        <f t="shared" si="9"/>
        <v>0</v>
      </c>
      <c r="V41" s="87">
        <f t="shared" si="10"/>
        <v>0</v>
      </c>
      <c r="W41" s="120">
        <f t="shared" si="11"/>
        <v>0</v>
      </c>
    </row>
    <row r="42" spans="2:23">
      <c r="B42" s="116">
        <f>Amnt_Deposited!B37</f>
        <v>2023</v>
      </c>
      <c r="C42" s="119">
        <f>Amnt_Deposited!D37</f>
        <v>2.9647363492800007</v>
      </c>
      <c r="D42" s="453">
        <f>Dry_Matter_Content!E29</f>
        <v>0.44</v>
      </c>
      <c r="E42" s="319">
        <f>MCF!R41</f>
        <v>0.8</v>
      </c>
      <c r="F42" s="87">
        <f t="shared" si="0"/>
        <v>0.31307615848396808</v>
      </c>
      <c r="G42" s="87">
        <f t="shared" si="1"/>
        <v>0.31307615848396808</v>
      </c>
      <c r="H42" s="87">
        <f t="shared" si="2"/>
        <v>0</v>
      </c>
      <c r="I42" s="87">
        <f t="shared" si="3"/>
        <v>1.6826480734682392</v>
      </c>
      <c r="J42" s="87">
        <f t="shared" si="4"/>
        <v>0.25378832007870861</v>
      </c>
      <c r="K42" s="120">
        <f t="shared" si="6"/>
        <v>0.16919221338580573</v>
      </c>
      <c r="O42" s="116">
        <f>Amnt_Deposited!B37</f>
        <v>2023</v>
      </c>
      <c r="P42" s="119">
        <f>Amnt_Deposited!E37</f>
        <v>0</v>
      </c>
      <c r="Q42" s="319">
        <f>MCF!R41</f>
        <v>0.8</v>
      </c>
      <c r="R42" s="87">
        <f t="shared" si="5"/>
        <v>0</v>
      </c>
      <c r="S42" s="87">
        <f t="shared" si="7"/>
        <v>0</v>
      </c>
      <c r="T42" s="87">
        <f t="shared" si="8"/>
        <v>0</v>
      </c>
      <c r="U42" s="87">
        <f t="shared" si="9"/>
        <v>0</v>
      </c>
      <c r="V42" s="87">
        <f t="shared" si="10"/>
        <v>0</v>
      </c>
      <c r="W42" s="120">
        <f t="shared" si="11"/>
        <v>0</v>
      </c>
    </row>
    <row r="43" spans="2:23">
      <c r="B43" s="116">
        <f>Amnt_Deposited!B38</f>
        <v>2024</v>
      </c>
      <c r="C43" s="119">
        <f>Amnt_Deposited!D38</f>
        <v>3.0550791618000002</v>
      </c>
      <c r="D43" s="453">
        <f>Dry_Matter_Content!E30</f>
        <v>0.44</v>
      </c>
      <c r="E43" s="319">
        <f>MCF!R42</f>
        <v>0.8</v>
      </c>
      <c r="F43" s="87">
        <f t="shared" si="0"/>
        <v>0.32261635948608003</v>
      </c>
      <c r="G43" s="87">
        <f t="shared" si="1"/>
        <v>0.32261635948608003</v>
      </c>
      <c r="H43" s="87">
        <f t="shared" si="2"/>
        <v>0</v>
      </c>
      <c r="I43" s="87">
        <f t="shared" si="3"/>
        <v>1.7422073377849203</v>
      </c>
      <c r="J43" s="87">
        <f t="shared" si="4"/>
        <v>0.26305709516939879</v>
      </c>
      <c r="K43" s="120">
        <f t="shared" si="6"/>
        <v>0.17537139677959918</v>
      </c>
      <c r="O43" s="116">
        <f>Amnt_Deposited!B38</f>
        <v>2024</v>
      </c>
      <c r="P43" s="119">
        <f>Amnt_Deposited!E38</f>
        <v>0</v>
      </c>
      <c r="Q43" s="319">
        <f>MCF!R42</f>
        <v>0.8</v>
      </c>
      <c r="R43" s="87">
        <f t="shared" si="5"/>
        <v>0</v>
      </c>
      <c r="S43" s="87">
        <f t="shared" si="7"/>
        <v>0</v>
      </c>
      <c r="T43" s="87">
        <f t="shared" si="8"/>
        <v>0</v>
      </c>
      <c r="U43" s="87">
        <f t="shared" si="9"/>
        <v>0</v>
      </c>
      <c r="V43" s="87">
        <f t="shared" si="10"/>
        <v>0</v>
      </c>
      <c r="W43" s="120">
        <f t="shared" si="11"/>
        <v>0</v>
      </c>
    </row>
    <row r="44" spans="2:23">
      <c r="B44" s="116">
        <f>Amnt_Deposited!B39</f>
        <v>2025</v>
      </c>
      <c r="C44" s="119">
        <f>Amnt_Deposited!D39</f>
        <v>3.1454219743200005</v>
      </c>
      <c r="D44" s="453">
        <f>Dry_Matter_Content!E31</f>
        <v>0.44</v>
      </c>
      <c r="E44" s="319">
        <f>MCF!R43</f>
        <v>0.8</v>
      </c>
      <c r="F44" s="87">
        <f t="shared" si="0"/>
        <v>0.33215656048819209</v>
      </c>
      <c r="G44" s="87">
        <f t="shared" si="1"/>
        <v>0.33215656048819209</v>
      </c>
      <c r="H44" s="87">
        <f t="shared" si="2"/>
        <v>0</v>
      </c>
      <c r="I44" s="87">
        <f t="shared" si="3"/>
        <v>1.801995594593381</v>
      </c>
      <c r="J44" s="87">
        <f t="shared" si="4"/>
        <v>0.27236830367973158</v>
      </c>
      <c r="K44" s="120">
        <f t="shared" si="6"/>
        <v>0.18157886911982105</v>
      </c>
      <c r="O44" s="116">
        <f>Amnt_Deposited!B39</f>
        <v>2025</v>
      </c>
      <c r="P44" s="119">
        <f>Amnt_Deposited!E39</f>
        <v>0</v>
      </c>
      <c r="Q44" s="319">
        <f>MCF!R43</f>
        <v>0.8</v>
      </c>
      <c r="R44" s="87">
        <f t="shared" si="5"/>
        <v>0</v>
      </c>
      <c r="S44" s="87">
        <f t="shared" si="7"/>
        <v>0</v>
      </c>
      <c r="T44" s="87">
        <f t="shared" si="8"/>
        <v>0</v>
      </c>
      <c r="U44" s="87">
        <f t="shared" si="9"/>
        <v>0</v>
      </c>
      <c r="V44" s="87">
        <f t="shared" si="10"/>
        <v>0</v>
      </c>
      <c r="W44" s="120">
        <f t="shared" si="11"/>
        <v>0</v>
      </c>
    </row>
    <row r="45" spans="2:23">
      <c r="B45" s="116">
        <f>Amnt_Deposited!B40</f>
        <v>2026</v>
      </c>
      <c r="C45" s="119">
        <f>Amnt_Deposited!D40</f>
        <v>3.2357647868400004</v>
      </c>
      <c r="D45" s="453">
        <f>Dry_Matter_Content!E32</f>
        <v>0.44</v>
      </c>
      <c r="E45" s="319">
        <f>MCF!R44</f>
        <v>0.8</v>
      </c>
      <c r="F45" s="87">
        <f t="shared" si="0"/>
        <v>0.34169676149030404</v>
      </c>
      <c r="G45" s="87">
        <f t="shared" si="1"/>
        <v>0.34169676149030404</v>
      </c>
      <c r="H45" s="87">
        <f t="shared" si="2"/>
        <v>0</v>
      </c>
      <c r="I45" s="87">
        <f t="shared" si="3"/>
        <v>1.8619770443104202</v>
      </c>
      <c r="J45" s="87">
        <f t="shared" si="4"/>
        <v>0.28171531177326481</v>
      </c>
      <c r="K45" s="120">
        <f t="shared" si="6"/>
        <v>0.1878102078488432</v>
      </c>
      <c r="O45" s="116">
        <f>Amnt_Deposited!B40</f>
        <v>2026</v>
      </c>
      <c r="P45" s="119">
        <f>Amnt_Deposited!E40</f>
        <v>0</v>
      </c>
      <c r="Q45" s="319">
        <f>MCF!R44</f>
        <v>0.8</v>
      </c>
      <c r="R45" s="87">
        <f t="shared" si="5"/>
        <v>0</v>
      </c>
      <c r="S45" s="87">
        <f t="shared" si="7"/>
        <v>0</v>
      </c>
      <c r="T45" s="87">
        <f t="shared" si="8"/>
        <v>0</v>
      </c>
      <c r="U45" s="87">
        <f t="shared" si="9"/>
        <v>0</v>
      </c>
      <c r="V45" s="87">
        <f t="shared" si="10"/>
        <v>0</v>
      </c>
      <c r="W45" s="120">
        <f t="shared" si="11"/>
        <v>0</v>
      </c>
    </row>
    <row r="46" spans="2:23">
      <c r="B46" s="116">
        <f>Amnt_Deposited!B41</f>
        <v>2027</v>
      </c>
      <c r="C46" s="119">
        <f>Amnt_Deposited!D41</f>
        <v>3.3261075993600007</v>
      </c>
      <c r="D46" s="453">
        <f>Dry_Matter_Content!E33</f>
        <v>0.44</v>
      </c>
      <c r="E46" s="319">
        <f>MCF!R45</f>
        <v>0.8</v>
      </c>
      <c r="F46" s="87">
        <f t="shared" si="0"/>
        <v>0.35123696249241609</v>
      </c>
      <c r="G46" s="87">
        <f t="shared" si="1"/>
        <v>0.35123696249241609</v>
      </c>
      <c r="H46" s="87">
        <f t="shared" si="2"/>
        <v>0</v>
      </c>
      <c r="I46" s="87">
        <f t="shared" si="3"/>
        <v>1.9221214840872434</v>
      </c>
      <c r="J46" s="87">
        <f t="shared" si="4"/>
        <v>0.29109252271559294</v>
      </c>
      <c r="K46" s="120">
        <f t="shared" si="6"/>
        <v>0.19406168181039529</v>
      </c>
      <c r="O46" s="116">
        <f>Amnt_Deposited!B41</f>
        <v>2027</v>
      </c>
      <c r="P46" s="119">
        <f>Amnt_Deposited!E41</f>
        <v>0</v>
      </c>
      <c r="Q46" s="319">
        <f>MCF!R45</f>
        <v>0.8</v>
      </c>
      <c r="R46" s="87">
        <f t="shared" si="5"/>
        <v>0</v>
      </c>
      <c r="S46" s="87">
        <f t="shared" si="7"/>
        <v>0</v>
      </c>
      <c r="T46" s="87">
        <f t="shared" si="8"/>
        <v>0</v>
      </c>
      <c r="U46" s="87">
        <f t="shared" si="9"/>
        <v>0</v>
      </c>
      <c r="V46" s="87">
        <f t="shared" si="10"/>
        <v>0</v>
      </c>
      <c r="W46" s="120">
        <f t="shared" si="11"/>
        <v>0</v>
      </c>
    </row>
    <row r="47" spans="2:23">
      <c r="B47" s="116">
        <f>Amnt_Deposited!B42</f>
        <v>2028</v>
      </c>
      <c r="C47" s="119">
        <f>Amnt_Deposited!D42</f>
        <v>3.4164504118800001</v>
      </c>
      <c r="D47" s="453">
        <f>Dry_Matter_Content!E34</f>
        <v>0.44</v>
      </c>
      <c r="E47" s="319">
        <f>MCF!R46</f>
        <v>0.8</v>
      </c>
      <c r="F47" s="87">
        <f t="shared" si="0"/>
        <v>0.36077716349452804</v>
      </c>
      <c r="G47" s="87">
        <f t="shared" si="1"/>
        <v>0.36077716349452804</v>
      </c>
      <c r="H47" s="87">
        <f t="shared" si="2"/>
        <v>0</v>
      </c>
      <c r="I47" s="87">
        <f t="shared" si="3"/>
        <v>1.9824034328429612</v>
      </c>
      <c r="J47" s="87">
        <f t="shared" si="4"/>
        <v>0.30049521473881036</v>
      </c>
      <c r="K47" s="120">
        <f t="shared" si="6"/>
        <v>0.20033014315920689</v>
      </c>
      <c r="O47" s="116">
        <f>Amnt_Deposited!B42</f>
        <v>2028</v>
      </c>
      <c r="P47" s="119">
        <f>Amnt_Deposited!E42</f>
        <v>0</v>
      </c>
      <c r="Q47" s="319">
        <f>MCF!R46</f>
        <v>0.8</v>
      </c>
      <c r="R47" s="87">
        <f t="shared" si="5"/>
        <v>0</v>
      </c>
      <c r="S47" s="87">
        <f t="shared" si="7"/>
        <v>0</v>
      </c>
      <c r="T47" s="87">
        <f t="shared" si="8"/>
        <v>0</v>
      </c>
      <c r="U47" s="87">
        <f t="shared" si="9"/>
        <v>0</v>
      </c>
      <c r="V47" s="87">
        <f t="shared" si="10"/>
        <v>0</v>
      </c>
      <c r="W47" s="120">
        <f t="shared" si="11"/>
        <v>0</v>
      </c>
    </row>
    <row r="48" spans="2:23">
      <c r="B48" s="116">
        <f>Amnt_Deposited!B43</f>
        <v>2029</v>
      </c>
      <c r="C48" s="119">
        <f>Amnt_Deposited!D43</f>
        <v>3.5067932244000004</v>
      </c>
      <c r="D48" s="453">
        <f>Dry_Matter_Content!E35</f>
        <v>0.44</v>
      </c>
      <c r="E48" s="319">
        <f>MCF!R47</f>
        <v>0.8</v>
      </c>
      <c r="F48" s="87">
        <f t="shared" si="0"/>
        <v>0.37031736449664004</v>
      </c>
      <c r="G48" s="87">
        <f t="shared" si="1"/>
        <v>0.37031736449664004</v>
      </c>
      <c r="H48" s="87">
        <f t="shared" si="2"/>
        <v>0</v>
      </c>
      <c r="I48" s="87">
        <f t="shared" si="3"/>
        <v>2.0428013930861382</v>
      </c>
      <c r="J48" s="87">
        <f t="shared" si="4"/>
        <v>0.30991940425346287</v>
      </c>
      <c r="K48" s="120">
        <f t="shared" si="6"/>
        <v>0.20661293616897525</v>
      </c>
      <c r="O48" s="116">
        <f>Amnt_Deposited!B43</f>
        <v>2029</v>
      </c>
      <c r="P48" s="119">
        <f>Amnt_Deposited!E43</f>
        <v>0</v>
      </c>
      <c r="Q48" s="319">
        <f>MCF!R47</f>
        <v>0.8</v>
      </c>
      <c r="R48" s="87">
        <f t="shared" si="5"/>
        <v>0</v>
      </c>
      <c r="S48" s="87">
        <f t="shared" si="7"/>
        <v>0</v>
      </c>
      <c r="T48" s="87">
        <f t="shared" si="8"/>
        <v>0</v>
      </c>
      <c r="U48" s="87">
        <f t="shared" si="9"/>
        <v>0</v>
      </c>
      <c r="V48" s="87">
        <f t="shared" si="10"/>
        <v>0</v>
      </c>
      <c r="W48" s="120">
        <f t="shared" si="11"/>
        <v>0</v>
      </c>
    </row>
    <row r="49" spans="2:23">
      <c r="B49" s="116">
        <f>Amnt_Deposited!B44</f>
        <v>2030</v>
      </c>
      <c r="C49" s="119">
        <f>Amnt_Deposited!D44</f>
        <v>3.5971360369200003</v>
      </c>
      <c r="D49" s="453">
        <f>Dry_Matter_Content!E36</f>
        <v>0.44</v>
      </c>
      <c r="E49" s="319">
        <f>MCF!R48</f>
        <v>0.8</v>
      </c>
      <c r="F49" s="87">
        <f t="shared" si="0"/>
        <v>0.37985756549875199</v>
      </c>
      <c r="G49" s="87">
        <f t="shared" si="1"/>
        <v>0.37985756549875199</v>
      </c>
      <c r="H49" s="87">
        <f t="shared" si="2"/>
        <v>0</v>
      </c>
      <c r="I49" s="87">
        <f t="shared" si="3"/>
        <v>2.1032972281396058</v>
      </c>
      <c r="J49" s="87">
        <f t="shared" si="4"/>
        <v>0.31936173044528426</v>
      </c>
      <c r="K49" s="120">
        <f t="shared" si="6"/>
        <v>0.21290782029685618</v>
      </c>
      <c r="O49" s="116">
        <f>Amnt_Deposited!B44</f>
        <v>2030</v>
      </c>
      <c r="P49" s="119">
        <f>Amnt_Deposited!E44</f>
        <v>0</v>
      </c>
      <c r="Q49" s="319">
        <f>MCF!R48</f>
        <v>0.8</v>
      </c>
      <c r="R49" s="87">
        <f t="shared" si="5"/>
        <v>0</v>
      </c>
      <c r="S49" s="87">
        <f t="shared" si="7"/>
        <v>0</v>
      </c>
      <c r="T49" s="87">
        <f t="shared" si="8"/>
        <v>0</v>
      </c>
      <c r="U49" s="87">
        <f t="shared" si="9"/>
        <v>0</v>
      </c>
      <c r="V49" s="87">
        <f t="shared" si="10"/>
        <v>0</v>
      </c>
      <c r="W49" s="120">
        <f t="shared" si="11"/>
        <v>0</v>
      </c>
    </row>
    <row r="50" spans="2:23">
      <c r="B50" s="116">
        <f>Amnt_Deposited!B45</f>
        <v>2031</v>
      </c>
      <c r="C50" s="119">
        <f>Amnt_Deposited!D45</f>
        <v>0</v>
      </c>
      <c r="D50" s="453">
        <f>Dry_Matter_Content!E37</f>
        <v>0.44</v>
      </c>
      <c r="E50" s="319">
        <f>MCF!R49</f>
        <v>0.8</v>
      </c>
      <c r="F50" s="87">
        <f t="shared" si="0"/>
        <v>0</v>
      </c>
      <c r="G50" s="87">
        <f t="shared" si="1"/>
        <v>0</v>
      </c>
      <c r="H50" s="87">
        <f t="shared" si="2"/>
        <v>0</v>
      </c>
      <c r="I50" s="87">
        <f t="shared" si="3"/>
        <v>1.7744778702260828</v>
      </c>
      <c r="J50" s="87">
        <f t="shared" si="4"/>
        <v>0.32881935791352307</v>
      </c>
      <c r="K50" s="120">
        <f t="shared" si="6"/>
        <v>0.21921290527568205</v>
      </c>
      <c r="O50" s="116">
        <f>Amnt_Deposited!B45</f>
        <v>2031</v>
      </c>
      <c r="P50" s="119">
        <f>Amnt_Deposited!E45</f>
        <v>0</v>
      </c>
      <c r="Q50" s="319">
        <f>MCF!R49</f>
        <v>0.8</v>
      </c>
      <c r="R50" s="87">
        <f t="shared" si="5"/>
        <v>0</v>
      </c>
      <c r="S50" s="87">
        <f t="shared" si="7"/>
        <v>0</v>
      </c>
      <c r="T50" s="87">
        <f t="shared" si="8"/>
        <v>0</v>
      </c>
      <c r="U50" s="87">
        <f t="shared" si="9"/>
        <v>0</v>
      </c>
      <c r="V50" s="87">
        <f t="shared" si="10"/>
        <v>0</v>
      </c>
      <c r="W50" s="120">
        <f t="shared" si="11"/>
        <v>0</v>
      </c>
    </row>
    <row r="51" spans="2:23">
      <c r="B51" s="116">
        <f>Amnt_Deposited!B46</f>
        <v>2032</v>
      </c>
      <c r="C51" s="119">
        <f>Amnt_Deposited!D46</f>
        <v>0</v>
      </c>
      <c r="D51" s="453">
        <f>Dry_Matter_Content!E38</f>
        <v>0.44</v>
      </c>
      <c r="E51" s="319">
        <f>MCF!R50</f>
        <v>0.8</v>
      </c>
      <c r="F51" s="87">
        <f t="shared" si="0"/>
        <v>0</v>
      </c>
      <c r="G51" s="87">
        <f t="shared" si="1"/>
        <v>0</v>
      </c>
      <c r="H51" s="87">
        <f t="shared" si="2"/>
        <v>0</v>
      </c>
      <c r="I51" s="87">
        <f t="shared" si="3"/>
        <v>1.4970645469386297</v>
      </c>
      <c r="J51" s="87">
        <f t="shared" si="4"/>
        <v>0.27741332328745311</v>
      </c>
      <c r="K51" s="120">
        <f t="shared" si="6"/>
        <v>0.18494221552496873</v>
      </c>
      <c r="O51" s="116">
        <f>Amnt_Deposited!B46</f>
        <v>2032</v>
      </c>
      <c r="P51" s="119">
        <f>Amnt_Deposited!E46</f>
        <v>0</v>
      </c>
      <c r="Q51" s="319">
        <f>MCF!R50</f>
        <v>0.8</v>
      </c>
      <c r="R51" s="87">
        <f t="shared" si="5"/>
        <v>0</v>
      </c>
      <c r="S51" s="87">
        <f t="shared" si="7"/>
        <v>0</v>
      </c>
      <c r="T51" s="87">
        <f t="shared" si="8"/>
        <v>0</v>
      </c>
      <c r="U51" s="87">
        <f t="shared" si="9"/>
        <v>0</v>
      </c>
      <c r="V51" s="87">
        <f t="shared" si="10"/>
        <v>0</v>
      </c>
      <c r="W51" s="120">
        <f t="shared" si="11"/>
        <v>0</v>
      </c>
    </row>
    <row r="52" spans="2:23">
      <c r="B52" s="116">
        <f>Amnt_Deposited!B47</f>
        <v>2033</v>
      </c>
      <c r="C52" s="119">
        <f>Amnt_Deposited!D47</f>
        <v>0</v>
      </c>
      <c r="D52" s="453">
        <f>Dry_Matter_Content!E39</f>
        <v>0.44</v>
      </c>
      <c r="E52" s="319">
        <f>MCF!R51</f>
        <v>0.8</v>
      </c>
      <c r="F52" s="87">
        <f t="shared" si="0"/>
        <v>0</v>
      </c>
      <c r="G52" s="87">
        <f t="shared" si="1"/>
        <v>0</v>
      </c>
      <c r="H52" s="87">
        <f t="shared" si="2"/>
        <v>0</v>
      </c>
      <c r="I52" s="87">
        <f t="shared" si="3"/>
        <v>1.2630206864259272</v>
      </c>
      <c r="J52" s="87">
        <f t="shared" si="4"/>
        <v>0.2340438605127024</v>
      </c>
      <c r="K52" s="120">
        <f t="shared" si="6"/>
        <v>0.1560292403418016</v>
      </c>
      <c r="O52" s="116">
        <f>Amnt_Deposited!B47</f>
        <v>2033</v>
      </c>
      <c r="P52" s="119">
        <f>Amnt_Deposited!E47</f>
        <v>0</v>
      </c>
      <c r="Q52" s="319">
        <f>MCF!R51</f>
        <v>0.8</v>
      </c>
      <c r="R52" s="87">
        <f t="shared" si="5"/>
        <v>0</v>
      </c>
      <c r="S52" s="87">
        <f t="shared" si="7"/>
        <v>0</v>
      </c>
      <c r="T52" s="87">
        <f t="shared" si="8"/>
        <v>0</v>
      </c>
      <c r="U52" s="87">
        <f t="shared" si="9"/>
        <v>0</v>
      </c>
      <c r="V52" s="87">
        <f t="shared" si="10"/>
        <v>0</v>
      </c>
      <c r="W52" s="120">
        <f t="shared" si="11"/>
        <v>0</v>
      </c>
    </row>
    <row r="53" spans="2:23">
      <c r="B53" s="116">
        <f>Amnt_Deposited!B48</f>
        <v>2034</v>
      </c>
      <c r="C53" s="119">
        <f>Amnt_Deposited!D48</f>
        <v>0</v>
      </c>
      <c r="D53" s="453">
        <f>Dry_Matter_Content!E40</f>
        <v>0.44</v>
      </c>
      <c r="E53" s="319">
        <f>MCF!R52</f>
        <v>0.8</v>
      </c>
      <c r="F53" s="87">
        <f t="shared" si="0"/>
        <v>0</v>
      </c>
      <c r="G53" s="87">
        <f t="shared" si="1"/>
        <v>0</v>
      </c>
      <c r="H53" s="87">
        <f t="shared" si="2"/>
        <v>0</v>
      </c>
      <c r="I53" s="87">
        <f t="shared" si="3"/>
        <v>1.0655661157709686</v>
      </c>
      <c r="J53" s="87">
        <f t="shared" si="4"/>
        <v>0.19745457065495869</v>
      </c>
      <c r="K53" s="120">
        <f t="shared" si="6"/>
        <v>0.13163638043663911</v>
      </c>
      <c r="O53" s="116">
        <f>Amnt_Deposited!B48</f>
        <v>2034</v>
      </c>
      <c r="P53" s="119">
        <f>Amnt_Deposited!E48</f>
        <v>0</v>
      </c>
      <c r="Q53" s="319">
        <f>MCF!R52</f>
        <v>0.8</v>
      </c>
      <c r="R53" s="87">
        <f t="shared" si="5"/>
        <v>0</v>
      </c>
      <c r="S53" s="87">
        <f t="shared" si="7"/>
        <v>0</v>
      </c>
      <c r="T53" s="87">
        <f t="shared" si="8"/>
        <v>0</v>
      </c>
      <c r="U53" s="87">
        <f t="shared" si="9"/>
        <v>0</v>
      </c>
      <c r="V53" s="87">
        <f t="shared" si="10"/>
        <v>0</v>
      </c>
      <c r="W53" s="120">
        <f t="shared" si="11"/>
        <v>0</v>
      </c>
    </row>
    <row r="54" spans="2:23">
      <c r="B54" s="116">
        <f>Amnt_Deposited!B49</f>
        <v>2035</v>
      </c>
      <c r="C54" s="119">
        <f>Amnt_Deposited!D49</f>
        <v>0</v>
      </c>
      <c r="D54" s="453">
        <f>Dry_Matter_Content!E41</f>
        <v>0.44</v>
      </c>
      <c r="E54" s="319">
        <f>MCF!R53</f>
        <v>0.8</v>
      </c>
      <c r="F54" s="87">
        <f t="shared" si="0"/>
        <v>0</v>
      </c>
      <c r="G54" s="87">
        <f t="shared" si="1"/>
        <v>0</v>
      </c>
      <c r="H54" s="87">
        <f t="shared" si="2"/>
        <v>0</v>
      </c>
      <c r="I54" s="87">
        <f t="shared" si="3"/>
        <v>0.89898064163323521</v>
      </c>
      <c r="J54" s="87">
        <f t="shared" si="4"/>
        <v>0.16658547413773342</v>
      </c>
      <c r="K54" s="120">
        <f t="shared" si="6"/>
        <v>0.11105698275848894</v>
      </c>
      <c r="O54" s="116">
        <f>Amnt_Deposited!B49</f>
        <v>2035</v>
      </c>
      <c r="P54" s="119">
        <f>Amnt_Deposited!E49</f>
        <v>0</v>
      </c>
      <c r="Q54" s="319">
        <f>MCF!R53</f>
        <v>0.8</v>
      </c>
      <c r="R54" s="87">
        <f t="shared" si="5"/>
        <v>0</v>
      </c>
      <c r="S54" s="87">
        <f t="shared" si="7"/>
        <v>0</v>
      </c>
      <c r="T54" s="87">
        <f t="shared" si="8"/>
        <v>0</v>
      </c>
      <c r="U54" s="87">
        <f t="shared" si="9"/>
        <v>0</v>
      </c>
      <c r="V54" s="87">
        <f t="shared" si="10"/>
        <v>0</v>
      </c>
      <c r="W54" s="120">
        <f t="shared" si="11"/>
        <v>0</v>
      </c>
    </row>
    <row r="55" spans="2:23">
      <c r="B55" s="116">
        <f>Amnt_Deposited!B50</f>
        <v>2036</v>
      </c>
      <c r="C55" s="119">
        <f>Amnt_Deposited!D50</f>
        <v>0</v>
      </c>
      <c r="D55" s="453">
        <f>Dry_Matter_Content!E42</f>
        <v>0.44</v>
      </c>
      <c r="E55" s="319">
        <f>MCF!R54</f>
        <v>0.8</v>
      </c>
      <c r="F55" s="87">
        <f t="shared" si="0"/>
        <v>0</v>
      </c>
      <c r="G55" s="87">
        <f t="shared" si="1"/>
        <v>0</v>
      </c>
      <c r="H55" s="87">
        <f t="shared" si="2"/>
        <v>0</v>
      </c>
      <c r="I55" s="87">
        <f t="shared" si="3"/>
        <v>0.75843833814720274</v>
      </c>
      <c r="J55" s="87">
        <f t="shared" si="4"/>
        <v>0.14054230348603247</v>
      </c>
      <c r="K55" s="120">
        <f t="shared" si="6"/>
        <v>9.369486899068831E-2</v>
      </c>
      <c r="O55" s="116">
        <f>Amnt_Deposited!B50</f>
        <v>2036</v>
      </c>
      <c r="P55" s="119">
        <f>Amnt_Deposited!E50</f>
        <v>0</v>
      </c>
      <c r="Q55" s="319">
        <f>MCF!R54</f>
        <v>0.8</v>
      </c>
      <c r="R55" s="87">
        <f t="shared" si="5"/>
        <v>0</v>
      </c>
      <c r="S55" s="87">
        <f t="shared" si="7"/>
        <v>0</v>
      </c>
      <c r="T55" s="87">
        <f t="shared" si="8"/>
        <v>0</v>
      </c>
      <c r="U55" s="87">
        <f t="shared" si="9"/>
        <v>0</v>
      </c>
      <c r="V55" s="87">
        <f t="shared" si="10"/>
        <v>0</v>
      </c>
      <c r="W55" s="120">
        <f t="shared" si="11"/>
        <v>0</v>
      </c>
    </row>
    <row r="56" spans="2:23">
      <c r="B56" s="116">
        <f>Amnt_Deposited!B51</f>
        <v>2037</v>
      </c>
      <c r="C56" s="119">
        <f>Amnt_Deposited!D51</f>
        <v>0</v>
      </c>
      <c r="D56" s="453">
        <f>Dry_Matter_Content!E43</f>
        <v>0.44</v>
      </c>
      <c r="E56" s="319">
        <f>MCF!R55</f>
        <v>0.8</v>
      </c>
      <c r="F56" s="87">
        <f t="shared" si="0"/>
        <v>0</v>
      </c>
      <c r="G56" s="87">
        <f t="shared" si="1"/>
        <v>0</v>
      </c>
      <c r="H56" s="87">
        <f t="shared" si="2"/>
        <v>0</v>
      </c>
      <c r="I56" s="87">
        <f t="shared" si="3"/>
        <v>0.63986774145262582</v>
      </c>
      <c r="J56" s="87">
        <f t="shared" si="4"/>
        <v>0.1185705966945769</v>
      </c>
      <c r="K56" s="120">
        <f t="shared" si="6"/>
        <v>7.9047064463051264E-2</v>
      </c>
      <c r="O56" s="116">
        <f>Amnt_Deposited!B51</f>
        <v>2037</v>
      </c>
      <c r="P56" s="119">
        <f>Amnt_Deposited!E51</f>
        <v>0</v>
      </c>
      <c r="Q56" s="319">
        <f>MCF!R55</f>
        <v>0.8</v>
      </c>
      <c r="R56" s="87">
        <f t="shared" si="5"/>
        <v>0</v>
      </c>
      <c r="S56" s="87">
        <f t="shared" si="7"/>
        <v>0</v>
      </c>
      <c r="T56" s="87">
        <f t="shared" si="8"/>
        <v>0</v>
      </c>
      <c r="U56" s="87">
        <f t="shared" si="9"/>
        <v>0</v>
      </c>
      <c r="V56" s="87">
        <f t="shared" si="10"/>
        <v>0</v>
      </c>
      <c r="W56" s="120">
        <f t="shared" si="11"/>
        <v>0</v>
      </c>
    </row>
    <row r="57" spans="2:23">
      <c r="B57" s="116">
        <f>Amnt_Deposited!B52</f>
        <v>2038</v>
      </c>
      <c r="C57" s="119">
        <f>Amnt_Deposited!D52</f>
        <v>0</v>
      </c>
      <c r="D57" s="453">
        <f>Dry_Matter_Content!E44</f>
        <v>0.44</v>
      </c>
      <c r="E57" s="319">
        <f>MCF!R56</f>
        <v>0.8</v>
      </c>
      <c r="F57" s="87">
        <f t="shared" si="0"/>
        <v>0</v>
      </c>
      <c r="G57" s="87">
        <f t="shared" si="1"/>
        <v>0</v>
      </c>
      <c r="H57" s="87">
        <f t="shared" si="2"/>
        <v>0</v>
      </c>
      <c r="I57" s="87">
        <f t="shared" si="3"/>
        <v>0.53983390073857185</v>
      </c>
      <c r="J57" s="87">
        <f t="shared" si="4"/>
        <v>0.100033840714054</v>
      </c>
      <c r="K57" s="120">
        <f t="shared" si="6"/>
        <v>6.6689227142702659E-2</v>
      </c>
      <c r="O57" s="116">
        <f>Amnt_Deposited!B52</f>
        <v>2038</v>
      </c>
      <c r="P57" s="119">
        <f>Amnt_Deposited!E52</f>
        <v>0</v>
      </c>
      <c r="Q57" s="319">
        <f>MCF!R56</f>
        <v>0.8</v>
      </c>
      <c r="R57" s="87">
        <f t="shared" si="5"/>
        <v>0</v>
      </c>
      <c r="S57" s="87">
        <f t="shared" si="7"/>
        <v>0</v>
      </c>
      <c r="T57" s="87">
        <f t="shared" si="8"/>
        <v>0</v>
      </c>
      <c r="U57" s="87">
        <f t="shared" si="9"/>
        <v>0</v>
      </c>
      <c r="V57" s="87">
        <f t="shared" si="10"/>
        <v>0</v>
      </c>
      <c r="W57" s="120">
        <f t="shared" si="11"/>
        <v>0</v>
      </c>
    </row>
    <row r="58" spans="2:23">
      <c r="B58" s="116">
        <f>Amnt_Deposited!B53</f>
        <v>2039</v>
      </c>
      <c r="C58" s="119">
        <f>Amnt_Deposited!D53</f>
        <v>0</v>
      </c>
      <c r="D58" s="453">
        <f>Dry_Matter_Content!E45</f>
        <v>0.44</v>
      </c>
      <c r="E58" s="319">
        <f>MCF!R57</f>
        <v>0.8</v>
      </c>
      <c r="F58" s="87">
        <f t="shared" si="0"/>
        <v>0</v>
      </c>
      <c r="G58" s="87">
        <f t="shared" si="1"/>
        <v>0</v>
      </c>
      <c r="H58" s="87">
        <f t="shared" si="2"/>
        <v>0</v>
      </c>
      <c r="I58" s="87">
        <f t="shared" si="3"/>
        <v>0.45543886885911761</v>
      </c>
      <c r="J58" s="87">
        <f t="shared" si="4"/>
        <v>8.4395031879454227E-2</v>
      </c>
      <c r="K58" s="120">
        <f t="shared" si="6"/>
        <v>5.6263354586302813E-2</v>
      </c>
      <c r="O58" s="116">
        <f>Amnt_Deposited!B53</f>
        <v>2039</v>
      </c>
      <c r="P58" s="119">
        <f>Amnt_Deposited!E53</f>
        <v>0</v>
      </c>
      <c r="Q58" s="319">
        <f>MCF!R57</f>
        <v>0.8</v>
      </c>
      <c r="R58" s="87">
        <f t="shared" si="5"/>
        <v>0</v>
      </c>
      <c r="S58" s="87">
        <f t="shared" si="7"/>
        <v>0</v>
      </c>
      <c r="T58" s="87">
        <f t="shared" si="8"/>
        <v>0</v>
      </c>
      <c r="U58" s="87">
        <f t="shared" si="9"/>
        <v>0</v>
      </c>
      <c r="V58" s="87">
        <f t="shared" si="10"/>
        <v>0</v>
      </c>
      <c r="W58" s="120">
        <f t="shared" si="11"/>
        <v>0</v>
      </c>
    </row>
    <row r="59" spans="2:23">
      <c r="B59" s="116">
        <f>Amnt_Deposited!B54</f>
        <v>2040</v>
      </c>
      <c r="C59" s="119">
        <f>Amnt_Deposited!D54</f>
        <v>0</v>
      </c>
      <c r="D59" s="453">
        <f>Dry_Matter_Content!E46</f>
        <v>0.44</v>
      </c>
      <c r="E59" s="319">
        <f>MCF!R58</f>
        <v>0.8</v>
      </c>
      <c r="F59" s="87">
        <f t="shared" si="0"/>
        <v>0</v>
      </c>
      <c r="G59" s="87">
        <f t="shared" si="1"/>
        <v>0</v>
      </c>
      <c r="H59" s="87">
        <f t="shared" si="2"/>
        <v>0</v>
      </c>
      <c r="I59" s="87">
        <f t="shared" si="3"/>
        <v>0.3842377497668919</v>
      </c>
      <c r="J59" s="87">
        <f t="shared" si="4"/>
        <v>7.1201119092225706E-2</v>
      </c>
      <c r="K59" s="120">
        <f t="shared" si="6"/>
        <v>4.7467412728150471E-2</v>
      </c>
      <c r="O59" s="116">
        <f>Amnt_Deposited!B54</f>
        <v>2040</v>
      </c>
      <c r="P59" s="119">
        <f>Amnt_Deposited!E54</f>
        <v>0</v>
      </c>
      <c r="Q59" s="319">
        <f>MCF!R58</f>
        <v>0.8</v>
      </c>
      <c r="R59" s="87">
        <f t="shared" si="5"/>
        <v>0</v>
      </c>
      <c r="S59" s="87">
        <f t="shared" si="7"/>
        <v>0</v>
      </c>
      <c r="T59" s="87">
        <f t="shared" si="8"/>
        <v>0</v>
      </c>
      <c r="U59" s="87">
        <f t="shared" si="9"/>
        <v>0</v>
      </c>
      <c r="V59" s="87">
        <f t="shared" si="10"/>
        <v>0</v>
      </c>
      <c r="W59" s="120">
        <f t="shared" si="11"/>
        <v>0</v>
      </c>
    </row>
    <row r="60" spans="2:23">
      <c r="B60" s="116">
        <f>Amnt_Deposited!B55</f>
        <v>2041</v>
      </c>
      <c r="C60" s="119">
        <f>Amnt_Deposited!D55</f>
        <v>0</v>
      </c>
      <c r="D60" s="453">
        <f>Dry_Matter_Content!E47</f>
        <v>0.44</v>
      </c>
      <c r="E60" s="319">
        <f>MCF!R59</f>
        <v>0.8</v>
      </c>
      <c r="F60" s="87">
        <f t="shared" si="0"/>
        <v>0</v>
      </c>
      <c r="G60" s="87">
        <f t="shared" si="1"/>
        <v>0</v>
      </c>
      <c r="H60" s="87">
        <f t="shared" si="2"/>
        <v>0</v>
      </c>
      <c r="I60" s="87">
        <f t="shared" si="3"/>
        <v>0.32416787068649205</v>
      </c>
      <c r="J60" s="87">
        <f t="shared" si="4"/>
        <v>6.0069879080399867E-2</v>
      </c>
      <c r="K60" s="120">
        <f t="shared" si="6"/>
        <v>4.0046586053599911E-2</v>
      </c>
      <c r="O60" s="116">
        <f>Amnt_Deposited!B55</f>
        <v>2041</v>
      </c>
      <c r="P60" s="119">
        <f>Amnt_Deposited!E55</f>
        <v>0</v>
      </c>
      <c r="Q60" s="319">
        <f>MCF!R59</f>
        <v>0.8</v>
      </c>
      <c r="R60" s="87">
        <f t="shared" si="5"/>
        <v>0</v>
      </c>
      <c r="S60" s="87">
        <f t="shared" si="7"/>
        <v>0</v>
      </c>
      <c r="T60" s="87">
        <f t="shared" si="8"/>
        <v>0</v>
      </c>
      <c r="U60" s="87">
        <f t="shared" si="9"/>
        <v>0</v>
      </c>
      <c r="V60" s="87">
        <f t="shared" si="10"/>
        <v>0</v>
      </c>
      <c r="W60" s="120">
        <f t="shared" si="11"/>
        <v>0</v>
      </c>
    </row>
    <row r="61" spans="2:23">
      <c r="B61" s="116">
        <f>Amnt_Deposited!B56</f>
        <v>2042</v>
      </c>
      <c r="C61" s="119">
        <f>Amnt_Deposited!D56</f>
        <v>0</v>
      </c>
      <c r="D61" s="453">
        <f>Dry_Matter_Content!E48</f>
        <v>0.44</v>
      </c>
      <c r="E61" s="319">
        <f>MCF!R60</f>
        <v>0.8</v>
      </c>
      <c r="F61" s="87">
        <f t="shared" si="0"/>
        <v>0</v>
      </c>
      <c r="G61" s="87">
        <f t="shared" si="1"/>
        <v>0</v>
      </c>
      <c r="H61" s="87">
        <f t="shared" si="2"/>
        <v>0</v>
      </c>
      <c r="I61" s="87">
        <f t="shared" si="3"/>
        <v>0.27348902716915957</v>
      </c>
      <c r="J61" s="87">
        <f t="shared" si="4"/>
        <v>5.0678843517332504E-2</v>
      </c>
      <c r="K61" s="120">
        <f t="shared" si="6"/>
        <v>3.378589567822167E-2</v>
      </c>
      <c r="O61" s="116">
        <f>Amnt_Deposited!B56</f>
        <v>2042</v>
      </c>
      <c r="P61" s="119">
        <f>Amnt_Deposited!E56</f>
        <v>0</v>
      </c>
      <c r="Q61" s="319">
        <f>MCF!R60</f>
        <v>0.8</v>
      </c>
      <c r="R61" s="87">
        <f t="shared" si="5"/>
        <v>0</v>
      </c>
      <c r="S61" s="87">
        <f t="shared" si="7"/>
        <v>0</v>
      </c>
      <c r="T61" s="87">
        <f t="shared" si="8"/>
        <v>0</v>
      </c>
      <c r="U61" s="87">
        <f t="shared" si="9"/>
        <v>0</v>
      </c>
      <c r="V61" s="87">
        <f t="shared" si="10"/>
        <v>0</v>
      </c>
      <c r="W61" s="120">
        <f t="shared" si="11"/>
        <v>0</v>
      </c>
    </row>
    <row r="62" spans="2:23">
      <c r="B62" s="116">
        <f>Amnt_Deposited!B57</f>
        <v>2043</v>
      </c>
      <c r="C62" s="119">
        <f>Amnt_Deposited!D57</f>
        <v>0</v>
      </c>
      <c r="D62" s="453">
        <f>Dry_Matter_Content!E49</f>
        <v>0.44</v>
      </c>
      <c r="E62" s="319">
        <f>MCF!R61</f>
        <v>0.8</v>
      </c>
      <c r="F62" s="87">
        <f t="shared" si="0"/>
        <v>0</v>
      </c>
      <c r="G62" s="87">
        <f t="shared" si="1"/>
        <v>0</v>
      </c>
      <c r="H62" s="87">
        <f t="shared" si="2"/>
        <v>0</v>
      </c>
      <c r="I62" s="87">
        <f t="shared" si="3"/>
        <v>0.23073306994779241</v>
      </c>
      <c r="J62" s="87">
        <f t="shared" si="4"/>
        <v>4.2755957221367165E-2</v>
      </c>
      <c r="K62" s="120">
        <f t="shared" si="6"/>
        <v>2.8503971480911442E-2</v>
      </c>
      <c r="O62" s="116">
        <f>Amnt_Deposited!B57</f>
        <v>2043</v>
      </c>
      <c r="P62" s="119">
        <f>Amnt_Deposited!E57</f>
        <v>0</v>
      </c>
      <c r="Q62" s="319">
        <f>MCF!R61</f>
        <v>0.8</v>
      </c>
      <c r="R62" s="87">
        <f t="shared" si="5"/>
        <v>0</v>
      </c>
      <c r="S62" s="87">
        <f t="shared" si="7"/>
        <v>0</v>
      </c>
      <c r="T62" s="87">
        <f t="shared" si="8"/>
        <v>0</v>
      </c>
      <c r="U62" s="87">
        <f t="shared" si="9"/>
        <v>0</v>
      </c>
      <c r="V62" s="87">
        <f t="shared" si="10"/>
        <v>0</v>
      </c>
      <c r="W62" s="120">
        <f t="shared" si="11"/>
        <v>0</v>
      </c>
    </row>
    <row r="63" spans="2:23">
      <c r="B63" s="116">
        <f>Amnt_Deposited!B58</f>
        <v>2044</v>
      </c>
      <c r="C63" s="119">
        <f>Amnt_Deposited!D58</f>
        <v>0</v>
      </c>
      <c r="D63" s="453">
        <f>Dry_Matter_Content!E50</f>
        <v>0.44</v>
      </c>
      <c r="E63" s="319">
        <f>MCF!R62</f>
        <v>0.8</v>
      </c>
      <c r="F63" s="87">
        <f t="shared" si="0"/>
        <v>0</v>
      </c>
      <c r="G63" s="87">
        <f t="shared" si="1"/>
        <v>0</v>
      </c>
      <c r="H63" s="87">
        <f t="shared" si="2"/>
        <v>0</v>
      </c>
      <c r="I63" s="87">
        <f t="shared" si="3"/>
        <v>0.19466137314022486</v>
      </c>
      <c r="J63" s="87">
        <f t="shared" si="4"/>
        <v>3.6071696807567555E-2</v>
      </c>
      <c r="K63" s="120">
        <f t="shared" si="6"/>
        <v>2.4047797871711702E-2</v>
      </c>
      <c r="O63" s="116">
        <f>Amnt_Deposited!B58</f>
        <v>2044</v>
      </c>
      <c r="P63" s="119">
        <f>Amnt_Deposited!E58</f>
        <v>0</v>
      </c>
      <c r="Q63" s="319">
        <f>MCF!R62</f>
        <v>0.8</v>
      </c>
      <c r="R63" s="87">
        <f t="shared" si="5"/>
        <v>0</v>
      </c>
      <c r="S63" s="87">
        <f t="shared" si="7"/>
        <v>0</v>
      </c>
      <c r="T63" s="87">
        <f t="shared" si="8"/>
        <v>0</v>
      </c>
      <c r="U63" s="87">
        <f t="shared" si="9"/>
        <v>0</v>
      </c>
      <c r="V63" s="87">
        <f t="shared" si="10"/>
        <v>0</v>
      </c>
      <c r="W63" s="120">
        <f t="shared" si="11"/>
        <v>0</v>
      </c>
    </row>
    <row r="64" spans="2:23">
      <c r="B64" s="116">
        <f>Amnt_Deposited!B59</f>
        <v>2045</v>
      </c>
      <c r="C64" s="119">
        <f>Amnt_Deposited!D59</f>
        <v>0</v>
      </c>
      <c r="D64" s="453">
        <f>Dry_Matter_Content!E51</f>
        <v>0.44</v>
      </c>
      <c r="E64" s="319">
        <f>MCF!R63</f>
        <v>0.8</v>
      </c>
      <c r="F64" s="87">
        <f t="shared" si="0"/>
        <v>0</v>
      </c>
      <c r="G64" s="87">
        <f t="shared" si="1"/>
        <v>0</v>
      </c>
      <c r="H64" s="87">
        <f t="shared" si="2"/>
        <v>0</v>
      </c>
      <c r="I64" s="87">
        <f t="shared" si="3"/>
        <v>0.16422895166874801</v>
      </c>
      <c r="J64" s="87">
        <f t="shared" si="4"/>
        <v>3.0432421471476841E-2</v>
      </c>
      <c r="K64" s="120">
        <f t="shared" si="6"/>
        <v>2.028828098098456E-2</v>
      </c>
      <c r="O64" s="116">
        <f>Amnt_Deposited!B59</f>
        <v>2045</v>
      </c>
      <c r="P64" s="119">
        <f>Amnt_Deposited!E59</f>
        <v>0</v>
      </c>
      <c r="Q64" s="319">
        <f>MCF!R63</f>
        <v>0.8</v>
      </c>
      <c r="R64" s="87">
        <f t="shared" si="5"/>
        <v>0</v>
      </c>
      <c r="S64" s="87">
        <f t="shared" si="7"/>
        <v>0</v>
      </c>
      <c r="T64" s="87">
        <f t="shared" si="8"/>
        <v>0</v>
      </c>
      <c r="U64" s="87">
        <f t="shared" si="9"/>
        <v>0</v>
      </c>
      <c r="V64" s="87">
        <f t="shared" si="10"/>
        <v>0</v>
      </c>
      <c r="W64" s="120">
        <f t="shared" si="11"/>
        <v>0</v>
      </c>
    </row>
    <row r="65" spans="2:23">
      <c r="B65" s="116">
        <f>Amnt_Deposited!B60</f>
        <v>2046</v>
      </c>
      <c r="C65" s="119">
        <f>Amnt_Deposited!D60</f>
        <v>0</v>
      </c>
      <c r="D65" s="453">
        <f>Dry_Matter_Content!E52</f>
        <v>0.44</v>
      </c>
      <c r="E65" s="319">
        <f>MCF!R64</f>
        <v>0.8</v>
      </c>
      <c r="F65" s="87">
        <f t="shared" si="0"/>
        <v>0</v>
      </c>
      <c r="G65" s="87">
        <f t="shared" si="1"/>
        <v>0</v>
      </c>
      <c r="H65" s="87">
        <f t="shared" si="2"/>
        <v>0</v>
      </c>
      <c r="I65" s="87">
        <f t="shared" si="3"/>
        <v>0.13855418838943065</v>
      </c>
      <c r="J65" s="87">
        <f t="shared" si="4"/>
        <v>2.5674763279317357E-2</v>
      </c>
      <c r="K65" s="120">
        <f t="shared" si="6"/>
        <v>1.7116508852878236E-2</v>
      </c>
      <c r="O65" s="116">
        <f>Amnt_Deposited!B60</f>
        <v>2046</v>
      </c>
      <c r="P65" s="119">
        <f>Amnt_Deposited!E60</f>
        <v>0</v>
      </c>
      <c r="Q65" s="319">
        <f>MCF!R64</f>
        <v>0.8</v>
      </c>
      <c r="R65" s="87">
        <f t="shared" si="5"/>
        <v>0</v>
      </c>
      <c r="S65" s="87">
        <f t="shared" si="7"/>
        <v>0</v>
      </c>
      <c r="T65" s="87">
        <f t="shared" si="8"/>
        <v>0</v>
      </c>
      <c r="U65" s="87">
        <f t="shared" si="9"/>
        <v>0</v>
      </c>
      <c r="V65" s="87">
        <f t="shared" si="10"/>
        <v>0</v>
      </c>
      <c r="W65" s="120">
        <f t="shared" si="11"/>
        <v>0</v>
      </c>
    </row>
    <row r="66" spans="2:23">
      <c r="B66" s="116">
        <f>Amnt_Deposited!B61</f>
        <v>2047</v>
      </c>
      <c r="C66" s="119">
        <f>Amnt_Deposited!D61</f>
        <v>0</v>
      </c>
      <c r="D66" s="453">
        <f>Dry_Matter_Content!E53</f>
        <v>0.44</v>
      </c>
      <c r="E66" s="319">
        <f>MCF!R65</f>
        <v>0.8</v>
      </c>
      <c r="F66" s="87">
        <f t="shared" si="0"/>
        <v>0</v>
      </c>
      <c r="G66" s="87">
        <f t="shared" si="1"/>
        <v>0</v>
      </c>
      <c r="H66" s="87">
        <f t="shared" si="2"/>
        <v>0</v>
      </c>
      <c r="I66" s="87">
        <f t="shared" si="3"/>
        <v>0.11689329393622981</v>
      </c>
      <c r="J66" s="87">
        <f t="shared" si="4"/>
        <v>2.1660894453200845E-2</v>
      </c>
      <c r="K66" s="120">
        <f t="shared" si="6"/>
        <v>1.4440596302133896E-2</v>
      </c>
      <c r="O66" s="116">
        <f>Amnt_Deposited!B61</f>
        <v>2047</v>
      </c>
      <c r="P66" s="119">
        <f>Amnt_Deposited!E61</f>
        <v>0</v>
      </c>
      <c r="Q66" s="319">
        <f>MCF!R65</f>
        <v>0.8</v>
      </c>
      <c r="R66" s="87">
        <f t="shared" si="5"/>
        <v>0</v>
      </c>
      <c r="S66" s="87">
        <f t="shared" si="7"/>
        <v>0</v>
      </c>
      <c r="T66" s="87">
        <f t="shared" si="8"/>
        <v>0</v>
      </c>
      <c r="U66" s="87">
        <f t="shared" si="9"/>
        <v>0</v>
      </c>
      <c r="V66" s="87">
        <f t="shared" si="10"/>
        <v>0</v>
      </c>
      <c r="W66" s="120">
        <f t="shared" si="11"/>
        <v>0</v>
      </c>
    </row>
    <row r="67" spans="2:23">
      <c r="B67" s="116">
        <f>Amnt_Deposited!B62</f>
        <v>2048</v>
      </c>
      <c r="C67" s="119">
        <f>Amnt_Deposited!D62</f>
        <v>0</v>
      </c>
      <c r="D67" s="453">
        <f>Dry_Matter_Content!E54</f>
        <v>0.44</v>
      </c>
      <c r="E67" s="319">
        <f>MCF!R66</f>
        <v>0.8</v>
      </c>
      <c r="F67" s="87">
        <f t="shared" si="0"/>
        <v>0</v>
      </c>
      <c r="G67" s="87">
        <f t="shared" si="1"/>
        <v>0</v>
      </c>
      <c r="H67" s="87">
        <f t="shared" si="2"/>
        <v>0</v>
      </c>
      <c r="I67" s="87">
        <f t="shared" si="3"/>
        <v>9.8618759390056501E-2</v>
      </c>
      <c r="J67" s="87">
        <f t="shared" si="4"/>
        <v>1.8274534546173317E-2</v>
      </c>
      <c r="K67" s="120">
        <f t="shared" si="6"/>
        <v>1.2183023030782211E-2</v>
      </c>
      <c r="O67" s="116">
        <f>Amnt_Deposited!B62</f>
        <v>2048</v>
      </c>
      <c r="P67" s="119">
        <f>Amnt_Deposited!E62</f>
        <v>0</v>
      </c>
      <c r="Q67" s="319">
        <f>MCF!R66</f>
        <v>0.8</v>
      </c>
      <c r="R67" s="87">
        <f t="shared" si="5"/>
        <v>0</v>
      </c>
      <c r="S67" s="87">
        <f t="shared" si="7"/>
        <v>0</v>
      </c>
      <c r="T67" s="87">
        <f t="shared" si="8"/>
        <v>0</v>
      </c>
      <c r="U67" s="87">
        <f t="shared" si="9"/>
        <v>0</v>
      </c>
      <c r="V67" s="87">
        <f t="shared" si="10"/>
        <v>0</v>
      </c>
      <c r="W67" s="120">
        <f t="shared" si="11"/>
        <v>0</v>
      </c>
    </row>
    <row r="68" spans="2:23">
      <c r="B68" s="116">
        <f>Amnt_Deposited!B63</f>
        <v>2049</v>
      </c>
      <c r="C68" s="119">
        <f>Amnt_Deposited!D63</f>
        <v>0</v>
      </c>
      <c r="D68" s="453">
        <f>Dry_Matter_Content!E55</f>
        <v>0.44</v>
      </c>
      <c r="E68" s="319">
        <f>MCF!R67</f>
        <v>0.8</v>
      </c>
      <c r="F68" s="87">
        <f t="shared" si="0"/>
        <v>0</v>
      </c>
      <c r="G68" s="87">
        <f t="shared" si="1"/>
        <v>0</v>
      </c>
      <c r="H68" s="87">
        <f t="shared" si="2"/>
        <v>0</v>
      </c>
      <c r="I68" s="87">
        <f t="shared" si="3"/>
        <v>8.3201177553774916E-2</v>
      </c>
      <c r="J68" s="87">
        <f t="shared" si="4"/>
        <v>1.541758183628159E-2</v>
      </c>
      <c r="K68" s="120">
        <f t="shared" si="6"/>
        <v>1.0278387890854394E-2</v>
      </c>
      <c r="O68" s="116">
        <f>Amnt_Deposited!B63</f>
        <v>2049</v>
      </c>
      <c r="P68" s="119">
        <f>Amnt_Deposited!E63</f>
        <v>0</v>
      </c>
      <c r="Q68" s="319">
        <f>MCF!R67</f>
        <v>0.8</v>
      </c>
      <c r="R68" s="87">
        <f t="shared" si="5"/>
        <v>0</v>
      </c>
      <c r="S68" s="87">
        <f t="shared" si="7"/>
        <v>0</v>
      </c>
      <c r="T68" s="87">
        <f t="shared" si="8"/>
        <v>0</v>
      </c>
      <c r="U68" s="87">
        <f t="shared" si="9"/>
        <v>0</v>
      </c>
      <c r="V68" s="87">
        <f t="shared" si="10"/>
        <v>0</v>
      </c>
      <c r="W68" s="120">
        <f t="shared" si="11"/>
        <v>0</v>
      </c>
    </row>
    <row r="69" spans="2:23">
      <c r="B69" s="116">
        <f>Amnt_Deposited!B64</f>
        <v>2050</v>
      </c>
      <c r="C69" s="119">
        <f>Amnt_Deposited!D64</f>
        <v>0</v>
      </c>
      <c r="D69" s="453">
        <f>Dry_Matter_Content!E56</f>
        <v>0.44</v>
      </c>
      <c r="E69" s="319">
        <f>MCF!R68</f>
        <v>0.8</v>
      </c>
      <c r="F69" s="87">
        <f t="shared" si="0"/>
        <v>0</v>
      </c>
      <c r="G69" s="87">
        <f t="shared" si="1"/>
        <v>0</v>
      </c>
      <c r="H69" s="87">
        <f t="shared" si="2"/>
        <v>0</v>
      </c>
      <c r="I69" s="87">
        <f t="shared" si="3"/>
        <v>7.0193906201508671E-2</v>
      </c>
      <c r="J69" s="87">
        <f t="shared" si="4"/>
        <v>1.3007271352266245E-2</v>
      </c>
      <c r="K69" s="120">
        <f t="shared" si="6"/>
        <v>8.6715142348441632E-3</v>
      </c>
      <c r="O69" s="116">
        <f>Amnt_Deposited!B64</f>
        <v>2050</v>
      </c>
      <c r="P69" s="119">
        <f>Amnt_Deposited!E64</f>
        <v>0</v>
      </c>
      <c r="Q69" s="319">
        <f>MCF!R68</f>
        <v>0.8</v>
      </c>
      <c r="R69" s="87">
        <f t="shared" si="5"/>
        <v>0</v>
      </c>
      <c r="S69" s="87">
        <f t="shared" si="7"/>
        <v>0</v>
      </c>
      <c r="T69" s="87">
        <f t="shared" si="8"/>
        <v>0</v>
      </c>
      <c r="U69" s="87">
        <f t="shared" si="9"/>
        <v>0</v>
      </c>
      <c r="V69" s="87">
        <f t="shared" si="10"/>
        <v>0</v>
      </c>
      <c r="W69" s="120">
        <f t="shared" si="11"/>
        <v>0</v>
      </c>
    </row>
    <row r="70" spans="2:23">
      <c r="B70" s="116">
        <f>Amnt_Deposited!B65</f>
        <v>2051</v>
      </c>
      <c r="C70" s="119">
        <f>Amnt_Deposited!D65</f>
        <v>0</v>
      </c>
      <c r="D70" s="453">
        <f>Dry_Matter_Content!E57</f>
        <v>0.44</v>
      </c>
      <c r="E70" s="319">
        <f>MCF!R69</f>
        <v>0.8</v>
      </c>
      <c r="F70" s="87">
        <f t="shared" si="0"/>
        <v>0</v>
      </c>
      <c r="G70" s="87">
        <f t="shared" si="1"/>
        <v>0</v>
      </c>
      <c r="H70" s="87">
        <f t="shared" si="2"/>
        <v>0</v>
      </c>
      <c r="I70" s="87">
        <f t="shared" si="3"/>
        <v>5.9220129001679576E-2</v>
      </c>
      <c r="J70" s="87">
        <f t="shared" si="4"/>
        <v>1.0973777199829098E-2</v>
      </c>
      <c r="K70" s="120">
        <f t="shared" si="6"/>
        <v>7.3158514665527322E-3</v>
      </c>
      <c r="O70" s="116">
        <f>Amnt_Deposited!B65</f>
        <v>2051</v>
      </c>
      <c r="P70" s="119">
        <f>Amnt_Deposited!E65</f>
        <v>0</v>
      </c>
      <c r="Q70" s="319">
        <f>MCF!R69</f>
        <v>0.8</v>
      </c>
      <c r="R70" s="87">
        <f t="shared" si="5"/>
        <v>0</v>
      </c>
      <c r="S70" s="87">
        <f t="shared" si="7"/>
        <v>0</v>
      </c>
      <c r="T70" s="87">
        <f t="shared" si="8"/>
        <v>0</v>
      </c>
      <c r="U70" s="87">
        <f t="shared" si="9"/>
        <v>0</v>
      </c>
      <c r="V70" s="87">
        <f t="shared" si="10"/>
        <v>0</v>
      </c>
      <c r="W70" s="120">
        <f t="shared" si="11"/>
        <v>0</v>
      </c>
    </row>
    <row r="71" spans="2:23">
      <c r="B71" s="116">
        <f>Amnt_Deposited!B66</f>
        <v>2052</v>
      </c>
      <c r="C71" s="119">
        <f>Amnt_Deposited!D66</f>
        <v>0</v>
      </c>
      <c r="D71" s="453">
        <f>Dry_Matter_Content!E58</f>
        <v>0.44</v>
      </c>
      <c r="E71" s="319">
        <f>MCF!R70</f>
        <v>0.8</v>
      </c>
      <c r="F71" s="87">
        <f t="shared" si="0"/>
        <v>0</v>
      </c>
      <c r="G71" s="87">
        <f t="shared" si="1"/>
        <v>0</v>
      </c>
      <c r="H71" s="87">
        <f t="shared" si="2"/>
        <v>0</v>
      </c>
      <c r="I71" s="87">
        <f t="shared" si="3"/>
        <v>4.9961939273016183E-2</v>
      </c>
      <c r="J71" s="87">
        <f t="shared" si="4"/>
        <v>9.2581897286633935E-3</v>
      </c>
      <c r="K71" s="120">
        <f t="shared" si="6"/>
        <v>6.1721264857755951E-3</v>
      </c>
      <c r="O71" s="116">
        <f>Amnt_Deposited!B66</f>
        <v>2052</v>
      </c>
      <c r="P71" s="119">
        <f>Amnt_Deposited!E66</f>
        <v>0</v>
      </c>
      <c r="Q71" s="319">
        <f>MCF!R70</f>
        <v>0.8</v>
      </c>
      <c r="R71" s="87">
        <f t="shared" si="5"/>
        <v>0</v>
      </c>
      <c r="S71" s="87">
        <f t="shared" si="7"/>
        <v>0</v>
      </c>
      <c r="T71" s="87">
        <f t="shared" si="8"/>
        <v>0</v>
      </c>
      <c r="U71" s="87">
        <f t="shared" si="9"/>
        <v>0</v>
      </c>
      <c r="V71" s="87">
        <f t="shared" si="10"/>
        <v>0</v>
      </c>
      <c r="W71" s="120">
        <f t="shared" si="11"/>
        <v>0</v>
      </c>
    </row>
    <row r="72" spans="2:23">
      <c r="B72" s="116">
        <f>Amnt_Deposited!B67</f>
        <v>2053</v>
      </c>
      <c r="C72" s="119">
        <f>Amnt_Deposited!D67</f>
        <v>0</v>
      </c>
      <c r="D72" s="453">
        <f>Dry_Matter_Content!E59</f>
        <v>0.44</v>
      </c>
      <c r="E72" s="319">
        <f>MCF!R71</f>
        <v>0.8</v>
      </c>
      <c r="F72" s="87">
        <f t="shared" si="0"/>
        <v>0</v>
      </c>
      <c r="G72" s="87">
        <f t="shared" si="1"/>
        <v>0</v>
      </c>
      <c r="H72" s="87">
        <f t="shared" si="2"/>
        <v>0</v>
      </c>
      <c r="I72" s="87">
        <f t="shared" si="3"/>
        <v>4.2151130333568855E-2</v>
      </c>
      <c r="J72" s="87">
        <f t="shared" si="4"/>
        <v>7.8108089394473244E-3</v>
      </c>
      <c r="K72" s="120">
        <f t="shared" si="6"/>
        <v>5.207205959631549E-3</v>
      </c>
      <c r="O72" s="116">
        <f>Amnt_Deposited!B67</f>
        <v>2053</v>
      </c>
      <c r="P72" s="119">
        <f>Amnt_Deposited!E67</f>
        <v>0</v>
      </c>
      <c r="Q72" s="319">
        <f>MCF!R71</f>
        <v>0.8</v>
      </c>
      <c r="R72" s="87">
        <f t="shared" si="5"/>
        <v>0</v>
      </c>
      <c r="S72" s="87">
        <f t="shared" si="7"/>
        <v>0</v>
      </c>
      <c r="T72" s="87">
        <f t="shared" si="8"/>
        <v>0</v>
      </c>
      <c r="U72" s="87">
        <f t="shared" si="9"/>
        <v>0</v>
      </c>
      <c r="V72" s="87">
        <f t="shared" si="10"/>
        <v>0</v>
      </c>
      <c r="W72" s="120">
        <f t="shared" si="11"/>
        <v>0</v>
      </c>
    </row>
    <row r="73" spans="2:23">
      <c r="B73" s="116">
        <f>Amnt_Deposited!B68</f>
        <v>2054</v>
      </c>
      <c r="C73" s="119">
        <f>Amnt_Deposited!D68</f>
        <v>0</v>
      </c>
      <c r="D73" s="453">
        <f>Dry_Matter_Content!E60</f>
        <v>0.44</v>
      </c>
      <c r="E73" s="319">
        <f>MCF!R72</f>
        <v>0.8</v>
      </c>
      <c r="F73" s="87">
        <f t="shared" si="0"/>
        <v>0</v>
      </c>
      <c r="G73" s="87">
        <f t="shared" si="1"/>
        <v>0</v>
      </c>
      <c r="H73" s="87">
        <f t="shared" si="2"/>
        <v>0</v>
      </c>
      <c r="I73" s="87">
        <f t="shared" si="3"/>
        <v>3.5561425642200634E-2</v>
      </c>
      <c r="J73" s="87">
        <f t="shared" si="4"/>
        <v>6.5897046913682214E-3</v>
      </c>
      <c r="K73" s="120">
        <f t="shared" si="6"/>
        <v>4.3931364609121476E-3</v>
      </c>
      <c r="O73" s="116">
        <f>Amnt_Deposited!B68</f>
        <v>2054</v>
      </c>
      <c r="P73" s="119">
        <f>Amnt_Deposited!E68</f>
        <v>0</v>
      </c>
      <c r="Q73" s="319">
        <f>MCF!R72</f>
        <v>0.8</v>
      </c>
      <c r="R73" s="87">
        <f t="shared" si="5"/>
        <v>0</v>
      </c>
      <c r="S73" s="87">
        <f t="shared" si="7"/>
        <v>0</v>
      </c>
      <c r="T73" s="87">
        <f t="shared" si="8"/>
        <v>0</v>
      </c>
      <c r="U73" s="87">
        <f t="shared" si="9"/>
        <v>0</v>
      </c>
      <c r="V73" s="87">
        <f t="shared" si="10"/>
        <v>0</v>
      </c>
      <c r="W73" s="120">
        <f t="shared" si="11"/>
        <v>0</v>
      </c>
    </row>
    <row r="74" spans="2:23">
      <c r="B74" s="116">
        <f>Amnt_Deposited!B69</f>
        <v>2055</v>
      </c>
      <c r="C74" s="119">
        <f>Amnt_Deposited!D69</f>
        <v>0</v>
      </c>
      <c r="D74" s="453">
        <f>Dry_Matter_Content!E61</f>
        <v>0.44</v>
      </c>
      <c r="E74" s="319">
        <f>MCF!R73</f>
        <v>0.8</v>
      </c>
      <c r="F74" s="87">
        <f t="shared" si="0"/>
        <v>0</v>
      </c>
      <c r="G74" s="87">
        <f t="shared" si="1"/>
        <v>0</v>
      </c>
      <c r="H74" s="87">
        <f t="shared" si="2"/>
        <v>0</v>
      </c>
      <c r="I74" s="87">
        <f t="shared" si="3"/>
        <v>3.0001923642333134E-2</v>
      </c>
      <c r="J74" s="87">
        <f t="shared" si="4"/>
        <v>5.5595019998674992E-3</v>
      </c>
      <c r="K74" s="120">
        <f t="shared" si="6"/>
        <v>3.7063346665783328E-3</v>
      </c>
      <c r="O74" s="116">
        <f>Amnt_Deposited!B69</f>
        <v>2055</v>
      </c>
      <c r="P74" s="119">
        <f>Amnt_Deposited!E69</f>
        <v>0</v>
      </c>
      <c r="Q74" s="319">
        <f>MCF!R73</f>
        <v>0.8</v>
      </c>
      <c r="R74" s="87">
        <f t="shared" si="5"/>
        <v>0</v>
      </c>
      <c r="S74" s="87">
        <f t="shared" si="7"/>
        <v>0</v>
      </c>
      <c r="T74" s="87">
        <f t="shared" si="8"/>
        <v>0</v>
      </c>
      <c r="U74" s="87">
        <f t="shared" si="9"/>
        <v>0</v>
      </c>
      <c r="V74" s="87">
        <f t="shared" si="10"/>
        <v>0</v>
      </c>
      <c r="W74" s="120">
        <f t="shared" si="11"/>
        <v>0</v>
      </c>
    </row>
    <row r="75" spans="2:23">
      <c r="B75" s="116">
        <f>Amnt_Deposited!B70</f>
        <v>2056</v>
      </c>
      <c r="C75" s="119">
        <f>Amnt_Deposited!D70</f>
        <v>0</v>
      </c>
      <c r="D75" s="453">
        <f>Dry_Matter_Content!E62</f>
        <v>0.44</v>
      </c>
      <c r="E75" s="319">
        <f>MCF!R74</f>
        <v>0.8</v>
      </c>
      <c r="F75" s="87">
        <f t="shared" si="0"/>
        <v>0</v>
      </c>
      <c r="G75" s="87">
        <f t="shared" si="1"/>
        <v>0</v>
      </c>
      <c r="H75" s="87">
        <f t="shared" si="2"/>
        <v>0</v>
      </c>
      <c r="I75" s="87">
        <f t="shared" si="3"/>
        <v>2.5311567407247691E-2</v>
      </c>
      <c r="J75" s="87">
        <f t="shared" si="4"/>
        <v>4.6903562350854421E-3</v>
      </c>
      <c r="K75" s="120">
        <f t="shared" si="6"/>
        <v>3.1269041567236278E-3</v>
      </c>
      <c r="O75" s="116">
        <f>Amnt_Deposited!B70</f>
        <v>2056</v>
      </c>
      <c r="P75" s="119">
        <f>Amnt_Deposited!E70</f>
        <v>0</v>
      </c>
      <c r="Q75" s="319">
        <f>MCF!R74</f>
        <v>0.8</v>
      </c>
      <c r="R75" s="87">
        <f t="shared" si="5"/>
        <v>0</v>
      </c>
      <c r="S75" s="87">
        <f t="shared" si="7"/>
        <v>0</v>
      </c>
      <c r="T75" s="87">
        <f t="shared" si="8"/>
        <v>0</v>
      </c>
      <c r="U75" s="87">
        <f t="shared" si="9"/>
        <v>0</v>
      </c>
      <c r="V75" s="87">
        <f t="shared" si="10"/>
        <v>0</v>
      </c>
      <c r="W75" s="120">
        <f t="shared" si="11"/>
        <v>0</v>
      </c>
    </row>
    <row r="76" spans="2:23">
      <c r="B76" s="116">
        <f>Amnt_Deposited!B71</f>
        <v>2057</v>
      </c>
      <c r="C76" s="119">
        <f>Amnt_Deposited!D71</f>
        <v>0</v>
      </c>
      <c r="D76" s="453">
        <f>Dry_Matter_Content!E63</f>
        <v>0.44</v>
      </c>
      <c r="E76" s="319">
        <f>MCF!R75</f>
        <v>0.8</v>
      </c>
      <c r="F76" s="87">
        <f t="shared" si="0"/>
        <v>0</v>
      </c>
      <c r="G76" s="87">
        <f t="shared" si="1"/>
        <v>0</v>
      </c>
      <c r="H76" s="87">
        <f t="shared" si="2"/>
        <v>0</v>
      </c>
      <c r="I76" s="87">
        <f t="shared" si="3"/>
        <v>2.1354478874402626E-2</v>
      </c>
      <c r="J76" s="87">
        <f t="shared" si="4"/>
        <v>3.9570885328450642E-3</v>
      </c>
      <c r="K76" s="120">
        <f t="shared" si="6"/>
        <v>2.6380590218967092E-3</v>
      </c>
      <c r="O76" s="116">
        <f>Amnt_Deposited!B71</f>
        <v>2057</v>
      </c>
      <c r="P76" s="119">
        <f>Amnt_Deposited!E71</f>
        <v>0</v>
      </c>
      <c r="Q76" s="319">
        <f>MCF!R75</f>
        <v>0.8</v>
      </c>
      <c r="R76" s="87">
        <f t="shared" si="5"/>
        <v>0</v>
      </c>
      <c r="S76" s="87">
        <f t="shared" si="7"/>
        <v>0</v>
      </c>
      <c r="T76" s="87">
        <f t="shared" si="8"/>
        <v>0</v>
      </c>
      <c r="U76" s="87">
        <f t="shared" si="9"/>
        <v>0</v>
      </c>
      <c r="V76" s="87">
        <f t="shared" si="10"/>
        <v>0</v>
      </c>
      <c r="W76" s="120">
        <f t="shared" si="11"/>
        <v>0</v>
      </c>
    </row>
    <row r="77" spans="2:23">
      <c r="B77" s="116">
        <f>Amnt_Deposited!B72</f>
        <v>2058</v>
      </c>
      <c r="C77" s="119">
        <f>Amnt_Deposited!D72</f>
        <v>0</v>
      </c>
      <c r="D77" s="453">
        <f>Dry_Matter_Content!E64</f>
        <v>0.44</v>
      </c>
      <c r="E77" s="319">
        <f>MCF!R76</f>
        <v>0.8</v>
      </c>
      <c r="F77" s="87">
        <f t="shared" si="0"/>
        <v>0</v>
      </c>
      <c r="G77" s="87">
        <f t="shared" si="1"/>
        <v>0</v>
      </c>
      <c r="H77" s="87">
        <f t="shared" si="2"/>
        <v>0</v>
      </c>
      <c r="I77" s="87">
        <f t="shared" si="3"/>
        <v>1.8016022503084241E-2</v>
      </c>
      <c r="J77" s="87">
        <f t="shared" si="4"/>
        <v>3.3384563713183841E-3</v>
      </c>
      <c r="K77" s="120">
        <f t="shared" si="6"/>
        <v>2.2256375808789226E-3</v>
      </c>
      <c r="O77" s="116">
        <f>Amnt_Deposited!B72</f>
        <v>2058</v>
      </c>
      <c r="P77" s="119">
        <f>Amnt_Deposited!E72</f>
        <v>0</v>
      </c>
      <c r="Q77" s="319">
        <f>MCF!R76</f>
        <v>0.8</v>
      </c>
      <c r="R77" s="87">
        <f t="shared" si="5"/>
        <v>0</v>
      </c>
      <c r="S77" s="87">
        <f t="shared" si="7"/>
        <v>0</v>
      </c>
      <c r="T77" s="87">
        <f t="shared" si="8"/>
        <v>0</v>
      </c>
      <c r="U77" s="87">
        <f t="shared" si="9"/>
        <v>0</v>
      </c>
      <c r="V77" s="87">
        <f t="shared" si="10"/>
        <v>0</v>
      </c>
      <c r="W77" s="120">
        <f t="shared" si="11"/>
        <v>0</v>
      </c>
    </row>
    <row r="78" spans="2:23">
      <c r="B78" s="116">
        <f>Amnt_Deposited!B73</f>
        <v>2059</v>
      </c>
      <c r="C78" s="119">
        <f>Amnt_Deposited!D73</f>
        <v>0</v>
      </c>
      <c r="D78" s="453">
        <f>Dry_Matter_Content!E65</f>
        <v>0.44</v>
      </c>
      <c r="E78" s="319">
        <f>MCF!R77</f>
        <v>0.8</v>
      </c>
      <c r="F78" s="87">
        <f t="shared" si="0"/>
        <v>0</v>
      </c>
      <c r="G78" s="87">
        <f t="shared" si="1"/>
        <v>0</v>
      </c>
      <c r="H78" s="87">
        <f t="shared" si="2"/>
        <v>0</v>
      </c>
      <c r="I78" s="87">
        <f t="shared" si="3"/>
        <v>1.5199484320860887E-2</v>
      </c>
      <c r="J78" s="87">
        <f t="shared" si="4"/>
        <v>2.8165381822233531E-3</v>
      </c>
      <c r="K78" s="120">
        <f t="shared" si="6"/>
        <v>1.8776921214822353E-3</v>
      </c>
      <c r="O78" s="116">
        <f>Amnt_Deposited!B73</f>
        <v>2059</v>
      </c>
      <c r="P78" s="119">
        <f>Amnt_Deposited!E73</f>
        <v>0</v>
      </c>
      <c r="Q78" s="319">
        <f>MCF!R77</f>
        <v>0.8</v>
      </c>
      <c r="R78" s="87">
        <f t="shared" si="5"/>
        <v>0</v>
      </c>
      <c r="S78" s="87">
        <f t="shared" si="7"/>
        <v>0</v>
      </c>
      <c r="T78" s="87">
        <f t="shared" si="8"/>
        <v>0</v>
      </c>
      <c r="U78" s="87">
        <f t="shared" si="9"/>
        <v>0</v>
      </c>
      <c r="V78" s="87">
        <f t="shared" si="10"/>
        <v>0</v>
      </c>
      <c r="W78" s="120">
        <f t="shared" si="11"/>
        <v>0</v>
      </c>
    </row>
    <row r="79" spans="2:23">
      <c r="B79" s="116">
        <f>Amnt_Deposited!B74</f>
        <v>2060</v>
      </c>
      <c r="C79" s="119">
        <f>Amnt_Deposited!D74</f>
        <v>0</v>
      </c>
      <c r="D79" s="453">
        <f>Dry_Matter_Content!E66</f>
        <v>0.44</v>
      </c>
      <c r="E79" s="319">
        <f>MCF!R78</f>
        <v>0.8</v>
      </c>
      <c r="F79" s="87">
        <f t="shared" si="0"/>
        <v>0</v>
      </c>
      <c r="G79" s="87">
        <f t="shared" si="1"/>
        <v>0</v>
      </c>
      <c r="H79" s="87">
        <f t="shared" si="2"/>
        <v>0</v>
      </c>
      <c r="I79" s="87">
        <f t="shared" si="3"/>
        <v>1.282327015191871E-2</v>
      </c>
      <c r="J79" s="87">
        <f t="shared" si="4"/>
        <v>2.3762141689421773E-3</v>
      </c>
      <c r="K79" s="120">
        <f t="shared" si="6"/>
        <v>1.5841427792947847E-3</v>
      </c>
      <c r="O79" s="116">
        <f>Amnt_Deposited!B74</f>
        <v>2060</v>
      </c>
      <c r="P79" s="119">
        <f>Amnt_Deposited!E74</f>
        <v>0</v>
      </c>
      <c r="Q79" s="319">
        <f>MCF!R78</f>
        <v>0.8</v>
      </c>
      <c r="R79" s="87">
        <f t="shared" si="5"/>
        <v>0</v>
      </c>
      <c r="S79" s="87">
        <f t="shared" si="7"/>
        <v>0</v>
      </c>
      <c r="T79" s="87">
        <f t="shared" si="8"/>
        <v>0</v>
      </c>
      <c r="U79" s="87">
        <f t="shared" si="9"/>
        <v>0</v>
      </c>
      <c r="V79" s="87">
        <f t="shared" si="10"/>
        <v>0</v>
      </c>
      <c r="W79" s="120">
        <f t="shared" si="11"/>
        <v>0</v>
      </c>
    </row>
    <row r="80" spans="2:23">
      <c r="B80" s="116">
        <f>Amnt_Deposited!B75</f>
        <v>2061</v>
      </c>
      <c r="C80" s="119">
        <f>Amnt_Deposited!D75</f>
        <v>0</v>
      </c>
      <c r="D80" s="453">
        <f>Dry_Matter_Content!E67</f>
        <v>0.44</v>
      </c>
      <c r="E80" s="319">
        <f>MCF!R79</f>
        <v>0.8</v>
      </c>
      <c r="F80" s="87">
        <f t="shared" si="0"/>
        <v>0</v>
      </c>
      <c r="G80" s="87">
        <f t="shared" si="1"/>
        <v>0</v>
      </c>
      <c r="H80" s="87">
        <f t="shared" si="2"/>
        <v>0</v>
      </c>
      <c r="I80" s="87">
        <f t="shared" si="3"/>
        <v>1.081854186088438E-2</v>
      </c>
      <c r="J80" s="87">
        <f t="shared" si="4"/>
        <v>2.0047282910343302E-3</v>
      </c>
      <c r="K80" s="120">
        <f t="shared" si="6"/>
        <v>1.33648552735622E-3</v>
      </c>
      <c r="O80" s="116">
        <f>Amnt_Deposited!B75</f>
        <v>2061</v>
      </c>
      <c r="P80" s="119">
        <f>Amnt_Deposited!E75</f>
        <v>0</v>
      </c>
      <c r="Q80" s="319">
        <f>MCF!R79</f>
        <v>0.8</v>
      </c>
      <c r="R80" s="87">
        <f t="shared" si="5"/>
        <v>0</v>
      </c>
      <c r="S80" s="87">
        <f t="shared" si="7"/>
        <v>0</v>
      </c>
      <c r="T80" s="87">
        <f t="shared" si="8"/>
        <v>0</v>
      </c>
      <c r="U80" s="87">
        <f t="shared" si="9"/>
        <v>0</v>
      </c>
      <c r="V80" s="87">
        <f t="shared" si="10"/>
        <v>0</v>
      </c>
      <c r="W80" s="120">
        <f t="shared" si="11"/>
        <v>0</v>
      </c>
    </row>
    <row r="81" spans="2:23">
      <c r="B81" s="116">
        <f>Amnt_Deposited!B76</f>
        <v>2062</v>
      </c>
      <c r="C81" s="119">
        <f>Amnt_Deposited!D76</f>
        <v>0</v>
      </c>
      <c r="D81" s="453">
        <f>Dry_Matter_Content!E68</f>
        <v>0.44</v>
      </c>
      <c r="E81" s="319">
        <f>MCF!R80</f>
        <v>0.8</v>
      </c>
      <c r="F81" s="87">
        <f t="shared" si="0"/>
        <v>0</v>
      </c>
      <c r="G81" s="87">
        <f t="shared" si="1"/>
        <v>0</v>
      </c>
      <c r="H81" s="87">
        <f t="shared" si="2"/>
        <v>0</v>
      </c>
      <c r="I81" s="87">
        <f t="shared" si="3"/>
        <v>9.1272231349033197E-3</v>
      </c>
      <c r="J81" s="87">
        <f t="shared" si="4"/>
        <v>1.69131872598106E-3</v>
      </c>
      <c r="K81" s="120">
        <f t="shared" si="6"/>
        <v>1.1275458173207065E-3</v>
      </c>
      <c r="O81" s="116">
        <f>Amnt_Deposited!B76</f>
        <v>2062</v>
      </c>
      <c r="P81" s="119">
        <f>Amnt_Deposited!E76</f>
        <v>0</v>
      </c>
      <c r="Q81" s="319">
        <f>MCF!R80</f>
        <v>0.8</v>
      </c>
      <c r="R81" s="87">
        <f t="shared" si="5"/>
        <v>0</v>
      </c>
      <c r="S81" s="87">
        <f t="shared" si="7"/>
        <v>0</v>
      </c>
      <c r="T81" s="87">
        <f t="shared" si="8"/>
        <v>0</v>
      </c>
      <c r="U81" s="87">
        <f t="shared" si="9"/>
        <v>0</v>
      </c>
      <c r="V81" s="87">
        <f t="shared" si="10"/>
        <v>0</v>
      </c>
      <c r="W81" s="120">
        <f t="shared" si="11"/>
        <v>0</v>
      </c>
    </row>
    <row r="82" spans="2:23">
      <c r="B82" s="116">
        <f>Amnt_Deposited!B77</f>
        <v>2063</v>
      </c>
      <c r="C82" s="119">
        <f>Amnt_Deposited!D77</f>
        <v>0</v>
      </c>
      <c r="D82" s="453">
        <f>Dry_Matter_Content!E69</f>
        <v>0.44</v>
      </c>
      <c r="E82" s="319">
        <f>MCF!R81</f>
        <v>0.8</v>
      </c>
      <c r="F82" s="87">
        <f t="shared" si="0"/>
        <v>0</v>
      </c>
      <c r="G82" s="87">
        <f t="shared" si="1"/>
        <v>0</v>
      </c>
      <c r="H82" s="87">
        <f t="shared" si="2"/>
        <v>0</v>
      </c>
      <c r="I82" s="87">
        <f t="shared" si="3"/>
        <v>7.7003170321424796E-3</v>
      </c>
      <c r="J82" s="87">
        <f t="shared" si="4"/>
        <v>1.4269061027608401E-3</v>
      </c>
      <c r="K82" s="120">
        <f t="shared" si="6"/>
        <v>9.5127073517389338E-4</v>
      </c>
      <c r="O82" s="116">
        <f>Amnt_Deposited!B77</f>
        <v>2063</v>
      </c>
      <c r="P82" s="119">
        <f>Amnt_Deposited!E77</f>
        <v>0</v>
      </c>
      <c r="Q82" s="319">
        <f>MCF!R81</f>
        <v>0.8</v>
      </c>
      <c r="R82" s="87">
        <f t="shared" si="5"/>
        <v>0</v>
      </c>
      <c r="S82" s="87">
        <f t="shared" si="7"/>
        <v>0</v>
      </c>
      <c r="T82" s="87">
        <f t="shared" si="8"/>
        <v>0</v>
      </c>
      <c r="U82" s="87">
        <f t="shared" si="9"/>
        <v>0</v>
      </c>
      <c r="V82" s="87">
        <f t="shared" si="10"/>
        <v>0</v>
      </c>
      <c r="W82" s="120">
        <f t="shared" si="11"/>
        <v>0</v>
      </c>
    </row>
    <row r="83" spans="2:23">
      <c r="B83" s="116">
        <f>Amnt_Deposited!B78</f>
        <v>2064</v>
      </c>
      <c r="C83" s="119">
        <f>Amnt_Deposited!D78</f>
        <v>0</v>
      </c>
      <c r="D83" s="453">
        <f>Dry_Matter_Content!E70</f>
        <v>0.44</v>
      </c>
      <c r="E83" s="319">
        <f>MCF!R82</f>
        <v>0.8</v>
      </c>
      <c r="F83" s="87">
        <f t="shared" ref="F83:F99" si="12">C83*D83*$K$6*DOCF*E83</f>
        <v>0</v>
      </c>
      <c r="G83" s="87">
        <f t="shared" ref="G83:G99" si="13">F83*$K$12</f>
        <v>0</v>
      </c>
      <c r="H83" s="87">
        <f t="shared" ref="H83:H99" si="14">F83*(1-$K$12)</f>
        <v>0</v>
      </c>
      <c r="I83" s="87">
        <f t="shared" ref="I83:I99" si="15">G83+I82*$K$10</f>
        <v>6.4964865566564944E-3</v>
      </c>
      <c r="J83" s="87">
        <f t="shared" ref="J83:J99" si="16">I82*(1-$K$10)+H83</f>
        <v>1.2038304754859849E-3</v>
      </c>
      <c r="K83" s="120">
        <f t="shared" si="6"/>
        <v>8.0255365032398988E-4</v>
      </c>
      <c r="O83" s="116">
        <f>Amnt_Deposited!B78</f>
        <v>2064</v>
      </c>
      <c r="P83" s="119">
        <f>Amnt_Deposited!E78</f>
        <v>0</v>
      </c>
      <c r="Q83" s="319">
        <f>MCF!R82</f>
        <v>0.8</v>
      </c>
      <c r="R83" s="87">
        <f t="shared" ref="R83:R99" si="17">P83*$W$6*DOCF*Q83</f>
        <v>0</v>
      </c>
      <c r="S83" s="87">
        <f t="shared" si="7"/>
        <v>0</v>
      </c>
      <c r="T83" s="87">
        <f t="shared" si="8"/>
        <v>0</v>
      </c>
      <c r="U83" s="87">
        <f t="shared" si="9"/>
        <v>0</v>
      </c>
      <c r="V83" s="87">
        <f t="shared" si="10"/>
        <v>0</v>
      </c>
      <c r="W83" s="120">
        <f t="shared" si="11"/>
        <v>0</v>
      </c>
    </row>
    <row r="84" spans="2:23">
      <c r="B84" s="116">
        <f>Amnt_Deposited!B79</f>
        <v>2065</v>
      </c>
      <c r="C84" s="119">
        <f>Amnt_Deposited!D79</f>
        <v>0</v>
      </c>
      <c r="D84" s="453">
        <f>Dry_Matter_Content!E71</f>
        <v>0.44</v>
      </c>
      <c r="E84" s="319">
        <f>MCF!R83</f>
        <v>0.8</v>
      </c>
      <c r="F84" s="87">
        <f t="shared" si="12"/>
        <v>0</v>
      </c>
      <c r="G84" s="87">
        <f t="shared" si="13"/>
        <v>0</v>
      </c>
      <c r="H84" s="87">
        <f t="shared" si="14"/>
        <v>0</v>
      </c>
      <c r="I84" s="87">
        <f t="shared" si="15"/>
        <v>5.4808571393424738E-3</v>
      </c>
      <c r="J84" s="87">
        <f t="shared" si="16"/>
        <v>1.0156294173140207E-3</v>
      </c>
      <c r="K84" s="120">
        <f t="shared" si="6"/>
        <v>6.7708627820934708E-4</v>
      </c>
      <c r="O84" s="116">
        <f>Amnt_Deposited!B79</f>
        <v>2065</v>
      </c>
      <c r="P84" s="119">
        <f>Amnt_Deposited!E79</f>
        <v>0</v>
      </c>
      <c r="Q84" s="319">
        <f>MCF!R83</f>
        <v>0.8</v>
      </c>
      <c r="R84" s="87">
        <f t="shared" si="17"/>
        <v>0</v>
      </c>
      <c r="S84" s="87">
        <f t="shared" si="7"/>
        <v>0</v>
      </c>
      <c r="T84" s="87">
        <f t="shared" si="8"/>
        <v>0</v>
      </c>
      <c r="U84" s="87">
        <f t="shared" si="9"/>
        <v>0</v>
      </c>
      <c r="V84" s="87">
        <f t="shared" si="10"/>
        <v>0</v>
      </c>
      <c r="W84" s="120">
        <f t="shared" si="11"/>
        <v>0</v>
      </c>
    </row>
    <row r="85" spans="2:23">
      <c r="B85" s="116">
        <f>Amnt_Deposited!B80</f>
        <v>2066</v>
      </c>
      <c r="C85" s="119">
        <f>Amnt_Deposited!D80</f>
        <v>0</v>
      </c>
      <c r="D85" s="453">
        <f>Dry_Matter_Content!E72</f>
        <v>0.44</v>
      </c>
      <c r="E85" s="319">
        <f>MCF!R84</f>
        <v>0.8</v>
      </c>
      <c r="F85" s="87">
        <f t="shared" si="12"/>
        <v>0</v>
      </c>
      <c r="G85" s="87">
        <f t="shared" si="13"/>
        <v>0</v>
      </c>
      <c r="H85" s="87">
        <f t="shared" si="14"/>
        <v>0</v>
      </c>
      <c r="I85" s="87">
        <f t="shared" si="15"/>
        <v>4.6240063332543485E-3</v>
      </c>
      <c r="J85" s="87">
        <f t="shared" si="16"/>
        <v>8.5685080608812543E-4</v>
      </c>
      <c r="K85" s="120">
        <f t="shared" ref="K85:K99" si="18">J85*CH4_fraction*conv</f>
        <v>5.7123387072541688E-4</v>
      </c>
      <c r="O85" s="116">
        <f>Amnt_Deposited!B80</f>
        <v>2066</v>
      </c>
      <c r="P85" s="119">
        <f>Amnt_Deposited!E80</f>
        <v>0</v>
      </c>
      <c r="Q85" s="319">
        <f>MCF!R84</f>
        <v>0.8</v>
      </c>
      <c r="R85" s="87">
        <f t="shared" si="17"/>
        <v>0</v>
      </c>
      <c r="S85" s="87">
        <f t="shared" ref="S85:S98" si="19">R85*$W$12</f>
        <v>0</v>
      </c>
      <c r="T85" s="87">
        <f t="shared" ref="T85:T98" si="20">R85*(1-$W$12)</f>
        <v>0</v>
      </c>
      <c r="U85" s="87">
        <f t="shared" ref="U85:U98" si="21">S85+U84*$W$10</f>
        <v>0</v>
      </c>
      <c r="V85" s="87">
        <f t="shared" ref="V85:V98" si="22">U84*(1-$W$10)+T85</f>
        <v>0</v>
      </c>
      <c r="W85" s="120">
        <f t="shared" ref="W85:W99" si="23">V85*CH4_fraction*conv</f>
        <v>0</v>
      </c>
    </row>
    <row r="86" spans="2:23">
      <c r="B86" s="116">
        <f>Amnt_Deposited!B81</f>
        <v>2067</v>
      </c>
      <c r="C86" s="119">
        <f>Amnt_Deposited!D81</f>
        <v>0</v>
      </c>
      <c r="D86" s="453">
        <f>Dry_Matter_Content!E73</f>
        <v>0.44</v>
      </c>
      <c r="E86" s="319">
        <f>MCF!R85</f>
        <v>0.8</v>
      </c>
      <c r="F86" s="87">
        <f t="shared" si="12"/>
        <v>0</v>
      </c>
      <c r="G86" s="87">
        <f t="shared" si="13"/>
        <v>0</v>
      </c>
      <c r="H86" s="87">
        <f t="shared" si="14"/>
        <v>0</v>
      </c>
      <c r="I86" s="87">
        <f t="shared" si="15"/>
        <v>3.9011114550855466E-3</v>
      </c>
      <c r="J86" s="87">
        <f t="shared" si="16"/>
        <v>7.2289487816880186E-4</v>
      </c>
      <c r="K86" s="120">
        <f t="shared" si="18"/>
        <v>4.8192991877920124E-4</v>
      </c>
      <c r="O86" s="116">
        <f>Amnt_Deposited!B81</f>
        <v>2067</v>
      </c>
      <c r="P86" s="119">
        <f>Amnt_Deposited!E81</f>
        <v>0</v>
      </c>
      <c r="Q86" s="319">
        <f>MCF!R85</f>
        <v>0.8</v>
      </c>
      <c r="R86" s="87">
        <f t="shared" si="17"/>
        <v>0</v>
      </c>
      <c r="S86" s="87">
        <f t="shared" si="19"/>
        <v>0</v>
      </c>
      <c r="T86" s="87">
        <f t="shared" si="20"/>
        <v>0</v>
      </c>
      <c r="U86" s="87">
        <f t="shared" si="21"/>
        <v>0</v>
      </c>
      <c r="V86" s="87">
        <f t="shared" si="22"/>
        <v>0</v>
      </c>
      <c r="W86" s="120">
        <f t="shared" si="23"/>
        <v>0</v>
      </c>
    </row>
    <row r="87" spans="2:23">
      <c r="B87" s="116">
        <f>Amnt_Deposited!B82</f>
        <v>2068</v>
      </c>
      <c r="C87" s="119">
        <f>Amnt_Deposited!D82</f>
        <v>0</v>
      </c>
      <c r="D87" s="453">
        <f>Dry_Matter_Content!E74</f>
        <v>0.44</v>
      </c>
      <c r="E87" s="319">
        <f>MCF!R86</f>
        <v>0.8</v>
      </c>
      <c r="F87" s="87">
        <f t="shared" si="12"/>
        <v>0</v>
      </c>
      <c r="G87" s="87">
        <f t="shared" si="13"/>
        <v>0</v>
      </c>
      <c r="H87" s="87">
        <f t="shared" si="14"/>
        <v>0</v>
      </c>
      <c r="I87" s="87">
        <f t="shared" si="15"/>
        <v>3.2912304802767993E-3</v>
      </c>
      <c r="J87" s="87">
        <f t="shared" si="16"/>
        <v>6.0988097480874732E-4</v>
      </c>
      <c r="K87" s="120">
        <f t="shared" si="18"/>
        <v>4.0658731653916486E-4</v>
      </c>
      <c r="O87" s="116">
        <f>Amnt_Deposited!B82</f>
        <v>2068</v>
      </c>
      <c r="P87" s="119">
        <f>Amnt_Deposited!E82</f>
        <v>0</v>
      </c>
      <c r="Q87" s="319">
        <f>MCF!R86</f>
        <v>0.8</v>
      </c>
      <c r="R87" s="87">
        <f t="shared" si="17"/>
        <v>0</v>
      </c>
      <c r="S87" s="87">
        <f t="shared" si="19"/>
        <v>0</v>
      </c>
      <c r="T87" s="87">
        <f t="shared" si="20"/>
        <v>0</v>
      </c>
      <c r="U87" s="87">
        <f t="shared" si="21"/>
        <v>0</v>
      </c>
      <c r="V87" s="87">
        <f t="shared" si="22"/>
        <v>0</v>
      </c>
      <c r="W87" s="120">
        <f t="shared" si="23"/>
        <v>0</v>
      </c>
    </row>
    <row r="88" spans="2:23">
      <c r="B88" s="116">
        <f>Amnt_Deposited!B83</f>
        <v>2069</v>
      </c>
      <c r="C88" s="119">
        <f>Amnt_Deposited!D83</f>
        <v>0</v>
      </c>
      <c r="D88" s="453">
        <f>Dry_Matter_Content!E75</f>
        <v>0.44</v>
      </c>
      <c r="E88" s="319">
        <f>MCF!R87</f>
        <v>0.8</v>
      </c>
      <c r="F88" s="87">
        <f t="shared" si="12"/>
        <v>0</v>
      </c>
      <c r="G88" s="87">
        <f t="shared" si="13"/>
        <v>0</v>
      </c>
      <c r="H88" s="87">
        <f t="shared" si="14"/>
        <v>0</v>
      </c>
      <c r="I88" s="87">
        <f t="shared" si="15"/>
        <v>2.7766953595191536E-3</v>
      </c>
      <c r="J88" s="87">
        <f t="shared" si="16"/>
        <v>5.1453512075764552E-4</v>
      </c>
      <c r="K88" s="120">
        <f t="shared" si="18"/>
        <v>3.4302341383843035E-4</v>
      </c>
      <c r="O88" s="116">
        <f>Amnt_Deposited!B83</f>
        <v>2069</v>
      </c>
      <c r="P88" s="119">
        <f>Amnt_Deposited!E83</f>
        <v>0</v>
      </c>
      <c r="Q88" s="319">
        <f>MCF!R87</f>
        <v>0.8</v>
      </c>
      <c r="R88" s="87">
        <f t="shared" si="17"/>
        <v>0</v>
      </c>
      <c r="S88" s="87">
        <f t="shared" si="19"/>
        <v>0</v>
      </c>
      <c r="T88" s="87">
        <f t="shared" si="20"/>
        <v>0</v>
      </c>
      <c r="U88" s="87">
        <f t="shared" si="21"/>
        <v>0</v>
      </c>
      <c r="V88" s="87">
        <f t="shared" si="22"/>
        <v>0</v>
      </c>
      <c r="W88" s="120">
        <f t="shared" si="23"/>
        <v>0</v>
      </c>
    </row>
    <row r="89" spans="2:23">
      <c r="B89" s="116">
        <f>Amnt_Deposited!B84</f>
        <v>2070</v>
      </c>
      <c r="C89" s="119">
        <f>Amnt_Deposited!D84</f>
        <v>0</v>
      </c>
      <c r="D89" s="453">
        <f>Dry_Matter_Content!E76</f>
        <v>0.44</v>
      </c>
      <c r="E89" s="319">
        <f>MCF!R88</f>
        <v>0.8</v>
      </c>
      <c r="F89" s="87">
        <f t="shared" si="12"/>
        <v>0</v>
      </c>
      <c r="G89" s="87">
        <f t="shared" si="13"/>
        <v>0</v>
      </c>
      <c r="H89" s="87">
        <f t="shared" si="14"/>
        <v>0</v>
      </c>
      <c r="I89" s="87">
        <f t="shared" si="15"/>
        <v>2.3426001812327565E-3</v>
      </c>
      <c r="J89" s="87">
        <f t="shared" si="16"/>
        <v>4.3409517828639716E-4</v>
      </c>
      <c r="K89" s="120">
        <f t="shared" si="18"/>
        <v>2.8939678552426475E-4</v>
      </c>
      <c r="O89" s="116">
        <f>Amnt_Deposited!B84</f>
        <v>2070</v>
      </c>
      <c r="P89" s="119">
        <f>Amnt_Deposited!E84</f>
        <v>0</v>
      </c>
      <c r="Q89" s="319">
        <f>MCF!R88</f>
        <v>0.8</v>
      </c>
      <c r="R89" s="87">
        <f t="shared" si="17"/>
        <v>0</v>
      </c>
      <c r="S89" s="87">
        <f t="shared" si="19"/>
        <v>0</v>
      </c>
      <c r="T89" s="87">
        <f t="shared" si="20"/>
        <v>0</v>
      </c>
      <c r="U89" s="87">
        <f t="shared" si="21"/>
        <v>0</v>
      </c>
      <c r="V89" s="87">
        <f t="shared" si="22"/>
        <v>0</v>
      </c>
      <c r="W89" s="120">
        <f t="shared" si="23"/>
        <v>0</v>
      </c>
    </row>
    <row r="90" spans="2:23">
      <c r="B90" s="116">
        <f>Amnt_Deposited!B85</f>
        <v>2071</v>
      </c>
      <c r="C90" s="119">
        <f>Amnt_Deposited!D85</f>
        <v>0</v>
      </c>
      <c r="D90" s="453">
        <f>Dry_Matter_Content!E77</f>
        <v>0.44</v>
      </c>
      <c r="E90" s="319">
        <f>MCF!R89</f>
        <v>0.8</v>
      </c>
      <c r="F90" s="87">
        <f t="shared" si="12"/>
        <v>0</v>
      </c>
      <c r="G90" s="87">
        <f t="shared" si="13"/>
        <v>0</v>
      </c>
      <c r="H90" s="87">
        <f t="shared" si="14"/>
        <v>0</v>
      </c>
      <c r="I90" s="87">
        <f t="shared" si="15"/>
        <v>1.9763693522583886E-3</v>
      </c>
      <c r="J90" s="87">
        <f t="shared" si="16"/>
        <v>3.6623082897436777E-4</v>
      </c>
      <c r="K90" s="120">
        <f t="shared" si="18"/>
        <v>2.4415388598291181E-4</v>
      </c>
      <c r="O90" s="116">
        <f>Amnt_Deposited!B85</f>
        <v>2071</v>
      </c>
      <c r="P90" s="119">
        <f>Amnt_Deposited!E85</f>
        <v>0</v>
      </c>
      <c r="Q90" s="319">
        <f>MCF!R89</f>
        <v>0.8</v>
      </c>
      <c r="R90" s="87">
        <f t="shared" si="17"/>
        <v>0</v>
      </c>
      <c r="S90" s="87">
        <f t="shared" si="19"/>
        <v>0</v>
      </c>
      <c r="T90" s="87">
        <f t="shared" si="20"/>
        <v>0</v>
      </c>
      <c r="U90" s="87">
        <f t="shared" si="21"/>
        <v>0</v>
      </c>
      <c r="V90" s="87">
        <f t="shared" si="22"/>
        <v>0</v>
      </c>
      <c r="W90" s="120">
        <f t="shared" si="23"/>
        <v>0</v>
      </c>
    </row>
    <row r="91" spans="2:23">
      <c r="B91" s="116">
        <f>Amnt_Deposited!B86</f>
        <v>2072</v>
      </c>
      <c r="C91" s="119">
        <f>Amnt_Deposited!D86</f>
        <v>0</v>
      </c>
      <c r="D91" s="453">
        <f>Dry_Matter_Content!E78</f>
        <v>0.44</v>
      </c>
      <c r="E91" s="319">
        <f>MCF!R90</f>
        <v>0.8</v>
      </c>
      <c r="F91" s="87">
        <f t="shared" si="12"/>
        <v>0</v>
      </c>
      <c r="G91" s="87">
        <f t="shared" si="13"/>
        <v>0</v>
      </c>
      <c r="H91" s="87">
        <f t="shared" si="14"/>
        <v>0</v>
      </c>
      <c r="I91" s="87">
        <f t="shared" si="15"/>
        <v>1.6673932870997872E-3</v>
      </c>
      <c r="J91" s="87">
        <f t="shared" si="16"/>
        <v>3.0897606515860153E-4</v>
      </c>
      <c r="K91" s="120">
        <f t="shared" si="18"/>
        <v>2.0598404343906768E-4</v>
      </c>
      <c r="O91" s="116">
        <f>Amnt_Deposited!B86</f>
        <v>2072</v>
      </c>
      <c r="P91" s="119">
        <f>Amnt_Deposited!E86</f>
        <v>0</v>
      </c>
      <c r="Q91" s="319">
        <f>MCF!R90</f>
        <v>0.8</v>
      </c>
      <c r="R91" s="87">
        <f t="shared" si="17"/>
        <v>0</v>
      </c>
      <c r="S91" s="87">
        <f t="shared" si="19"/>
        <v>0</v>
      </c>
      <c r="T91" s="87">
        <f t="shared" si="20"/>
        <v>0</v>
      </c>
      <c r="U91" s="87">
        <f t="shared" si="21"/>
        <v>0</v>
      </c>
      <c r="V91" s="87">
        <f t="shared" si="22"/>
        <v>0</v>
      </c>
      <c r="W91" s="120">
        <f t="shared" si="23"/>
        <v>0</v>
      </c>
    </row>
    <row r="92" spans="2:23">
      <c r="B92" s="116">
        <f>Amnt_Deposited!B87</f>
        <v>2073</v>
      </c>
      <c r="C92" s="119">
        <f>Amnt_Deposited!D87</f>
        <v>0</v>
      </c>
      <c r="D92" s="453">
        <f>Dry_Matter_Content!E79</f>
        <v>0.44</v>
      </c>
      <c r="E92" s="319">
        <f>MCF!R91</f>
        <v>0.8</v>
      </c>
      <c r="F92" s="87">
        <f t="shared" si="12"/>
        <v>0</v>
      </c>
      <c r="G92" s="87">
        <f t="shared" si="13"/>
        <v>0</v>
      </c>
      <c r="H92" s="87">
        <f t="shared" si="14"/>
        <v>0</v>
      </c>
      <c r="I92" s="87">
        <f t="shared" si="15"/>
        <v>1.4067210517550834E-3</v>
      </c>
      <c r="J92" s="87">
        <f t="shared" si="16"/>
        <v>2.6067223534470389E-4</v>
      </c>
      <c r="K92" s="120">
        <f t="shared" si="18"/>
        <v>1.7378149022980258E-4</v>
      </c>
      <c r="O92" s="116">
        <f>Amnt_Deposited!B87</f>
        <v>2073</v>
      </c>
      <c r="P92" s="119">
        <f>Amnt_Deposited!E87</f>
        <v>0</v>
      </c>
      <c r="Q92" s="319">
        <f>MCF!R91</f>
        <v>0.8</v>
      </c>
      <c r="R92" s="87">
        <f t="shared" si="17"/>
        <v>0</v>
      </c>
      <c r="S92" s="87">
        <f t="shared" si="19"/>
        <v>0</v>
      </c>
      <c r="T92" s="87">
        <f t="shared" si="20"/>
        <v>0</v>
      </c>
      <c r="U92" s="87">
        <f t="shared" si="21"/>
        <v>0</v>
      </c>
      <c r="V92" s="87">
        <f t="shared" si="22"/>
        <v>0</v>
      </c>
      <c r="W92" s="120">
        <f t="shared" si="23"/>
        <v>0</v>
      </c>
    </row>
    <row r="93" spans="2:23">
      <c r="B93" s="116">
        <f>Amnt_Deposited!B88</f>
        <v>2074</v>
      </c>
      <c r="C93" s="119">
        <f>Amnt_Deposited!D88</f>
        <v>0</v>
      </c>
      <c r="D93" s="453">
        <f>Dry_Matter_Content!E80</f>
        <v>0.44</v>
      </c>
      <c r="E93" s="319">
        <f>MCF!R92</f>
        <v>0.8</v>
      </c>
      <c r="F93" s="87">
        <f t="shared" si="12"/>
        <v>0</v>
      </c>
      <c r="G93" s="87">
        <f t="shared" si="13"/>
        <v>0</v>
      </c>
      <c r="H93" s="87">
        <f t="shared" si="14"/>
        <v>0</v>
      </c>
      <c r="I93" s="87">
        <f t="shared" si="15"/>
        <v>1.1868010581312244E-3</v>
      </c>
      <c r="J93" s="87">
        <f t="shared" si="16"/>
        <v>2.1991999362385898E-4</v>
      </c>
      <c r="K93" s="120">
        <f t="shared" si="18"/>
        <v>1.4661332908257263E-4</v>
      </c>
      <c r="O93" s="116">
        <f>Amnt_Deposited!B88</f>
        <v>2074</v>
      </c>
      <c r="P93" s="119">
        <f>Amnt_Deposited!E88</f>
        <v>0</v>
      </c>
      <c r="Q93" s="319">
        <f>MCF!R92</f>
        <v>0.8</v>
      </c>
      <c r="R93" s="87">
        <f t="shared" si="17"/>
        <v>0</v>
      </c>
      <c r="S93" s="87">
        <f t="shared" si="19"/>
        <v>0</v>
      </c>
      <c r="T93" s="87">
        <f t="shared" si="20"/>
        <v>0</v>
      </c>
      <c r="U93" s="87">
        <f t="shared" si="21"/>
        <v>0</v>
      </c>
      <c r="V93" s="87">
        <f t="shared" si="22"/>
        <v>0</v>
      </c>
      <c r="W93" s="120">
        <f t="shared" si="23"/>
        <v>0</v>
      </c>
    </row>
    <row r="94" spans="2:23">
      <c r="B94" s="116">
        <f>Amnt_Deposited!B89</f>
        <v>2075</v>
      </c>
      <c r="C94" s="119">
        <f>Amnt_Deposited!D89</f>
        <v>0</v>
      </c>
      <c r="D94" s="453">
        <f>Dry_Matter_Content!E81</f>
        <v>0.44</v>
      </c>
      <c r="E94" s="319">
        <f>MCF!R93</f>
        <v>0.8</v>
      </c>
      <c r="F94" s="87">
        <f t="shared" si="12"/>
        <v>0</v>
      </c>
      <c r="G94" s="87">
        <f t="shared" si="13"/>
        <v>0</v>
      </c>
      <c r="H94" s="87">
        <f t="shared" si="14"/>
        <v>0</v>
      </c>
      <c r="I94" s="87">
        <f t="shared" si="15"/>
        <v>1.0012622970446735E-3</v>
      </c>
      <c r="J94" s="87">
        <f t="shared" si="16"/>
        <v>1.8553876108655084E-4</v>
      </c>
      <c r="K94" s="120">
        <f t="shared" si="18"/>
        <v>1.2369250739103387E-4</v>
      </c>
      <c r="O94" s="116">
        <f>Amnt_Deposited!B89</f>
        <v>2075</v>
      </c>
      <c r="P94" s="119">
        <f>Amnt_Deposited!E89</f>
        <v>0</v>
      </c>
      <c r="Q94" s="319">
        <f>MCF!R93</f>
        <v>0.8</v>
      </c>
      <c r="R94" s="87">
        <f t="shared" si="17"/>
        <v>0</v>
      </c>
      <c r="S94" s="87">
        <f t="shared" si="19"/>
        <v>0</v>
      </c>
      <c r="T94" s="87">
        <f t="shared" si="20"/>
        <v>0</v>
      </c>
      <c r="U94" s="87">
        <f t="shared" si="21"/>
        <v>0</v>
      </c>
      <c r="V94" s="87">
        <f t="shared" si="22"/>
        <v>0</v>
      </c>
      <c r="W94" s="120">
        <f t="shared" si="23"/>
        <v>0</v>
      </c>
    </row>
    <row r="95" spans="2:23">
      <c r="B95" s="116">
        <f>Amnt_Deposited!B90</f>
        <v>2076</v>
      </c>
      <c r="C95" s="119">
        <f>Amnt_Deposited!D90</f>
        <v>0</v>
      </c>
      <c r="D95" s="453">
        <f>Dry_Matter_Content!E82</f>
        <v>0.44</v>
      </c>
      <c r="E95" s="319">
        <f>MCF!R94</f>
        <v>0.8</v>
      </c>
      <c r="F95" s="87">
        <f t="shared" si="12"/>
        <v>0</v>
      </c>
      <c r="G95" s="87">
        <f t="shared" si="13"/>
        <v>0</v>
      </c>
      <c r="H95" s="87">
        <f t="shared" si="14"/>
        <v>0</v>
      </c>
      <c r="I95" s="87">
        <f t="shared" si="15"/>
        <v>8.447297722010684E-4</v>
      </c>
      <c r="J95" s="87">
        <f t="shared" si="16"/>
        <v>1.5653252484360518E-4</v>
      </c>
      <c r="K95" s="120">
        <f t="shared" si="18"/>
        <v>1.0435501656240345E-4</v>
      </c>
      <c r="O95" s="116">
        <f>Amnt_Deposited!B90</f>
        <v>2076</v>
      </c>
      <c r="P95" s="119">
        <f>Amnt_Deposited!E90</f>
        <v>0</v>
      </c>
      <c r="Q95" s="319">
        <f>MCF!R94</f>
        <v>0.8</v>
      </c>
      <c r="R95" s="87">
        <f t="shared" si="17"/>
        <v>0</v>
      </c>
      <c r="S95" s="87">
        <f t="shared" si="19"/>
        <v>0</v>
      </c>
      <c r="T95" s="87">
        <f t="shared" si="20"/>
        <v>0</v>
      </c>
      <c r="U95" s="87">
        <f t="shared" si="21"/>
        <v>0</v>
      </c>
      <c r="V95" s="87">
        <f t="shared" si="22"/>
        <v>0</v>
      </c>
      <c r="W95" s="120">
        <f t="shared" si="23"/>
        <v>0</v>
      </c>
    </row>
    <row r="96" spans="2:23">
      <c r="B96" s="116">
        <f>Amnt_Deposited!B91</f>
        <v>2077</v>
      </c>
      <c r="C96" s="119">
        <f>Amnt_Deposited!D91</f>
        <v>0</v>
      </c>
      <c r="D96" s="453">
        <f>Dry_Matter_Content!E83</f>
        <v>0.44</v>
      </c>
      <c r="E96" s="319">
        <f>MCF!R95</f>
        <v>0.8</v>
      </c>
      <c r="F96" s="87">
        <f t="shared" si="12"/>
        <v>0</v>
      </c>
      <c r="G96" s="87">
        <f t="shared" si="13"/>
        <v>0</v>
      </c>
      <c r="H96" s="87">
        <f t="shared" si="14"/>
        <v>0</v>
      </c>
      <c r="I96" s="87">
        <f t="shared" si="15"/>
        <v>7.1266878833751936E-4</v>
      </c>
      <c r="J96" s="87">
        <f t="shared" si="16"/>
        <v>1.3206098386354904E-4</v>
      </c>
      <c r="K96" s="120">
        <f t="shared" si="18"/>
        <v>8.8040655909032685E-5</v>
      </c>
      <c r="O96" s="116">
        <f>Amnt_Deposited!B91</f>
        <v>2077</v>
      </c>
      <c r="P96" s="119">
        <f>Amnt_Deposited!E91</f>
        <v>0</v>
      </c>
      <c r="Q96" s="319">
        <f>MCF!R95</f>
        <v>0.8</v>
      </c>
      <c r="R96" s="87">
        <f t="shared" si="17"/>
        <v>0</v>
      </c>
      <c r="S96" s="87">
        <f t="shared" si="19"/>
        <v>0</v>
      </c>
      <c r="T96" s="87">
        <f t="shared" si="20"/>
        <v>0</v>
      </c>
      <c r="U96" s="87">
        <f t="shared" si="21"/>
        <v>0</v>
      </c>
      <c r="V96" s="87">
        <f t="shared" si="22"/>
        <v>0</v>
      </c>
      <c r="W96" s="120">
        <f t="shared" si="23"/>
        <v>0</v>
      </c>
    </row>
    <row r="97" spans="2:23">
      <c r="B97" s="116">
        <f>Amnt_Deposited!B92</f>
        <v>2078</v>
      </c>
      <c r="C97" s="119">
        <f>Amnt_Deposited!D92</f>
        <v>0</v>
      </c>
      <c r="D97" s="453">
        <f>Dry_Matter_Content!E84</f>
        <v>0.44</v>
      </c>
      <c r="E97" s="319">
        <f>MCF!R96</f>
        <v>0.8</v>
      </c>
      <c r="F97" s="87">
        <f t="shared" si="12"/>
        <v>0</v>
      </c>
      <c r="G97" s="87">
        <f t="shared" si="13"/>
        <v>0</v>
      </c>
      <c r="H97" s="87">
        <f t="shared" si="14"/>
        <v>0</v>
      </c>
      <c r="I97" s="87">
        <f t="shared" si="15"/>
        <v>6.0125358260674025E-4</v>
      </c>
      <c r="J97" s="87">
        <f t="shared" si="16"/>
        <v>1.114152057307791E-4</v>
      </c>
      <c r="K97" s="120">
        <f t="shared" si="18"/>
        <v>7.4276803820519388E-5</v>
      </c>
      <c r="O97" s="116">
        <f>Amnt_Deposited!B92</f>
        <v>2078</v>
      </c>
      <c r="P97" s="119">
        <f>Amnt_Deposited!E92</f>
        <v>0</v>
      </c>
      <c r="Q97" s="319">
        <f>MCF!R96</f>
        <v>0.8</v>
      </c>
      <c r="R97" s="87">
        <f t="shared" si="17"/>
        <v>0</v>
      </c>
      <c r="S97" s="87">
        <f t="shared" si="19"/>
        <v>0</v>
      </c>
      <c r="T97" s="87">
        <f t="shared" si="20"/>
        <v>0</v>
      </c>
      <c r="U97" s="87">
        <f t="shared" si="21"/>
        <v>0</v>
      </c>
      <c r="V97" s="87">
        <f t="shared" si="22"/>
        <v>0</v>
      </c>
      <c r="W97" s="120">
        <f t="shared" si="23"/>
        <v>0</v>
      </c>
    </row>
    <row r="98" spans="2:23">
      <c r="B98" s="116">
        <f>Amnt_Deposited!B93</f>
        <v>2079</v>
      </c>
      <c r="C98" s="119">
        <f>Amnt_Deposited!D93</f>
        <v>0</v>
      </c>
      <c r="D98" s="453">
        <f>Dry_Matter_Content!E85</f>
        <v>0.44</v>
      </c>
      <c r="E98" s="319">
        <f>MCF!R97</f>
        <v>0.8</v>
      </c>
      <c r="F98" s="87">
        <f t="shared" si="12"/>
        <v>0</v>
      </c>
      <c r="G98" s="87">
        <f t="shared" si="13"/>
        <v>0</v>
      </c>
      <c r="H98" s="87">
        <f t="shared" si="14"/>
        <v>0</v>
      </c>
      <c r="I98" s="87">
        <f t="shared" si="15"/>
        <v>5.0725649349783416E-4</v>
      </c>
      <c r="J98" s="87">
        <f t="shared" si="16"/>
        <v>9.3997089108906101E-5</v>
      </c>
      <c r="K98" s="120">
        <f t="shared" si="18"/>
        <v>6.2664726072604067E-5</v>
      </c>
      <c r="O98" s="116">
        <f>Amnt_Deposited!B93</f>
        <v>2079</v>
      </c>
      <c r="P98" s="119">
        <f>Amnt_Deposited!E93</f>
        <v>0</v>
      </c>
      <c r="Q98" s="319">
        <f>MCF!R97</f>
        <v>0.8</v>
      </c>
      <c r="R98" s="87">
        <f t="shared" si="17"/>
        <v>0</v>
      </c>
      <c r="S98" s="87">
        <f t="shared" si="19"/>
        <v>0</v>
      </c>
      <c r="T98" s="87">
        <f t="shared" si="20"/>
        <v>0</v>
      </c>
      <c r="U98" s="87">
        <f t="shared" si="21"/>
        <v>0</v>
      </c>
      <c r="V98" s="87">
        <f t="shared" si="22"/>
        <v>0</v>
      </c>
      <c r="W98" s="120">
        <f t="shared" si="23"/>
        <v>0</v>
      </c>
    </row>
    <row r="99" spans="2:23" ht="13.5" thickBot="1">
      <c r="B99" s="117">
        <f>Amnt_Deposited!B94</f>
        <v>2080</v>
      </c>
      <c r="C99" s="121">
        <f>Amnt_Deposited!D94</f>
        <v>0</v>
      </c>
      <c r="D99" s="453">
        <f>Dry_Matter_Content!E86</f>
        <v>0.44</v>
      </c>
      <c r="E99" s="320">
        <f>MCF!R98</f>
        <v>0.8</v>
      </c>
      <c r="F99" s="88">
        <f t="shared" si="12"/>
        <v>0</v>
      </c>
      <c r="G99" s="88">
        <f t="shared" si="13"/>
        <v>0</v>
      </c>
      <c r="H99" s="88">
        <f t="shared" si="14"/>
        <v>0</v>
      </c>
      <c r="I99" s="88">
        <f t="shared" si="15"/>
        <v>4.2795445655417498E-4</v>
      </c>
      <c r="J99" s="88">
        <f t="shared" si="16"/>
        <v>7.9302036943659199E-5</v>
      </c>
      <c r="K99" s="122">
        <f t="shared" si="18"/>
        <v>5.286802462910613E-5</v>
      </c>
      <c r="O99" s="117">
        <f>Amnt_Deposited!B94</f>
        <v>2080</v>
      </c>
      <c r="P99" s="119">
        <f>Amnt_Deposited!E94</f>
        <v>0</v>
      </c>
      <c r="Q99" s="320">
        <f>MCF!R98</f>
        <v>0.8</v>
      </c>
      <c r="R99" s="88">
        <f t="shared" si="17"/>
        <v>0</v>
      </c>
      <c r="S99" s="88">
        <f>R99*$W$12</f>
        <v>0</v>
      </c>
      <c r="T99" s="88">
        <f>R99*(1-$W$12)</f>
        <v>0</v>
      </c>
      <c r="U99" s="88">
        <f>S99+U98*$W$10</f>
        <v>0</v>
      </c>
      <c r="V99" s="88">
        <f>U98*(1-$W$10)+T99</f>
        <v>0</v>
      </c>
      <c r="W99" s="12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3" workbookViewId="0">
      <selection activeCell="P19" sqref="P19"/>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65" t="s">
        <v>312</v>
      </c>
      <c r="C2" s="251"/>
      <c r="D2" s="251"/>
      <c r="E2" s="252"/>
      <c r="F2" s="253"/>
      <c r="G2" s="253"/>
      <c r="H2" s="253"/>
      <c r="I2" s="253"/>
      <c r="J2" s="253"/>
      <c r="K2" s="253"/>
    </row>
    <row r="3" spans="1:23" ht="15">
      <c r="B3" s="275" t="str">
        <f>IF(Select2=2,"This sheet applies only to the waste compositon option and can be deleted when the bulk waste option has been chosen","")</f>
        <v/>
      </c>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293">
        <f>Parameters!O17</f>
        <v>0.49</v>
      </c>
      <c r="O6" s="257"/>
      <c r="P6" s="258"/>
      <c r="Q6" s="249"/>
      <c r="R6" s="128" t="s">
        <v>9</v>
      </c>
      <c r="S6" s="129"/>
      <c r="T6" s="129"/>
      <c r="U6" s="133"/>
      <c r="V6" s="140" t="s">
        <v>9</v>
      </c>
      <c r="W6" s="293">
        <f>Parameters!R17</f>
        <v>0.2</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Parameters!O36</f>
        <v>0.17</v>
      </c>
      <c r="O8" s="67"/>
      <c r="P8" s="67"/>
      <c r="Q8" s="249"/>
      <c r="R8" s="128" t="s">
        <v>192</v>
      </c>
      <c r="S8" s="129"/>
      <c r="T8" s="129"/>
      <c r="U8" s="133"/>
      <c r="V8" s="140" t="s">
        <v>188</v>
      </c>
      <c r="W8" s="134">
        <f>Parameters!O36</f>
        <v>0.17</v>
      </c>
    </row>
    <row r="9" spans="1:23" ht="15.75">
      <c r="F9" s="279" t="s">
        <v>190</v>
      </c>
      <c r="G9" s="280"/>
      <c r="H9" s="280"/>
      <c r="I9" s="281"/>
      <c r="J9" s="282" t="s">
        <v>189</v>
      </c>
      <c r="K9" s="288">
        <f>LN(2)/$K$8</f>
        <v>4.077336356234972</v>
      </c>
      <c r="O9" s="67"/>
      <c r="P9" s="67"/>
      <c r="Q9" s="249"/>
      <c r="R9" s="279" t="s">
        <v>190</v>
      </c>
      <c r="S9" s="280"/>
      <c r="T9" s="280"/>
      <c r="U9" s="281"/>
      <c r="V9" s="282" t="s">
        <v>189</v>
      </c>
      <c r="W9" s="288">
        <f>LN(2)/$W$8</f>
        <v>4.077336356234972</v>
      </c>
    </row>
    <row r="10" spans="1:23">
      <c r="F10" s="130" t="s">
        <v>84</v>
      </c>
      <c r="G10" s="131"/>
      <c r="H10" s="131"/>
      <c r="I10" s="132"/>
      <c r="J10" s="141" t="s">
        <v>148</v>
      </c>
      <c r="K10" s="69">
        <f>EXP(-$K$8)</f>
        <v>0.8436648165963837</v>
      </c>
      <c r="O10" s="67"/>
      <c r="P10" s="67"/>
      <c r="Q10" s="249"/>
      <c r="R10" s="130" t="s">
        <v>84</v>
      </c>
      <c r="S10" s="131"/>
      <c r="T10" s="131"/>
      <c r="U10" s="132"/>
      <c r="V10" s="141" t="s">
        <v>148</v>
      </c>
      <c r="W10" s="69">
        <f>EXP(-$W$8)</f>
        <v>0.8436648165963837</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Amnt_Deposited!F14</f>
        <v>0</v>
      </c>
      <c r="D19" s="451">
        <f>Dry_Matter_Content!F6</f>
        <v>0.56999999999999995</v>
      </c>
      <c r="E19" s="318">
        <f>MCF!R18</f>
        <v>0.8</v>
      </c>
      <c r="F19" s="150">
        <f t="shared" ref="F19:F50" si="0">C19*D19*$K$6*DOCF*E19</f>
        <v>0</v>
      </c>
      <c r="G19" s="85">
        <f t="shared" ref="G19:G82" si="1">F19*$K$12</f>
        <v>0</v>
      </c>
      <c r="H19" s="85">
        <f t="shared" ref="H19:H82" si="2">F19*(1-$K$12)</f>
        <v>0</v>
      </c>
      <c r="I19" s="85">
        <f t="shared" ref="I19:I82" si="3">G19+I18*$K$10</f>
        <v>0</v>
      </c>
      <c r="J19" s="85">
        <f t="shared" ref="J19:J82" si="4">I18*(1-$K$10)+H19</f>
        <v>0</v>
      </c>
      <c r="K19" s="86">
        <f>J19*CH4_fraction*conv</f>
        <v>0</v>
      </c>
      <c r="O19" s="115">
        <f>Amnt_Deposited!B14</f>
        <v>2000</v>
      </c>
      <c r="P19" s="118">
        <f>Amnt_Deposited!F14</f>
        <v>0</v>
      </c>
      <c r="Q19" s="318">
        <f>MCF!R18</f>
        <v>0.8</v>
      </c>
      <c r="R19" s="150">
        <f t="shared" ref="R19:R50" si="5">P19*$W$6*DOCF*Q19</f>
        <v>0</v>
      </c>
      <c r="S19" s="85">
        <f>R19*$W$12</f>
        <v>0</v>
      </c>
      <c r="T19" s="85">
        <f>R19*(1-$W$12)</f>
        <v>0</v>
      </c>
      <c r="U19" s="85">
        <f>S19+U18*$W$10</f>
        <v>0</v>
      </c>
      <c r="V19" s="85">
        <f>U18*(1-$W$10)+T19</f>
        <v>0</v>
      </c>
      <c r="W19" s="86">
        <f>V19*CH4_fraction*conv</f>
        <v>0</v>
      </c>
    </row>
    <row r="20" spans="2:23">
      <c r="B20" s="116">
        <f>Amnt_Deposited!B15</f>
        <v>2001</v>
      </c>
      <c r="C20" s="119">
        <f>Amnt_Deposited!F15</f>
        <v>0</v>
      </c>
      <c r="D20" s="453">
        <f>Dry_Matter_Content!F7</f>
        <v>0.56999999999999995</v>
      </c>
      <c r="E20" s="319">
        <f>MCF!R19</f>
        <v>0.8</v>
      </c>
      <c r="F20" s="87">
        <f t="shared" si="0"/>
        <v>0</v>
      </c>
      <c r="G20" s="87">
        <f t="shared" si="1"/>
        <v>0</v>
      </c>
      <c r="H20" s="87">
        <f t="shared" si="2"/>
        <v>0</v>
      </c>
      <c r="I20" s="87">
        <f t="shared" si="3"/>
        <v>0</v>
      </c>
      <c r="J20" s="87">
        <f t="shared" si="4"/>
        <v>0</v>
      </c>
      <c r="K20" s="120">
        <f>J20*CH4_fraction*conv</f>
        <v>0</v>
      </c>
      <c r="M20" s="428"/>
      <c r="O20" s="116">
        <f>Amnt_Deposited!B15</f>
        <v>2001</v>
      </c>
      <c r="P20" s="119">
        <f>Amnt_Deposited!F15</f>
        <v>0</v>
      </c>
      <c r="Q20" s="319">
        <f>MCF!R19</f>
        <v>0.8</v>
      </c>
      <c r="R20" s="87">
        <f t="shared" si="5"/>
        <v>0</v>
      </c>
      <c r="S20" s="87">
        <f>R20*$W$12</f>
        <v>0</v>
      </c>
      <c r="T20" s="87">
        <f>R20*(1-$W$12)</f>
        <v>0</v>
      </c>
      <c r="U20" s="87">
        <f>S20+U19*$W$10</f>
        <v>0</v>
      </c>
      <c r="V20" s="87">
        <f>U19*(1-$W$10)+T20</f>
        <v>0</v>
      </c>
      <c r="W20" s="120">
        <f>V20*CH4_fraction*conv</f>
        <v>0</v>
      </c>
    </row>
    <row r="21" spans="2:23">
      <c r="B21" s="116">
        <f>Amnt_Deposited!B16</f>
        <v>2002</v>
      </c>
      <c r="C21" s="119">
        <f>Amnt_Deposited!F16</f>
        <v>0</v>
      </c>
      <c r="D21" s="453">
        <f>Dry_Matter_Content!F8</f>
        <v>0.56999999999999995</v>
      </c>
      <c r="E21" s="319">
        <f>MCF!R20</f>
        <v>0.8</v>
      </c>
      <c r="F21" s="87">
        <f t="shared" si="0"/>
        <v>0</v>
      </c>
      <c r="G21" s="87">
        <f t="shared" si="1"/>
        <v>0</v>
      </c>
      <c r="H21" s="87">
        <f t="shared" si="2"/>
        <v>0</v>
      </c>
      <c r="I21" s="87">
        <f t="shared" si="3"/>
        <v>0</v>
      </c>
      <c r="J21" s="87">
        <f t="shared" si="4"/>
        <v>0</v>
      </c>
      <c r="K21" s="120">
        <f t="shared" ref="K21:K84" si="6">J21*CH4_fraction*conv</f>
        <v>0</v>
      </c>
      <c r="O21" s="116">
        <f>Amnt_Deposited!B16</f>
        <v>2002</v>
      </c>
      <c r="P21" s="119">
        <f>Amnt_Deposited!F16</f>
        <v>0</v>
      </c>
      <c r="Q21" s="319">
        <f>MCF!R20</f>
        <v>0.8</v>
      </c>
      <c r="R21" s="87">
        <f t="shared" si="5"/>
        <v>0</v>
      </c>
      <c r="S21" s="87">
        <f t="shared" ref="S21:S84" si="7">R21*$W$12</f>
        <v>0</v>
      </c>
      <c r="T21" s="87">
        <f t="shared" ref="T21:T84" si="8">R21*(1-$W$12)</f>
        <v>0</v>
      </c>
      <c r="U21" s="87">
        <f t="shared" ref="U21:U84" si="9">S21+U20*$W$10</f>
        <v>0</v>
      </c>
      <c r="V21" s="87">
        <f t="shared" ref="V21:V84" si="10">U20*(1-$W$10)+T21</f>
        <v>0</v>
      </c>
      <c r="W21" s="120">
        <f t="shared" ref="W21:W84" si="11">V21*CH4_fraction*conv</f>
        <v>0</v>
      </c>
    </row>
    <row r="22" spans="2:23">
      <c r="B22" s="116">
        <f>Amnt_Deposited!B17</f>
        <v>2003</v>
      </c>
      <c r="C22" s="119">
        <f>Amnt_Deposited!F17</f>
        <v>0</v>
      </c>
      <c r="D22" s="453">
        <f>Dry_Matter_Content!F9</f>
        <v>0.56999999999999995</v>
      </c>
      <c r="E22" s="319">
        <f>MCF!R21</f>
        <v>0.8</v>
      </c>
      <c r="F22" s="87">
        <f t="shared" si="0"/>
        <v>0</v>
      </c>
      <c r="G22" s="87">
        <f t="shared" si="1"/>
        <v>0</v>
      </c>
      <c r="H22" s="87">
        <f t="shared" si="2"/>
        <v>0</v>
      </c>
      <c r="I22" s="87">
        <f t="shared" si="3"/>
        <v>0</v>
      </c>
      <c r="J22" s="87">
        <f t="shared" si="4"/>
        <v>0</v>
      </c>
      <c r="K22" s="120">
        <f t="shared" si="6"/>
        <v>0</v>
      </c>
      <c r="N22" s="290"/>
      <c r="O22" s="116">
        <f>Amnt_Deposited!B17</f>
        <v>2003</v>
      </c>
      <c r="P22" s="119">
        <f>Amnt_Deposited!F17</f>
        <v>0</v>
      </c>
      <c r="Q22" s="319">
        <f>MCF!R21</f>
        <v>0.8</v>
      </c>
      <c r="R22" s="87">
        <f t="shared" si="5"/>
        <v>0</v>
      </c>
      <c r="S22" s="87">
        <f t="shared" si="7"/>
        <v>0</v>
      </c>
      <c r="T22" s="87">
        <f t="shared" si="8"/>
        <v>0</v>
      </c>
      <c r="U22" s="87">
        <f t="shared" si="9"/>
        <v>0</v>
      </c>
      <c r="V22" s="87">
        <f t="shared" si="10"/>
        <v>0</v>
      </c>
      <c r="W22" s="120">
        <f t="shared" si="11"/>
        <v>0</v>
      </c>
    </row>
    <row r="23" spans="2:23">
      <c r="B23" s="116">
        <f>Amnt_Deposited!B18</f>
        <v>2004</v>
      </c>
      <c r="C23" s="119">
        <f>Amnt_Deposited!F18</f>
        <v>0</v>
      </c>
      <c r="D23" s="453">
        <f>Dry_Matter_Content!F10</f>
        <v>0.56999999999999995</v>
      </c>
      <c r="E23" s="319">
        <f>MCF!R22</f>
        <v>0.8</v>
      </c>
      <c r="F23" s="87">
        <f t="shared" si="0"/>
        <v>0</v>
      </c>
      <c r="G23" s="87">
        <f t="shared" si="1"/>
        <v>0</v>
      </c>
      <c r="H23" s="87">
        <f t="shared" si="2"/>
        <v>0</v>
      </c>
      <c r="I23" s="87">
        <f t="shared" si="3"/>
        <v>0</v>
      </c>
      <c r="J23" s="87">
        <f t="shared" si="4"/>
        <v>0</v>
      </c>
      <c r="K23" s="120">
        <f t="shared" si="6"/>
        <v>0</v>
      </c>
      <c r="N23" s="290"/>
      <c r="O23" s="116">
        <f>Amnt_Deposited!B18</f>
        <v>2004</v>
      </c>
      <c r="P23" s="119">
        <f>Amnt_Deposited!F18</f>
        <v>0</v>
      </c>
      <c r="Q23" s="319">
        <f>MCF!R22</f>
        <v>0.8</v>
      </c>
      <c r="R23" s="87">
        <f t="shared" si="5"/>
        <v>0</v>
      </c>
      <c r="S23" s="87">
        <f t="shared" si="7"/>
        <v>0</v>
      </c>
      <c r="T23" s="87">
        <f t="shared" si="8"/>
        <v>0</v>
      </c>
      <c r="U23" s="87">
        <f t="shared" si="9"/>
        <v>0</v>
      </c>
      <c r="V23" s="87">
        <f t="shared" si="10"/>
        <v>0</v>
      </c>
      <c r="W23" s="120">
        <f t="shared" si="11"/>
        <v>0</v>
      </c>
    </row>
    <row r="24" spans="2:23">
      <c r="B24" s="116">
        <f>Amnt_Deposited!B19</f>
        <v>2005</v>
      </c>
      <c r="C24" s="119">
        <f>Amnt_Deposited!F19</f>
        <v>0</v>
      </c>
      <c r="D24" s="453">
        <f>Dry_Matter_Content!F11</f>
        <v>0.56999999999999995</v>
      </c>
      <c r="E24" s="319">
        <f>MCF!R23</f>
        <v>0.8</v>
      </c>
      <c r="F24" s="87">
        <f t="shared" si="0"/>
        <v>0</v>
      </c>
      <c r="G24" s="87">
        <f t="shared" si="1"/>
        <v>0</v>
      </c>
      <c r="H24" s="87">
        <f t="shared" si="2"/>
        <v>0</v>
      </c>
      <c r="I24" s="87">
        <f t="shared" si="3"/>
        <v>0</v>
      </c>
      <c r="J24" s="87">
        <f t="shared" si="4"/>
        <v>0</v>
      </c>
      <c r="K24" s="120">
        <f t="shared" si="6"/>
        <v>0</v>
      </c>
      <c r="N24" s="290"/>
      <c r="O24" s="116">
        <f>Amnt_Deposited!B19</f>
        <v>2005</v>
      </c>
      <c r="P24" s="119">
        <f>Amnt_Deposited!F19</f>
        <v>0</v>
      </c>
      <c r="Q24" s="319">
        <f>MCF!R23</f>
        <v>0.8</v>
      </c>
      <c r="R24" s="87">
        <f t="shared" si="5"/>
        <v>0</v>
      </c>
      <c r="S24" s="87">
        <f t="shared" si="7"/>
        <v>0</v>
      </c>
      <c r="T24" s="87">
        <f t="shared" si="8"/>
        <v>0</v>
      </c>
      <c r="U24" s="87">
        <f t="shared" si="9"/>
        <v>0</v>
      </c>
      <c r="V24" s="87">
        <f t="shared" si="10"/>
        <v>0</v>
      </c>
      <c r="W24" s="120">
        <f t="shared" si="11"/>
        <v>0</v>
      </c>
    </row>
    <row r="25" spans="2:23">
      <c r="B25" s="116">
        <f>Amnt_Deposited!B20</f>
        <v>2006</v>
      </c>
      <c r="C25" s="119">
        <f>Amnt_Deposited!F20</f>
        <v>0</v>
      </c>
      <c r="D25" s="453">
        <f>Dry_Matter_Content!F12</f>
        <v>0.56999999999999995</v>
      </c>
      <c r="E25" s="319">
        <f>MCF!R24</f>
        <v>0.8</v>
      </c>
      <c r="F25" s="87">
        <f t="shared" si="0"/>
        <v>0</v>
      </c>
      <c r="G25" s="87">
        <f t="shared" si="1"/>
        <v>0</v>
      </c>
      <c r="H25" s="87">
        <f t="shared" si="2"/>
        <v>0</v>
      </c>
      <c r="I25" s="87">
        <f t="shared" si="3"/>
        <v>0</v>
      </c>
      <c r="J25" s="87">
        <f t="shared" si="4"/>
        <v>0</v>
      </c>
      <c r="K25" s="120">
        <f t="shared" si="6"/>
        <v>0</v>
      </c>
      <c r="N25" s="290"/>
      <c r="O25" s="116">
        <f>Amnt_Deposited!B20</f>
        <v>2006</v>
      </c>
      <c r="P25" s="119">
        <f>Amnt_Deposited!F20</f>
        <v>0</v>
      </c>
      <c r="Q25" s="319">
        <f>MCF!R24</f>
        <v>0.8</v>
      </c>
      <c r="R25" s="87">
        <f t="shared" si="5"/>
        <v>0</v>
      </c>
      <c r="S25" s="87">
        <f t="shared" si="7"/>
        <v>0</v>
      </c>
      <c r="T25" s="87">
        <f t="shared" si="8"/>
        <v>0</v>
      </c>
      <c r="U25" s="87">
        <f t="shared" si="9"/>
        <v>0</v>
      </c>
      <c r="V25" s="87">
        <f t="shared" si="10"/>
        <v>0</v>
      </c>
      <c r="W25" s="120">
        <f t="shared" si="11"/>
        <v>0</v>
      </c>
    </row>
    <row r="26" spans="2:23">
      <c r="B26" s="116">
        <f>Amnt_Deposited!B21</f>
        <v>2007</v>
      </c>
      <c r="C26" s="119">
        <f>Amnt_Deposited!F21</f>
        <v>0</v>
      </c>
      <c r="D26" s="453">
        <f>Dry_Matter_Content!F13</f>
        <v>0.56999999999999995</v>
      </c>
      <c r="E26" s="319">
        <f>MCF!R25</f>
        <v>0.8</v>
      </c>
      <c r="F26" s="87">
        <f t="shared" si="0"/>
        <v>0</v>
      </c>
      <c r="G26" s="87">
        <f t="shared" si="1"/>
        <v>0</v>
      </c>
      <c r="H26" s="87">
        <f t="shared" si="2"/>
        <v>0</v>
      </c>
      <c r="I26" s="87">
        <f t="shared" si="3"/>
        <v>0</v>
      </c>
      <c r="J26" s="87">
        <f t="shared" si="4"/>
        <v>0</v>
      </c>
      <c r="K26" s="120">
        <f t="shared" si="6"/>
        <v>0</v>
      </c>
      <c r="N26" s="290"/>
      <c r="O26" s="116">
        <f>Amnt_Deposited!B21</f>
        <v>2007</v>
      </c>
      <c r="P26" s="119">
        <f>Amnt_Deposited!F21</f>
        <v>0</v>
      </c>
      <c r="Q26" s="319">
        <f>MCF!R25</f>
        <v>0.8</v>
      </c>
      <c r="R26" s="87">
        <f t="shared" si="5"/>
        <v>0</v>
      </c>
      <c r="S26" s="87">
        <f t="shared" si="7"/>
        <v>0</v>
      </c>
      <c r="T26" s="87">
        <f t="shared" si="8"/>
        <v>0</v>
      </c>
      <c r="U26" s="87">
        <f t="shared" si="9"/>
        <v>0</v>
      </c>
      <c r="V26" s="87">
        <f t="shared" si="10"/>
        <v>0</v>
      </c>
      <c r="W26" s="120">
        <f t="shared" si="11"/>
        <v>0</v>
      </c>
    </row>
    <row r="27" spans="2:23">
      <c r="B27" s="116">
        <f>Amnt_Deposited!B22</f>
        <v>2008</v>
      </c>
      <c r="C27" s="119">
        <f>Amnt_Deposited!F22</f>
        <v>0</v>
      </c>
      <c r="D27" s="453">
        <f>Dry_Matter_Content!F14</f>
        <v>0.56999999999999995</v>
      </c>
      <c r="E27" s="319">
        <f>MCF!R26</f>
        <v>0.8</v>
      </c>
      <c r="F27" s="87">
        <f t="shared" si="0"/>
        <v>0</v>
      </c>
      <c r="G27" s="87">
        <f t="shared" si="1"/>
        <v>0</v>
      </c>
      <c r="H27" s="87">
        <f t="shared" si="2"/>
        <v>0</v>
      </c>
      <c r="I27" s="87">
        <f t="shared" si="3"/>
        <v>0</v>
      </c>
      <c r="J27" s="87">
        <f t="shared" si="4"/>
        <v>0</v>
      </c>
      <c r="K27" s="120">
        <f t="shared" si="6"/>
        <v>0</v>
      </c>
      <c r="N27" s="290"/>
      <c r="O27" s="116">
        <f>Amnt_Deposited!B22</f>
        <v>2008</v>
      </c>
      <c r="P27" s="119">
        <f>Amnt_Deposited!F22</f>
        <v>0</v>
      </c>
      <c r="Q27" s="319">
        <f>MCF!R26</f>
        <v>0.8</v>
      </c>
      <c r="R27" s="87">
        <f t="shared" si="5"/>
        <v>0</v>
      </c>
      <c r="S27" s="87">
        <f t="shared" si="7"/>
        <v>0</v>
      </c>
      <c r="T27" s="87">
        <f t="shared" si="8"/>
        <v>0</v>
      </c>
      <c r="U27" s="87">
        <f t="shared" si="9"/>
        <v>0</v>
      </c>
      <c r="V27" s="87">
        <f t="shared" si="10"/>
        <v>0</v>
      </c>
      <c r="W27" s="120">
        <f t="shared" si="11"/>
        <v>0</v>
      </c>
    </row>
    <row r="28" spans="2:23">
      <c r="B28" s="116">
        <f>Amnt_Deposited!B23</f>
        <v>2009</v>
      </c>
      <c r="C28" s="119">
        <f>Amnt_Deposited!F23</f>
        <v>0</v>
      </c>
      <c r="D28" s="453">
        <f>Dry_Matter_Content!F15</f>
        <v>0.56999999999999995</v>
      </c>
      <c r="E28" s="319">
        <f>MCF!R27</f>
        <v>0.8</v>
      </c>
      <c r="F28" s="87">
        <f t="shared" si="0"/>
        <v>0</v>
      </c>
      <c r="G28" s="87">
        <f t="shared" si="1"/>
        <v>0</v>
      </c>
      <c r="H28" s="87">
        <f t="shared" si="2"/>
        <v>0</v>
      </c>
      <c r="I28" s="87">
        <f t="shared" si="3"/>
        <v>0</v>
      </c>
      <c r="J28" s="87">
        <f t="shared" si="4"/>
        <v>0</v>
      </c>
      <c r="K28" s="120">
        <f t="shared" si="6"/>
        <v>0</v>
      </c>
      <c r="N28" s="290"/>
      <c r="O28" s="116">
        <f>Amnt_Deposited!B23</f>
        <v>2009</v>
      </c>
      <c r="P28" s="119">
        <f>Amnt_Deposited!F23</f>
        <v>0</v>
      </c>
      <c r="Q28" s="319">
        <f>MCF!R27</f>
        <v>0.8</v>
      </c>
      <c r="R28" s="87">
        <f t="shared" si="5"/>
        <v>0</v>
      </c>
      <c r="S28" s="87">
        <f t="shared" si="7"/>
        <v>0</v>
      </c>
      <c r="T28" s="87">
        <f t="shared" si="8"/>
        <v>0</v>
      </c>
      <c r="U28" s="87">
        <f t="shared" si="9"/>
        <v>0</v>
      </c>
      <c r="V28" s="87">
        <f t="shared" si="10"/>
        <v>0</v>
      </c>
      <c r="W28" s="120">
        <f t="shared" si="11"/>
        <v>0</v>
      </c>
    </row>
    <row r="29" spans="2:23">
      <c r="B29" s="116">
        <f>Amnt_Deposited!B24</f>
        <v>2010</v>
      </c>
      <c r="C29" s="119">
        <f>Amnt_Deposited!F24</f>
        <v>0</v>
      </c>
      <c r="D29" s="453">
        <f>Dry_Matter_Content!F16</f>
        <v>0.56999999999999995</v>
      </c>
      <c r="E29" s="319">
        <f>MCF!R28</f>
        <v>0.8</v>
      </c>
      <c r="F29" s="87">
        <f t="shared" si="0"/>
        <v>0</v>
      </c>
      <c r="G29" s="87">
        <f t="shared" si="1"/>
        <v>0</v>
      </c>
      <c r="H29" s="87">
        <f t="shared" si="2"/>
        <v>0</v>
      </c>
      <c r="I29" s="87">
        <f t="shared" si="3"/>
        <v>0</v>
      </c>
      <c r="J29" s="87">
        <f t="shared" si="4"/>
        <v>0</v>
      </c>
      <c r="K29" s="120">
        <f t="shared" si="6"/>
        <v>0</v>
      </c>
      <c r="O29" s="116">
        <f>Amnt_Deposited!B24</f>
        <v>2010</v>
      </c>
      <c r="P29" s="119">
        <f>Amnt_Deposited!F24</f>
        <v>0</v>
      </c>
      <c r="Q29" s="319">
        <f>MCF!R28</f>
        <v>0.8</v>
      </c>
      <c r="R29" s="87">
        <f t="shared" si="5"/>
        <v>0</v>
      </c>
      <c r="S29" s="87">
        <f t="shared" si="7"/>
        <v>0</v>
      </c>
      <c r="T29" s="87">
        <f t="shared" si="8"/>
        <v>0</v>
      </c>
      <c r="U29" s="87">
        <f t="shared" si="9"/>
        <v>0</v>
      </c>
      <c r="V29" s="87">
        <f t="shared" si="10"/>
        <v>0</v>
      </c>
      <c r="W29" s="120">
        <f t="shared" si="11"/>
        <v>0</v>
      </c>
    </row>
    <row r="30" spans="2:23">
      <c r="B30" s="116">
        <f>Amnt_Deposited!B25</f>
        <v>2011</v>
      </c>
      <c r="C30" s="119">
        <f>Amnt_Deposited!F25</f>
        <v>0</v>
      </c>
      <c r="D30" s="453">
        <f>Dry_Matter_Content!F17</f>
        <v>0.56999999999999995</v>
      </c>
      <c r="E30" s="319">
        <f>MCF!R29</f>
        <v>0.8</v>
      </c>
      <c r="F30" s="87">
        <f t="shared" si="0"/>
        <v>0</v>
      </c>
      <c r="G30" s="87">
        <f t="shared" si="1"/>
        <v>0</v>
      </c>
      <c r="H30" s="87">
        <f t="shared" si="2"/>
        <v>0</v>
      </c>
      <c r="I30" s="87">
        <f t="shared" si="3"/>
        <v>0</v>
      </c>
      <c r="J30" s="87">
        <f t="shared" si="4"/>
        <v>0</v>
      </c>
      <c r="K30" s="120">
        <f t="shared" si="6"/>
        <v>0</v>
      </c>
      <c r="O30" s="116">
        <f>Amnt_Deposited!B25</f>
        <v>2011</v>
      </c>
      <c r="P30" s="119">
        <f>Amnt_Deposited!F25</f>
        <v>0</v>
      </c>
      <c r="Q30" s="319">
        <f>MCF!R29</f>
        <v>0.8</v>
      </c>
      <c r="R30" s="87">
        <f t="shared" si="5"/>
        <v>0</v>
      </c>
      <c r="S30" s="87">
        <f t="shared" si="7"/>
        <v>0</v>
      </c>
      <c r="T30" s="87">
        <f t="shared" si="8"/>
        <v>0</v>
      </c>
      <c r="U30" s="87">
        <f t="shared" si="9"/>
        <v>0</v>
      </c>
      <c r="V30" s="87">
        <f t="shared" si="10"/>
        <v>0</v>
      </c>
      <c r="W30" s="120">
        <f t="shared" si="11"/>
        <v>0</v>
      </c>
    </row>
    <row r="31" spans="2:23">
      <c r="B31" s="116">
        <f>Amnt_Deposited!B26</f>
        <v>2012</v>
      </c>
      <c r="C31" s="119">
        <f>Amnt_Deposited!F26</f>
        <v>0</v>
      </c>
      <c r="D31" s="453">
        <f>Dry_Matter_Content!F18</f>
        <v>0.56999999999999995</v>
      </c>
      <c r="E31" s="319">
        <f>MCF!R30</f>
        <v>0.8</v>
      </c>
      <c r="F31" s="87">
        <f t="shared" si="0"/>
        <v>0</v>
      </c>
      <c r="G31" s="87">
        <f t="shared" si="1"/>
        <v>0</v>
      </c>
      <c r="H31" s="87">
        <f t="shared" si="2"/>
        <v>0</v>
      </c>
      <c r="I31" s="87">
        <f t="shared" si="3"/>
        <v>0</v>
      </c>
      <c r="J31" s="87">
        <f t="shared" si="4"/>
        <v>0</v>
      </c>
      <c r="K31" s="120">
        <f t="shared" si="6"/>
        <v>0</v>
      </c>
      <c r="O31" s="116">
        <f>Amnt_Deposited!B26</f>
        <v>2012</v>
      </c>
      <c r="P31" s="119">
        <f>Amnt_Deposited!F26</f>
        <v>0</v>
      </c>
      <c r="Q31" s="319">
        <f>MCF!R30</f>
        <v>0.8</v>
      </c>
      <c r="R31" s="87">
        <f t="shared" si="5"/>
        <v>0</v>
      </c>
      <c r="S31" s="87">
        <f t="shared" si="7"/>
        <v>0</v>
      </c>
      <c r="T31" s="87">
        <f t="shared" si="8"/>
        <v>0</v>
      </c>
      <c r="U31" s="87">
        <f t="shared" si="9"/>
        <v>0</v>
      </c>
      <c r="V31" s="87">
        <f t="shared" si="10"/>
        <v>0</v>
      </c>
      <c r="W31" s="120">
        <f t="shared" si="11"/>
        <v>0</v>
      </c>
    </row>
    <row r="32" spans="2:23">
      <c r="B32" s="116">
        <f>Amnt_Deposited!B27</f>
        <v>2013</v>
      </c>
      <c r="C32" s="119">
        <f>Amnt_Deposited!F27</f>
        <v>0</v>
      </c>
      <c r="D32" s="453">
        <f>Dry_Matter_Content!F19</f>
        <v>0.56999999999999995</v>
      </c>
      <c r="E32" s="319">
        <f>MCF!R31</f>
        <v>0.8</v>
      </c>
      <c r="F32" s="87">
        <f t="shared" si="0"/>
        <v>0</v>
      </c>
      <c r="G32" s="87">
        <f t="shared" si="1"/>
        <v>0</v>
      </c>
      <c r="H32" s="87">
        <f t="shared" si="2"/>
        <v>0</v>
      </c>
      <c r="I32" s="87">
        <f t="shared" si="3"/>
        <v>0</v>
      </c>
      <c r="J32" s="87">
        <f t="shared" si="4"/>
        <v>0</v>
      </c>
      <c r="K32" s="120">
        <f t="shared" si="6"/>
        <v>0</v>
      </c>
      <c r="O32" s="116">
        <f>Amnt_Deposited!B27</f>
        <v>2013</v>
      </c>
      <c r="P32" s="119">
        <f>Amnt_Deposited!F27</f>
        <v>0</v>
      </c>
      <c r="Q32" s="319">
        <f>MCF!R31</f>
        <v>0.8</v>
      </c>
      <c r="R32" s="87">
        <f t="shared" si="5"/>
        <v>0</v>
      </c>
      <c r="S32" s="87">
        <f t="shared" si="7"/>
        <v>0</v>
      </c>
      <c r="T32" s="87">
        <f t="shared" si="8"/>
        <v>0</v>
      </c>
      <c r="U32" s="87">
        <f t="shared" si="9"/>
        <v>0</v>
      </c>
      <c r="V32" s="87">
        <f t="shared" si="10"/>
        <v>0</v>
      </c>
      <c r="W32" s="120">
        <f t="shared" si="11"/>
        <v>0</v>
      </c>
    </row>
    <row r="33" spans="2:23">
      <c r="B33" s="116">
        <f>Amnt_Deposited!B28</f>
        <v>2014</v>
      </c>
      <c r="C33" s="119">
        <f>Amnt_Deposited!F28</f>
        <v>0</v>
      </c>
      <c r="D33" s="453">
        <f>Dry_Matter_Content!F20</f>
        <v>0.56999999999999995</v>
      </c>
      <c r="E33" s="319">
        <f>MCF!R32</f>
        <v>0.8</v>
      </c>
      <c r="F33" s="87">
        <f t="shared" si="0"/>
        <v>0</v>
      </c>
      <c r="G33" s="87">
        <f t="shared" si="1"/>
        <v>0</v>
      </c>
      <c r="H33" s="87">
        <f t="shared" si="2"/>
        <v>0</v>
      </c>
      <c r="I33" s="87">
        <f t="shared" si="3"/>
        <v>0</v>
      </c>
      <c r="J33" s="87">
        <f t="shared" si="4"/>
        <v>0</v>
      </c>
      <c r="K33" s="120">
        <f t="shared" si="6"/>
        <v>0</v>
      </c>
      <c r="O33" s="116">
        <f>Amnt_Deposited!B28</f>
        <v>2014</v>
      </c>
      <c r="P33" s="119">
        <f>Amnt_Deposited!F28</f>
        <v>0</v>
      </c>
      <c r="Q33" s="319">
        <f>MCF!R32</f>
        <v>0.8</v>
      </c>
      <c r="R33" s="87">
        <f t="shared" si="5"/>
        <v>0</v>
      </c>
      <c r="S33" s="87">
        <f t="shared" si="7"/>
        <v>0</v>
      </c>
      <c r="T33" s="87">
        <f t="shared" si="8"/>
        <v>0</v>
      </c>
      <c r="U33" s="87">
        <f t="shared" si="9"/>
        <v>0</v>
      </c>
      <c r="V33" s="87">
        <f t="shared" si="10"/>
        <v>0</v>
      </c>
      <c r="W33" s="120">
        <f t="shared" si="11"/>
        <v>0</v>
      </c>
    </row>
    <row r="34" spans="2:23">
      <c r="B34" s="116">
        <f>Amnt_Deposited!B29</f>
        <v>2015</v>
      </c>
      <c r="C34" s="119">
        <f>Amnt_Deposited!F29</f>
        <v>0</v>
      </c>
      <c r="D34" s="453">
        <f>Dry_Matter_Content!F21</f>
        <v>0.56999999999999995</v>
      </c>
      <c r="E34" s="319">
        <f>MCF!R33</f>
        <v>0.8</v>
      </c>
      <c r="F34" s="87">
        <f t="shared" si="0"/>
        <v>0</v>
      </c>
      <c r="G34" s="87">
        <f t="shared" si="1"/>
        <v>0</v>
      </c>
      <c r="H34" s="87">
        <f t="shared" si="2"/>
        <v>0</v>
      </c>
      <c r="I34" s="87">
        <f t="shared" si="3"/>
        <v>0</v>
      </c>
      <c r="J34" s="87">
        <f t="shared" si="4"/>
        <v>0</v>
      </c>
      <c r="K34" s="120">
        <f t="shared" si="6"/>
        <v>0</v>
      </c>
      <c r="O34" s="116">
        <f>Amnt_Deposited!B29</f>
        <v>2015</v>
      </c>
      <c r="P34" s="119">
        <f>Amnt_Deposited!F29</f>
        <v>0</v>
      </c>
      <c r="Q34" s="319">
        <f>MCF!R33</f>
        <v>0.8</v>
      </c>
      <c r="R34" s="87">
        <f t="shared" si="5"/>
        <v>0</v>
      </c>
      <c r="S34" s="87">
        <f t="shared" si="7"/>
        <v>0</v>
      </c>
      <c r="T34" s="87">
        <f t="shared" si="8"/>
        <v>0</v>
      </c>
      <c r="U34" s="87">
        <f t="shared" si="9"/>
        <v>0</v>
      </c>
      <c r="V34" s="87">
        <f t="shared" si="10"/>
        <v>0</v>
      </c>
      <c r="W34" s="120">
        <f t="shared" si="11"/>
        <v>0</v>
      </c>
    </row>
    <row r="35" spans="2:23">
      <c r="B35" s="116">
        <f>Amnt_Deposited!B30</f>
        <v>2016</v>
      </c>
      <c r="C35" s="119">
        <f>Amnt_Deposited!F30</f>
        <v>0</v>
      </c>
      <c r="D35" s="453">
        <f>Dry_Matter_Content!F22</f>
        <v>0.56999999999999995</v>
      </c>
      <c r="E35" s="319">
        <f>MCF!R34</f>
        <v>0.8</v>
      </c>
      <c r="F35" s="87">
        <f t="shared" si="0"/>
        <v>0</v>
      </c>
      <c r="G35" s="87">
        <f t="shared" si="1"/>
        <v>0</v>
      </c>
      <c r="H35" s="87">
        <f t="shared" si="2"/>
        <v>0</v>
      </c>
      <c r="I35" s="87">
        <f t="shared" si="3"/>
        <v>0</v>
      </c>
      <c r="J35" s="87">
        <f t="shared" si="4"/>
        <v>0</v>
      </c>
      <c r="K35" s="120">
        <f t="shared" si="6"/>
        <v>0</v>
      </c>
      <c r="O35" s="116">
        <f>Amnt_Deposited!B30</f>
        <v>2016</v>
      </c>
      <c r="P35" s="119">
        <f>Amnt_Deposited!F30</f>
        <v>0</v>
      </c>
      <c r="Q35" s="319">
        <f>MCF!R34</f>
        <v>0.8</v>
      </c>
      <c r="R35" s="87">
        <f t="shared" si="5"/>
        <v>0</v>
      </c>
      <c r="S35" s="87">
        <f t="shared" si="7"/>
        <v>0</v>
      </c>
      <c r="T35" s="87">
        <f t="shared" si="8"/>
        <v>0</v>
      </c>
      <c r="U35" s="87">
        <f t="shared" si="9"/>
        <v>0</v>
      </c>
      <c r="V35" s="87">
        <f t="shared" si="10"/>
        <v>0</v>
      </c>
      <c r="W35" s="120">
        <f t="shared" si="11"/>
        <v>0</v>
      </c>
    </row>
    <row r="36" spans="2:23">
      <c r="B36" s="116">
        <f>Amnt_Deposited!B31</f>
        <v>2017</v>
      </c>
      <c r="C36" s="119">
        <f>Amnt_Deposited!F31</f>
        <v>0</v>
      </c>
      <c r="D36" s="453">
        <f>Dry_Matter_Content!F23</f>
        <v>0.56999999999999995</v>
      </c>
      <c r="E36" s="319">
        <f>MCF!R35</f>
        <v>0.8</v>
      </c>
      <c r="F36" s="87">
        <f t="shared" si="0"/>
        <v>0</v>
      </c>
      <c r="G36" s="87">
        <f t="shared" si="1"/>
        <v>0</v>
      </c>
      <c r="H36" s="87">
        <f t="shared" si="2"/>
        <v>0</v>
      </c>
      <c r="I36" s="87">
        <f t="shared" si="3"/>
        <v>0</v>
      </c>
      <c r="J36" s="87">
        <f t="shared" si="4"/>
        <v>0</v>
      </c>
      <c r="K36" s="120">
        <f t="shared" si="6"/>
        <v>0</v>
      </c>
      <c r="O36" s="116">
        <f>Amnt_Deposited!B31</f>
        <v>2017</v>
      </c>
      <c r="P36" s="119">
        <f>Amnt_Deposited!F31</f>
        <v>0</v>
      </c>
      <c r="Q36" s="319">
        <f>MCF!R35</f>
        <v>0.8</v>
      </c>
      <c r="R36" s="87">
        <f t="shared" si="5"/>
        <v>0</v>
      </c>
      <c r="S36" s="87">
        <f t="shared" si="7"/>
        <v>0</v>
      </c>
      <c r="T36" s="87">
        <f t="shared" si="8"/>
        <v>0</v>
      </c>
      <c r="U36" s="87">
        <f t="shared" si="9"/>
        <v>0</v>
      </c>
      <c r="V36" s="87">
        <f t="shared" si="10"/>
        <v>0</v>
      </c>
      <c r="W36" s="120">
        <f t="shared" si="11"/>
        <v>0</v>
      </c>
    </row>
    <row r="37" spans="2:23">
      <c r="B37" s="116">
        <f>Amnt_Deposited!B32</f>
        <v>2018</v>
      </c>
      <c r="C37" s="119">
        <f>Amnt_Deposited!F32</f>
        <v>0</v>
      </c>
      <c r="D37" s="453">
        <f>Dry_Matter_Content!F24</f>
        <v>0.56999999999999995</v>
      </c>
      <c r="E37" s="319">
        <f>MCF!R36</f>
        <v>0.8</v>
      </c>
      <c r="F37" s="87">
        <f t="shared" si="0"/>
        <v>0</v>
      </c>
      <c r="G37" s="87">
        <f t="shared" si="1"/>
        <v>0</v>
      </c>
      <c r="H37" s="87">
        <f t="shared" si="2"/>
        <v>0</v>
      </c>
      <c r="I37" s="87">
        <f t="shared" si="3"/>
        <v>0</v>
      </c>
      <c r="J37" s="87">
        <f t="shared" si="4"/>
        <v>0</v>
      </c>
      <c r="K37" s="120">
        <f t="shared" si="6"/>
        <v>0</v>
      </c>
      <c r="O37" s="116">
        <f>Amnt_Deposited!B32</f>
        <v>2018</v>
      </c>
      <c r="P37" s="119">
        <f>Amnt_Deposited!F32</f>
        <v>0</v>
      </c>
      <c r="Q37" s="319">
        <f>MCF!R36</f>
        <v>0.8</v>
      </c>
      <c r="R37" s="87">
        <f t="shared" si="5"/>
        <v>0</v>
      </c>
      <c r="S37" s="87">
        <f t="shared" si="7"/>
        <v>0</v>
      </c>
      <c r="T37" s="87">
        <f t="shared" si="8"/>
        <v>0</v>
      </c>
      <c r="U37" s="87">
        <f t="shared" si="9"/>
        <v>0</v>
      </c>
      <c r="V37" s="87">
        <f t="shared" si="10"/>
        <v>0</v>
      </c>
      <c r="W37" s="120">
        <f t="shared" si="11"/>
        <v>0</v>
      </c>
    </row>
    <row r="38" spans="2:23">
      <c r="B38" s="116">
        <f>Amnt_Deposited!B33</f>
        <v>2019</v>
      </c>
      <c r="C38" s="119">
        <f>Amnt_Deposited!F33</f>
        <v>0</v>
      </c>
      <c r="D38" s="453">
        <f>Dry_Matter_Content!F25</f>
        <v>0.56999999999999995</v>
      </c>
      <c r="E38" s="319">
        <f>MCF!R37</f>
        <v>0.8</v>
      </c>
      <c r="F38" s="87">
        <f t="shared" si="0"/>
        <v>0</v>
      </c>
      <c r="G38" s="87">
        <f t="shared" si="1"/>
        <v>0</v>
      </c>
      <c r="H38" s="87">
        <f t="shared" si="2"/>
        <v>0</v>
      </c>
      <c r="I38" s="87">
        <f t="shared" si="3"/>
        <v>0</v>
      </c>
      <c r="J38" s="87">
        <f t="shared" si="4"/>
        <v>0</v>
      </c>
      <c r="K38" s="120">
        <f t="shared" si="6"/>
        <v>0</v>
      </c>
      <c r="O38" s="116">
        <f>Amnt_Deposited!B33</f>
        <v>2019</v>
      </c>
      <c r="P38" s="119">
        <f>Amnt_Deposited!F33</f>
        <v>0</v>
      </c>
      <c r="Q38" s="319">
        <f>MCF!R37</f>
        <v>0.8</v>
      </c>
      <c r="R38" s="87">
        <f t="shared" si="5"/>
        <v>0</v>
      </c>
      <c r="S38" s="87">
        <f t="shared" si="7"/>
        <v>0</v>
      </c>
      <c r="T38" s="87">
        <f t="shared" si="8"/>
        <v>0</v>
      </c>
      <c r="U38" s="87">
        <f t="shared" si="9"/>
        <v>0</v>
      </c>
      <c r="V38" s="87">
        <f t="shared" si="10"/>
        <v>0</v>
      </c>
      <c r="W38" s="120">
        <f t="shared" si="11"/>
        <v>0</v>
      </c>
    </row>
    <row r="39" spans="2:23">
      <c r="B39" s="116">
        <f>Amnt_Deposited!B34</f>
        <v>2020</v>
      </c>
      <c r="C39" s="119">
        <f>Amnt_Deposited!F34</f>
        <v>0</v>
      </c>
      <c r="D39" s="453">
        <f>Dry_Matter_Content!F26</f>
        <v>0.56999999999999995</v>
      </c>
      <c r="E39" s="319">
        <f>MCF!R38</f>
        <v>0.8</v>
      </c>
      <c r="F39" s="87">
        <f t="shared" si="0"/>
        <v>0</v>
      </c>
      <c r="G39" s="87">
        <f t="shared" si="1"/>
        <v>0</v>
      </c>
      <c r="H39" s="87">
        <f t="shared" si="2"/>
        <v>0</v>
      </c>
      <c r="I39" s="87">
        <f t="shared" si="3"/>
        <v>0</v>
      </c>
      <c r="J39" s="87">
        <f t="shared" si="4"/>
        <v>0</v>
      </c>
      <c r="K39" s="120">
        <f t="shared" si="6"/>
        <v>0</v>
      </c>
      <c r="O39" s="116">
        <f>Amnt_Deposited!B34</f>
        <v>2020</v>
      </c>
      <c r="P39" s="119">
        <f>Amnt_Deposited!F34</f>
        <v>0</v>
      </c>
      <c r="Q39" s="319">
        <f>MCF!R38</f>
        <v>0.8</v>
      </c>
      <c r="R39" s="87">
        <f t="shared" si="5"/>
        <v>0</v>
      </c>
      <c r="S39" s="87">
        <f t="shared" si="7"/>
        <v>0</v>
      </c>
      <c r="T39" s="87">
        <f t="shared" si="8"/>
        <v>0</v>
      </c>
      <c r="U39" s="87">
        <f t="shared" si="9"/>
        <v>0</v>
      </c>
      <c r="V39" s="87">
        <f t="shared" si="10"/>
        <v>0</v>
      </c>
      <c r="W39" s="120">
        <f t="shared" si="11"/>
        <v>0</v>
      </c>
    </row>
    <row r="40" spans="2:23">
      <c r="B40" s="116">
        <f>Amnt_Deposited!B35</f>
        <v>2021</v>
      </c>
      <c r="C40" s="119">
        <f>Amnt_Deposited!F35</f>
        <v>0</v>
      </c>
      <c r="D40" s="453">
        <f>Dry_Matter_Content!F27</f>
        <v>0.56999999999999995</v>
      </c>
      <c r="E40" s="319">
        <f>MCF!R39</f>
        <v>0.8</v>
      </c>
      <c r="F40" s="87">
        <f t="shared" si="0"/>
        <v>0</v>
      </c>
      <c r="G40" s="87">
        <f t="shared" si="1"/>
        <v>0</v>
      </c>
      <c r="H40" s="87">
        <f t="shared" si="2"/>
        <v>0</v>
      </c>
      <c r="I40" s="87">
        <f t="shared" si="3"/>
        <v>0</v>
      </c>
      <c r="J40" s="87">
        <f t="shared" si="4"/>
        <v>0</v>
      </c>
      <c r="K40" s="120">
        <f t="shared" si="6"/>
        <v>0</v>
      </c>
      <c r="O40" s="116">
        <f>Amnt_Deposited!B35</f>
        <v>2021</v>
      </c>
      <c r="P40" s="119">
        <f>Amnt_Deposited!F35</f>
        <v>0</v>
      </c>
      <c r="Q40" s="319">
        <f>MCF!R39</f>
        <v>0.8</v>
      </c>
      <c r="R40" s="87">
        <f t="shared" si="5"/>
        <v>0</v>
      </c>
      <c r="S40" s="87">
        <f t="shared" si="7"/>
        <v>0</v>
      </c>
      <c r="T40" s="87">
        <f t="shared" si="8"/>
        <v>0</v>
      </c>
      <c r="U40" s="87">
        <f t="shared" si="9"/>
        <v>0</v>
      </c>
      <c r="V40" s="87">
        <f t="shared" si="10"/>
        <v>0</v>
      </c>
      <c r="W40" s="120">
        <f t="shared" si="11"/>
        <v>0</v>
      </c>
    </row>
    <row r="41" spans="2:23">
      <c r="B41" s="116">
        <f>Amnt_Deposited!B36</f>
        <v>2022</v>
      </c>
      <c r="C41" s="119">
        <f>Amnt_Deposited!F36</f>
        <v>0</v>
      </c>
      <c r="D41" s="453">
        <f>Dry_Matter_Content!F28</f>
        <v>0.56999999999999995</v>
      </c>
      <c r="E41" s="319">
        <f>MCF!R40</f>
        <v>0.8</v>
      </c>
      <c r="F41" s="87">
        <f t="shared" si="0"/>
        <v>0</v>
      </c>
      <c r="G41" s="87">
        <f t="shared" si="1"/>
        <v>0</v>
      </c>
      <c r="H41" s="87">
        <f t="shared" si="2"/>
        <v>0</v>
      </c>
      <c r="I41" s="87">
        <f t="shared" si="3"/>
        <v>0</v>
      </c>
      <c r="J41" s="87">
        <f t="shared" si="4"/>
        <v>0</v>
      </c>
      <c r="K41" s="120">
        <f t="shared" si="6"/>
        <v>0</v>
      </c>
      <c r="O41" s="116">
        <f>Amnt_Deposited!B36</f>
        <v>2022</v>
      </c>
      <c r="P41" s="119">
        <f>Amnt_Deposited!F36</f>
        <v>0</v>
      </c>
      <c r="Q41" s="319">
        <f>MCF!R40</f>
        <v>0.8</v>
      </c>
      <c r="R41" s="87">
        <f t="shared" si="5"/>
        <v>0</v>
      </c>
      <c r="S41" s="87">
        <f t="shared" si="7"/>
        <v>0</v>
      </c>
      <c r="T41" s="87">
        <f t="shared" si="8"/>
        <v>0</v>
      </c>
      <c r="U41" s="87">
        <f t="shared" si="9"/>
        <v>0</v>
      </c>
      <c r="V41" s="87">
        <f t="shared" si="10"/>
        <v>0</v>
      </c>
      <c r="W41" s="120">
        <f t="shared" si="11"/>
        <v>0</v>
      </c>
    </row>
    <row r="42" spans="2:23">
      <c r="B42" s="116">
        <f>Amnt_Deposited!B37</f>
        <v>2023</v>
      </c>
      <c r="C42" s="119">
        <f>Amnt_Deposited!F37</f>
        <v>0</v>
      </c>
      <c r="D42" s="453">
        <f>Dry_Matter_Content!F29</f>
        <v>0.56999999999999995</v>
      </c>
      <c r="E42" s="319">
        <f>MCF!R41</f>
        <v>0.8</v>
      </c>
      <c r="F42" s="87">
        <f t="shared" si="0"/>
        <v>0</v>
      </c>
      <c r="G42" s="87">
        <f t="shared" si="1"/>
        <v>0</v>
      </c>
      <c r="H42" s="87">
        <f t="shared" si="2"/>
        <v>0</v>
      </c>
      <c r="I42" s="87">
        <f t="shared" si="3"/>
        <v>0</v>
      </c>
      <c r="J42" s="87">
        <f t="shared" si="4"/>
        <v>0</v>
      </c>
      <c r="K42" s="120">
        <f t="shared" si="6"/>
        <v>0</v>
      </c>
      <c r="O42" s="116">
        <f>Amnt_Deposited!B37</f>
        <v>2023</v>
      </c>
      <c r="P42" s="119">
        <f>Amnt_Deposited!F37</f>
        <v>0</v>
      </c>
      <c r="Q42" s="319">
        <f>MCF!R41</f>
        <v>0.8</v>
      </c>
      <c r="R42" s="87">
        <f t="shared" si="5"/>
        <v>0</v>
      </c>
      <c r="S42" s="87">
        <f t="shared" si="7"/>
        <v>0</v>
      </c>
      <c r="T42" s="87">
        <f t="shared" si="8"/>
        <v>0</v>
      </c>
      <c r="U42" s="87">
        <f t="shared" si="9"/>
        <v>0</v>
      </c>
      <c r="V42" s="87">
        <f t="shared" si="10"/>
        <v>0</v>
      </c>
      <c r="W42" s="120">
        <f t="shared" si="11"/>
        <v>0</v>
      </c>
    </row>
    <row r="43" spans="2:23">
      <c r="B43" s="116">
        <f>Amnt_Deposited!B38</f>
        <v>2024</v>
      </c>
      <c r="C43" s="119">
        <f>Amnt_Deposited!F38</f>
        <v>0</v>
      </c>
      <c r="D43" s="453">
        <f>Dry_Matter_Content!F30</f>
        <v>0.56999999999999995</v>
      </c>
      <c r="E43" s="319">
        <f>MCF!R42</f>
        <v>0.8</v>
      </c>
      <c r="F43" s="87">
        <f t="shared" si="0"/>
        <v>0</v>
      </c>
      <c r="G43" s="87">
        <f t="shared" si="1"/>
        <v>0</v>
      </c>
      <c r="H43" s="87">
        <f t="shared" si="2"/>
        <v>0</v>
      </c>
      <c r="I43" s="87">
        <f t="shared" si="3"/>
        <v>0</v>
      </c>
      <c r="J43" s="87">
        <f t="shared" si="4"/>
        <v>0</v>
      </c>
      <c r="K43" s="120">
        <f t="shared" si="6"/>
        <v>0</v>
      </c>
      <c r="O43" s="116">
        <f>Amnt_Deposited!B38</f>
        <v>2024</v>
      </c>
      <c r="P43" s="119">
        <f>Amnt_Deposited!F38</f>
        <v>0</v>
      </c>
      <c r="Q43" s="319">
        <f>MCF!R42</f>
        <v>0.8</v>
      </c>
      <c r="R43" s="87">
        <f t="shared" si="5"/>
        <v>0</v>
      </c>
      <c r="S43" s="87">
        <f t="shared" si="7"/>
        <v>0</v>
      </c>
      <c r="T43" s="87">
        <f t="shared" si="8"/>
        <v>0</v>
      </c>
      <c r="U43" s="87">
        <f t="shared" si="9"/>
        <v>0</v>
      </c>
      <c r="V43" s="87">
        <f t="shared" si="10"/>
        <v>0</v>
      </c>
      <c r="W43" s="120">
        <f t="shared" si="11"/>
        <v>0</v>
      </c>
    </row>
    <row r="44" spans="2:23">
      <c r="B44" s="116">
        <f>Amnt_Deposited!B39</f>
        <v>2025</v>
      </c>
      <c r="C44" s="119">
        <f>Amnt_Deposited!F39</f>
        <v>0</v>
      </c>
      <c r="D44" s="453">
        <f>Dry_Matter_Content!F31</f>
        <v>0.56999999999999995</v>
      </c>
      <c r="E44" s="319">
        <f>MCF!R43</f>
        <v>0.8</v>
      </c>
      <c r="F44" s="87">
        <f t="shared" si="0"/>
        <v>0</v>
      </c>
      <c r="G44" s="87">
        <f t="shared" si="1"/>
        <v>0</v>
      </c>
      <c r="H44" s="87">
        <f t="shared" si="2"/>
        <v>0</v>
      </c>
      <c r="I44" s="87">
        <f t="shared" si="3"/>
        <v>0</v>
      </c>
      <c r="J44" s="87">
        <f t="shared" si="4"/>
        <v>0</v>
      </c>
      <c r="K44" s="120">
        <f t="shared" si="6"/>
        <v>0</v>
      </c>
      <c r="O44" s="116">
        <f>Amnt_Deposited!B39</f>
        <v>2025</v>
      </c>
      <c r="P44" s="119">
        <f>Amnt_Deposited!F39</f>
        <v>0</v>
      </c>
      <c r="Q44" s="319">
        <f>MCF!R43</f>
        <v>0.8</v>
      </c>
      <c r="R44" s="87">
        <f t="shared" si="5"/>
        <v>0</v>
      </c>
      <c r="S44" s="87">
        <f t="shared" si="7"/>
        <v>0</v>
      </c>
      <c r="T44" s="87">
        <f t="shared" si="8"/>
        <v>0</v>
      </c>
      <c r="U44" s="87">
        <f t="shared" si="9"/>
        <v>0</v>
      </c>
      <c r="V44" s="87">
        <f t="shared" si="10"/>
        <v>0</v>
      </c>
      <c r="W44" s="120">
        <f t="shared" si="11"/>
        <v>0</v>
      </c>
    </row>
    <row r="45" spans="2:23">
      <c r="B45" s="116">
        <f>Amnt_Deposited!B40</f>
        <v>2026</v>
      </c>
      <c r="C45" s="119">
        <f>Amnt_Deposited!F40</f>
        <v>0</v>
      </c>
      <c r="D45" s="453">
        <f>Dry_Matter_Content!F32</f>
        <v>0.56999999999999995</v>
      </c>
      <c r="E45" s="319">
        <f>MCF!R44</f>
        <v>0.8</v>
      </c>
      <c r="F45" s="87">
        <f t="shared" si="0"/>
        <v>0</v>
      </c>
      <c r="G45" s="87">
        <f t="shared" si="1"/>
        <v>0</v>
      </c>
      <c r="H45" s="87">
        <f t="shared" si="2"/>
        <v>0</v>
      </c>
      <c r="I45" s="87">
        <f t="shared" si="3"/>
        <v>0</v>
      </c>
      <c r="J45" s="87">
        <f t="shared" si="4"/>
        <v>0</v>
      </c>
      <c r="K45" s="120">
        <f t="shared" si="6"/>
        <v>0</v>
      </c>
      <c r="O45" s="116">
        <f>Amnt_Deposited!B40</f>
        <v>2026</v>
      </c>
      <c r="P45" s="119">
        <f>Amnt_Deposited!F40</f>
        <v>0</v>
      </c>
      <c r="Q45" s="319">
        <f>MCF!R44</f>
        <v>0.8</v>
      </c>
      <c r="R45" s="87">
        <f t="shared" si="5"/>
        <v>0</v>
      </c>
      <c r="S45" s="87">
        <f t="shared" si="7"/>
        <v>0</v>
      </c>
      <c r="T45" s="87">
        <f t="shared" si="8"/>
        <v>0</v>
      </c>
      <c r="U45" s="87">
        <f t="shared" si="9"/>
        <v>0</v>
      </c>
      <c r="V45" s="87">
        <f t="shared" si="10"/>
        <v>0</v>
      </c>
      <c r="W45" s="120">
        <f t="shared" si="11"/>
        <v>0</v>
      </c>
    </row>
    <row r="46" spans="2:23">
      <c r="B46" s="116">
        <f>Amnt_Deposited!B41</f>
        <v>2027</v>
      </c>
      <c r="C46" s="119">
        <f>Amnt_Deposited!F41</f>
        <v>0</v>
      </c>
      <c r="D46" s="453">
        <f>Dry_Matter_Content!F33</f>
        <v>0.56999999999999995</v>
      </c>
      <c r="E46" s="319">
        <f>MCF!R45</f>
        <v>0.8</v>
      </c>
      <c r="F46" s="87">
        <f t="shared" si="0"/>
        <v>0</v>
      </c>
      <c r="G46" s="87">
        <f t="shared" si="1"/>
        <v>0</v>
      </c>
      <c r="H46" s="87">
        <f t="shared" si="2"/>
        <v>0</v>
      </c>
      <c r="I46" s="87">
        <f t="shared" si="3"/>
        <v>0</v>
      </c>
      <c r="J46" s="87">
        <f t="shared" si="4"/>
        <v>0</v>
      </c>
      <c r="K46" s="120">
        <f t="shared" si="6"/>
        <v>0</v>
      </c>
      <c r="O46" s="116">
        <f>Amnt_Deposited!B41</f>
        <v>2027</v>
      </c>
      <c r="P46" s="119">
        <f>Amnt_Deposited!F41</f>
        <v>0</v>
      </c>
      <c r="Q46" s="319">
        <f>MCF!R45</f>
        <v>0.8</v>
      </c>
      <c r="R46" s="87">
        <f t="shared" si="5"/>
        <v>0</v>
      </c>
      <c r="S46" s="87">
        <f t="shared" si="7"/>
        <v>0</v>
      </c>
      <c r="T46" s="87">
        <f t="shared" si="8"/>
        <v>0</v>
      </c>
      <c r="U46" s="87">
        <f t="shared" si="9"/>
        <v>0</v>
      </c>
      <c r="V46" s="87">
        <f t="shared" si="10"/>
        <v>0</v>
      </c>
      <c r="W46" s="120">
        <f t="shared" si="11"/>
        <v>0</v>
      </c>
    </row>
    <row r="47" spans="2:23">
      <c r="B47" s="116">
        <f>Amnt_Deposited!B42</f>
        <v>2028</v>
      </c>
      <c r="C47" s="119">
        <f>Amnt_Deposited!F42</f>
        <v>0</v>
      </c>
      <c r="D47" s="453">
        <f>Dry_Matter_Content!F34</f>
        <v>0.56999999999999995</v>
      </c>
      <c r="E47" s="319">
        <f>MCF!R46</f>
        <v>0.8</v>
      </c>
      <c r="F47" s="87">
        <f t="shared" si="0"/>
        <v>0</v>
      </c>
      <c r="G47" s="87">
        <f t="shared" si="1"/>
        <v>0</v>
      </c>
      <c r="H47" s="87">
        <f t="shared" si="2"/>
        <v>0</v>
      </c>
      <c r="I47" s="87">
        <f t="shared" si="3"/>
        <v>0</v>
      </c>
      <c r="J47" s="87">
        <f t="shared" si="4"/>
        <v>0</v>
      </c>
      <c r="K47" s="120">
        <f t="shared" si="6"/>
        <v>0</v>
      </c>
      <c r="O47" s="116">
        <f>Amnt_Deposited!B42</f>
        <v>2028</v>
      </c>
      <c r="P47" s="119">
        <f>Amnt_Deposited!F42</f>
        <v>0</v>
      </c>
      <c r="Q47" s="319">
        <f>MCF!R46</f>
        <v>0.8</v>
      </c>
      <c r="R47" s="87">
        <f t="shared" si="5"/>
        <v>0</v>
      </c>
      <c r="S47" s="87">
        <f t="shared" si="7"/>
        <v>0</v>
      </c>
      <c r="T47" s="87">
        <f t="shared" si="8"/>
        <v>0</v>
      </c>
      <c r="U47" s="87">
        <f t="shared" si="9"/>
        <v>0</v>
      </c>
      <c r="V47" s="87">
        <f t="shared" si="10"/>
        <v>0</v>
      </c>
      <c r="W47" s="120">
        <f t="shared" si="11"/>
        <v>0</v>
      </c>
    </row>
    <row r="48" spans="2:23">
      <c r="B48" s="116">
        <f>Amnt_Deposited!B43</f>
        <v>2029</v>
      </c>
      <c r="C48" s="119">
        <f>Amnt_Deposited!F43</f>
        <v>0</v>
      </c>
      <c r="D48" s="453">
        <f>Dry_Matter_Content!F35</f>
        <v>0.56999999999999995</v>
      </c>
      <c r="E48" s="319">
        <f>MCF!R47</f>
        <v>0.8</v>
      </c>
      <c r="F48" s="87">
        <f t="shared" si="0"/>
        <v>0</v>
      </c>
      <c r="G48" s="87">
        <f t="shared" si="1"/>
        <v>0</v>
      </c>
      <c r="H48" s="87">
        <f t="shared" si="2"/>
        <v>0</v>
      </c>
      <c r="I48" s="87">
        <f t="shared" si="3"/>
        <v>0</v>
      </c>
      <c r="J48" s="87">
        <f t="shared" si="4"/>
        <v>0</v>
      </c>
      <c r="K48" s="120">
        <f t="shared" si="6"/>
        <v>0</v>
      </c>
      <c r="O48" s="116">
        <f>Amnt_Deposited!B43</f>
        <v>2029</v>
      </c>
      <c r="P48" s="119">
        <f>Amnt_Deposited!F43</f>
        <v>0</v>
      </c>
      <c r="Q48" s="319">
        <f>MCF!R47</f>
        <v>0.8</v>
      </c>
      <c r="R48" s="87">
        <f t="shared" si="5"/>
        <v>0</v>
      </c>
      <c r="S48" s="87">
        <f t="shared" si="7"/>
        <v>0</v>
      </c>
      <c r="T48" s="87">
        <f t="shared" si="8"/>
        <v>0</v>
      </c>
      <c r="U48" s="87">
        <f t="shared" si="9"/>
        <v>0</v>
      </c>
      <c r="V48" s="87">
        <f t="shared" si="10"/>
        <v>0</v>
      </c>
      <c r="W48" s="120">
        <f t="shared" si="11"/>
        <v>0</v>
      </c>
    </row>
    <row r="49" spans="2:23">
      <c r="B49" s="116">
        <f>Amnt_Deposited!B44</f>
        <v>2030</v>
      </c>
      <c r="C49" s="119">
        <f>Amnt_Deposited!F44</f>
        <v>0</v>
      </c>
      <c r="D49" s="453">
        <f>Dry_Matter_Content!F36</f>
        <v>0.56999999999999995</v>
      </c>
      <c r="E49" s="319">
        <f>MCF!R48</f>
        <v>0.8</v>
      </c>
      <c r="F49" s="87">
        <f t="shared" si="0"/>
        <v>0</v>
      </c>
      <c r="G49" s="87">
        <f t="shared" si="1"/>
        <v>0</v>
      </c>
      <c r="H49" s="87">
        <f t="shared" si="2"/>
        <v>0</v>
      </c>
      <c r="I49" s="87">
        <f t="shared" si="3"/>
        <v>0</v>
      </c>
      <c r="J49" s="87">
        <f t="shared" si="4"/>
        <v>0</v>
      </c>
      <c r="K49" s="120">
        <f t="shared" si="6"/>
        <v>0</v>
      </c>
      <c r="O49" s="116">
        <f>Amnt_Deposited!B44</f>
        <v>2030</v>
      </c>
      <c r="P49" s="119">
        <f>Amnt_Deposited!F44</f>
        <v>0</v>
      </c>
      <c r="Q49" s="319">
        <f>MCF!R48</f>
        <v>0.8</v>
      </c>
      <c r="R49" s="87">
        <f t="shared" si="5"/>
        <v>0</v>
      </c>
      <c r="S49" s="87">
        <f t="shared" si="7"/>
        <v>0</v>
      </c>
      <c r="T49" s="87">
        <f t="shared" si="8"/>
        <v>0</v>
      </c>
      <c r="U49" s="87">
        <f t="shared" si="9"/>
        <v>0</v>
      </c>
      <c r="V49" s="87">
        <f t="shared" si="10"/>
        <v>0</v>
      </c>
      <c r="W49" s="120">
        <f t="shared" si="11"/>
        <v>0</v>
      </c>
    </row>
    <row r="50" spans="2:23">
      <c r="B50" s="116">
        <f>Amnt_Deposited!B45</f>
        <v>2031</v>
      </c>
      <c r="C50" s="119">
        <f>Amnt_Deposited!F45</f>
        <v>0</v>
      </c>
      <c r="D50" s="453">
        <f>Dry_Matter_Content!F37</f>
        <v>0.56999999999999995</v>
      </c>
      <c r="E50" s="319">
        <f>MCF!R49</f>
        <v>0.8</v>
      </c>
      <c r="F50" s="87">
        <f t="shared" si="0"/>
        <v>0</v>
      </c>
      <c r="G50" s="87">
        <f t="shared" si="1"/>
        <v>0</v>
      </c>
      <c r="H50" s="87">
        <f t="shared" si="2"/>
        <v>0</v>
      </c>
      <c r="I50" s="87">
        <f t="shared" si="3"/>
        <v>0</v>
      </c>
      <c r="J50" s="87">
        <f t="shared" si="4"/>
        <v>0</v>
      </c>
      <c r="K50" s="120">
        <f t="shared" si="6"/>
        <v>0</v>
      </c>
      <c r="O50" s="116">
        <f>Amnt_Deposited!B45</f>
        <v>2031</v>
      </c>
      <c r="P50" s="119">
        <f>Amnt_Deposited!F45</f>
        <v>0</v>
      </c>
      <c r="Q50" s="319">
        <f>MCF!R49</f>
        <v>0.8</v>
      </c>
      <c r="R50" s="87">
        <f t="shared" si="5"/>
        <v>0</v>
      </c>
      <c r="S50" s="87">
        <f t="shared" si="7"/>
        <v>0</v>
      </c>
      <c r="T50" s="87">
        <f t="shared" si="8"/>
        <v>0</v>
      </c>
      <c r="U50" s="87">
        <f t="shared" si="9"/>
        <v>0</v>
      </c>
      <c r="V50" s="87">
        <f t="shared" si="10"/>
        <v>0</v>
      </c>
      <c r="W50" s="120">
        <f t="shared" si="11"/>
        <v>0</v>
      </c>
    </row>
    <row r="51" spans="2:23">
      <c r="B51" s="116">
        <f>Amnt_Deposited!B46</f>
        <v>2032</v>
      </c>
      <c r="C51" s="119">
        <f>Amnt_Deposited!F46</f>
        <v>0</v>
      </c>
      <c r="D51" s="453">
        <f>Dry_Matter_Content!F38</f>
        <v>0.56999999999999995</v>
      </c>
      <c r="E51" s="319">
        <f>MCF!R50</f>
        <v>0.8</v>
      </c>
      <c r="F51" s="87">
        <f t="shared" ref="F51:F82" si="12">C51*D51*$K$6*DOCF*E51</f>
        <v>0</v>
      </c>
      <c r="G51" s="87">
        <f t="shared" si="1"/>
        <v>0</v>
      </c>
      <c r="H51" s="87">
        <f t="shared" si="2"/>
        <v>0</v>
      </c>
      <c r="I51" s="87">
        <f t="shared" si="3"/>
        <v>0</v>
      </c>
      <c r="J51" s="87">
        <f t="shared" si="4"/>
        <v>0</v>
      </c>
      <c r="K51" s="120">
        <f t="shared" si="6"/>
        <v>0</v>
      </c>
      <c r="O51" s="116">
        <f>Amnt_Deposited!B46</f>
        <v>2032</v>
      </c>
      <c r="P51" s="119">
        <f>Amnt_Deposited!F46</f>
        <v>0</v>
      </c>
      <c r="Q51" s="319">
        <f>MCF!R50</f>
        <v>0.8</v>
      </c>
      <c r="R51" s="87">
        <f t="shared" ref="R51:R82" si="13">P51*$W$6*DOCF*Q51</f>
        <v>0</v>
      </c>
      <c r="S51" s="87">
        <f t="shared" si="7"/>
        <v>0</v>
      </c>
      <c r="T51" s="87">
        <f t="shared" si="8"/>
        <v>0</v>
      </c>
      <c r="U51" s="87">
        <f t="shared" si="9"/>
        <v>0</v>
      </c>
      <c r="V51" s="87">
        <f t="shared" si="10"/>
        <v>0</v>
      </c>
      <c r="W51" s="120">
        <f t="shared" si="11"/>
        <v>0</v>
      </c>
    </row>
    <row r="52" spans="2:23">
      <c r="B52" s="116">
        <f>Amnt_Deposited!B47</f>
        <v>2033</v>
      </c>
      <c r="C52" s="119">
        <f>Amnt_Deposited!F47</f>
        <v>0</v>
      </c>
      <c r="D52" s="453">
        <f>Dry_Matter_Content!F39</f>
        <v>0.56999999999999995</v>
      </c>
      <c r="E52" s="319">
        <f>MCF!R51</f>
        <v>0.8</v>
      </c>
      <c r="F52" s="87">
        <f t="shared" si="12"/>
        <v>0</v>
      </c>
      <c r="G52" s="87">
        <f t="shared" si="1"/>
        <v>0</v>
      </c>
      <c r="H52" s="87">
        <f t="shared" si="2"/>
        <v>0</v>
      </c>
      <c r="I52" s="87">
        <f t="shared" si="3"/>
        <v>0</v>
      </c>
      <c r="J52" s="87">
        <f t="shared" si="4"/>
        <v>0</v>
      </c>
      <c r="K52" s="120">
        <f t="shared" si="6"/>
        <v>0</v>
      </c>
      <c r="O52" s="116">
        <f>Amnt_Deposited!B47</f>
        <v>2033</v>
      </c>
      <c r="P52" s="119">
        <f>Amnt_Deposited!F47</f>
        <v>0</v>
      </c>
      <c r="Q52" s="319">
        <f>MCF!R51</f>
        <v>0.8</v>
      </c>
      <c r="R52" s="87">
        <f t="shared" si="13"/>
        <v>0</v>
      </c>
      <c r="S52" s="87">
        <f t="shared" si="7"/>
        <v>0</v>
      </c>
      <c r="T52" s="87">
        <f t="shared" si="8"/>
        <v>0</v>
      </c>
      <c r="U52" s="87">
        <f t="shared" si="9"/>
        <v>0</v>
      </c>
      <c r="V52" s="87">
        <f t="shared" si="10"/>
        <v>0</v>
      </c>
      <c r="W52" s="120">
        <f t="shared" si="11"/>
        <v>0</v>
      </c>
    </row>
    <row r="53" spans="2:23">
      <c r="B53" s="116">
        <f>Amnt_Deposited!B48</f>
        <v>2034</v>
      </c>
      <c r="C53" s="119">
        <f>Amnt_Deposited!F48</f>
        <v>0</v>
      </c>
      <c r="D53" s="453">
        <f>Dry_Matter_Content!F40</f>
        <v>0.56999999999999995</v>
      </c>
      <c r="E53" s="319">
        <f>MCF!R52</f>
        <v>0.8</v>
      </c>
      <c r="F53" s="87">
        <f t="shared" si="12"/>
        <v>0</v>
      </c>
      <c r="G53" s="87">
        <f t="shared" si="1"/>
        <v>0</v>
      </c>
      <c r="H53" s="87">
        <f t="shared" si="2"/>
        <v>0</v>
      </c>
      <c r="I53" s="87">
        <f t="shared" si="3"/>
        <v>0</v>
      </c>
      <c r="J53" s="87">
        <f t="shared" si="4"/>
        <v>0</v>
      </c>
      <c r="K53" s="120">
        <f t="shared" si="6"/>
        <v>0</v>
      </c>
      <c r="O53" s="116">
        <f>Amnt_Deposited!B48</f>
        <v>2034</v>
      </c>
      <c r="P53" s="119">
        <f>Amnt_Deposited!F48</f>
        <v>0</v>
      </c>
      <c r="Q53" s="319">
        <f>MCF!R52</f>
        <v>0.8</v>
      </c>
      <c r="R53" s="87">
        <f t="shared" si="13"/>
        <v>0</v>
      </c>
      <c r="S53" s="87">
        <f t="shared" si="7"/>
        <v>0</v>
      </c>
      <c r="T53" s="87">
        <f t="shared" si="8"/>
        <v>0</v>
      </c>
      <c r="U53" s="87">
        <f t="shared" si="9"/>
        <v>0</v>
      </c>
      <c r="V53" s="87">
        <f t="shared" si="10"/>
        <v>0</v>
      </c>
      <c r="W53" s="120">
        <f t="shared" si="11"/>
        <v>0</v>
      </c>
    </row>
    <row r="54" spans="2:23">
      <c r="B54" s="116">
        <f>Amnt_Deposited!B49</f>
        <v>2035</v>
      </c>
      <c r="C54" s="119">
        <f>Amnt_Deposited!F49</f>
        <v>0</v>
      </c>
      <c r="D54" s="453">
        <f>Dry_Matter_Content!F41</f>
        <v>0.56999999999999995</v>
      </c>
      <c r="E54" s="319">
        <f>MCF!R53</f>
        <v>0.8</v>
      </c>
      <c r="F54" s="87">
        <f t="shared" si="12"/>
        <v>0</v>
      </c>
      <c r="G54" s="87">
        <f t="shared" si="1"/>
        <v>0</v>
      </c>
      <c r="H54" s="87">
        <f t="shared" si="2"/>
        <v>0</v>
      </c>
      <c r="I54" s="87">
        <f t="shared" si="3"/>
        <v>0</v>
      </c>
      <c r="J54" s="87">
        <f t="shared" si="4"/>
        <v>0</v>
      </c>
      <c r="K54" s="120">
        <f t="shared" si="6"/>
        <v>0</v>
      </c>
      <c r="O54" s="116">
        <f>Amnt_Deposited!B49</f>
        <v>2035</v>
      </c>
      <c r="P54" s="119">
        <f>Amnt_Deposited!F49</f>
        <v>0</v>
      </c>
      <c r="Q54" s="319">
        <f>MCF!R53</f>
        <v>0.8</v>
      </c>
      <c r="R54" s="87">
        <f t="shared" si="13"/>
        <v>0</v>
      </c>
      <c r="S54" s="87">
        <f t="shared" si="7"/>
        <v>0</v>
      </c>
      <c r="T54" s="87">
        <f t="shared" si="8"/>
        <v>0</v>
      </c>
      <c r="U54" s="87">
        <f t="shared" si="9"/>
        <v>0</v>
      </c>
      <c r="V54" s="87">
        <f t="shared" si="10"/>
        <v>0</v>
      </c>
      <c r="W54" s="120">
        <f t="shared" si="11"/>
        <v>0</v>
      </c>
    </row>
    <row r="55" spans="2:23">
      <c r="B55" s="116">
        <f>Amnt_Deposited!B50</f>
        <v>2036</v>
      </c>
      <c r="C55" s="119">
        <f>Amnt_Deposited!F50</f>
        <v>0</v>
      </c>
      <c r="D55" s="453">
        <f>Dry_Matter_Content!F42</f>
        <v>0.56999999999999995</v>
      </c>
      <c r="E55" s="319">
        <f>MCF!R54</f>
        <v>0.8</v>
      </c>
      <c r="F55" s="87">
        <f t="shared" si="12"/>
        <v>0</v>
      </c>
      <c r="G55" s="87">
        <f t="shared" si="1"/>
        <v>0</v>
      </c>
      <c r="H55" s="87">
        <f t="shared" si="2"/>
        <v>0</v>
      </c>
      <c r="I55" s="87">
        <f t="shared" si="3"/>
        <v>0</v>
      </c>
      <c r="J55" s="87">
        <f t="shared" si="4"/>
        <v>0</v>
      </c>
      <c r="K55" s="120">
        <f t="shared" si="6"/>
        <v>0</v>
      </c>
      <c r="O55" s="116">
        <f>Amnt_Deposited!B50</f>
        <v>2036</v>
      </c>
      <c r="P55" s="119">
        <f>Amnt_Deposited!F50</f>
        <v>0</v>
      </c>
      <c r="Q55" s="319">
        <f>MCF!R54</f>
        <v>0.8</v>
      </c>
      <c r="R55" s="87">
        <f t="shared" si="13"/>
        <v>0</v>
      </c>
      <c r="S55" s="87">
        <f t="shared" si="7"/>
        <v>0</v>
      </c>
      <c r="T55" s="87">
        <f t="shared" si="8"/>
        <v>0</v>
      </c>
      <c r="U55" s="87">
        <f t="shared" si="9"/>
        <v>0</v>
      </c>
      <c r="V55" s="87">
        <f t="shared" si="10"/>
        <v>0</v>
      </c>
      <c r="W55" s="120">
        <f t="shared" si="11"/>
        <v>0</v>
      </c>
    </row>
    <row r="56" spans="2:23">
      <c r="B56" s="116">
        <f>Amnt_Deposited!B51</f>
        <v>2037</v>
      </c>
      <c r="C56" s="119">
        <f>Amnt_Deposited!F51</f>
        <v>0</v>
      </c>
      <c r="D56" s="453">
        <f>Dry_Matter_Content!F43</f>
        <v>0.56999999999999995</v>
      </c>
      <c r="E56" s="319">
        <f>MCF!R55</f>
        <v>0.8</v>
      </c>
      <c r="F56" s="87">
        <f t="shared" si="12"/>
        <v>0</v>
      </c>
      <c r="G56" s="87">
        <f t="shared" si="1"/>
        <v>0</v>
      </c>
      <c r="H56" s="87">
        <f t="shared" si="2"/>
        <v>0</v>
      </c>
      <c r="I56" s="87">
        <f t="shared" si="3"/>
        <v>0</v>
      </c>
      <c r="J56" s="87">
        <f t="shared" si="4"/>
        <v>0</v>
      </c>
      <c r="K56" s="120">
        <f t="shared" si="6"/>
        <v>0</v>
      </c>
      <c r="O56" s="116">
        <f>Amnt_Deposited!B51</f>
        <v>2037</v>
      </c>
      <c r="P56" s="119">
        <f>Amnt_Deposited!F51</f>
        <v>0</v>
      </c>
      <c r="Q56" s="319">
        <f>MCF!R55</f>
        <v>0.8</v>
      </c>
      <c r="R56" s="87">
        <f t="shared" si="13"/>
        <v>0</v>
      </c>
      <c r="S56" s="87">
        <f t="shared" si="7"/>
        <v>0</v>
      </c>
      <c r="T56" s="87">
        <f t="shared" si="8"/>
        <v>0</v>
      </c>
      <c r="U56" s="87">
        <f t="shared" si="9"/>
        <v>0</v>
      </c>
      <c r="V56" s="87">
        <f t="shared" si="10"/>
        <v>0</v>
      </c>
      <c r="W56" s="120">
        <f t="shared" si="11"/>
        <v>0</v>
      </c>
    </row>
    <row r="57" spans="2:23">
      <c r="B57" s="116">
        <f>Amnt_Deposited!B52</f>
        <v>2038</v>
      </c>
      <c r="C57" s="119">
        <f>Amnt_Deposited!F52</f>
        <v>0</v>
      </c>
      <c r="D57" s="453">
        <f>Dry_Matter_Content!F44</f>
        <v>0.56999999999999995</v>
      </c>
      <c r="E57" s="319">
        <f>MCF!R56</f>
        <v>0.8</v>
      </c>
      <c r="F57" s="87">
        <f t="shared" si="12"/>
        <v>0</v>
      </c>
      <c r="G57" s="87">
        <f t="shared" si="1"/>
        <v>0</v>
      </c>
      <c r="H57" s="87">
        <f t="shared" si="2"/>
        <v>0</v>
      </c>
      <c r="I57" s="87">
        <f t="shared" si="3"/>
        <v>0</v>
      </c>
      <c r="J57" s="87">
        <f t="shared" si="4"/>
        <v>0</v>
      </c>
      <c r="K57" s="120">
        <f t="shared" si="6"/>
        <v>0</v>
      </c>
      <c r="O57" s="116">
        <f>Amnt_Deposited!B52</f>
        <v>2038</v>
      </c>
      <c r="P57" s="119">
        <f>Amnt_Deposited!F52</f>
        <v>0</v>
      </c>
      <c r="Q57" s="319">
        <f>MCF!R56</f>
        <v>0.8</v>
      </c>
      <c r="R57" s="87">
        <f t="shared" si="13"/>
        <v>0</v>
      </c>
      <c r="S57" s="87">
        <f t="shared" si="7"/>
        <v>0</v>
      </c>
      <c r="T57" s="87">
        <f t="shared" si="8"/>
        <v>0</v>
      </c>
      <c r="U57" s="87">
        <f t="shared" si="9"/>
        <v>0</v>
      </c>
      <c r="V57" s="87">
        <f t="shared" si="10"/>
        <v>0</v>
      </c>
      <c r="W57" s="120">
        <f t="shared" si="11"/>
        <v>0</v>
      </c>
    </row>
    <row r="58" spans="2:23">
      <c r="B58" s="116">
        <f>Amnt_Deposited!B53</f>
        <v>2039</v>
      </c>
      <c r="C58" s="119">
        <f>Amnt_Deposited!F53</f>
        <v>0</v>
      </c>
      <c r="D58" s="453">
        <f>Dry_Matter_Content!F45</f>
        <v>0.56999999999999995</v>
      </c>
      <c r="E58" s="319">
        <f>MCF!R57</f>
        <v>0.8</v>
      </c>
      <c r="F58" s="87">
        <f t="shared" si="12"/>
        <v>0</v>
      </c>
      <c r="G58" s="87">
        <f t="shared" si="1"/>
        <v>0</v>
      </c>
      <c r="H58" s="87">
        <f t="shared" si="2"/>
        <v>0</v>
      </c>
      <c r="I58" s="87">
        <f t="shared" si="3"/>
        <v>0</v>
      </c>
      <c r="J58" s="87">
        <f t="shared" si="4"/>
        <v>0</v>
      </c>
      <c r="K58" s="120">
        <f t="shared" si="6"/>
        <v>0</v>
      </c>
      <c r="O58" s="116">
        <f>Amnt_Deposited!B53</f>
        <v>2039</v>
      </c>
      <c r="P58" s="119">
        <f>Amnt_Deposited!F53</f>
        <v>0</v>
      </c>
      <c r="Q58" s="319">
        <f>MCF!R57</f>
        <v>0.8</v>
      </c>
      <c r="R58" s="87">
        <f t="shared" si="13"/>
        <v>0</v>
      </c>
      <c r="S58" s="87">
        <f t="shared" si="7"/>
        <v>0</v>
      </c>
      <c r="T58" s="87">
        <f t="shared" si="8"/>
        <v>0</v>
      </c>
      <c r="U58" s="87">
        <f t="shared" si="9"/>
        <v>0</v>
      </c>
      <c r="V58" s="87">
        <f t="shared" si="10"/>
        <v>0</v>
      </c>
      <c r="W58" s="120">
        <f t="shared" si="11"/>
        <v>0</v>
      </c>
    </row>
    <row r="59" spans="2:23">
      <c r="B59" s="116">
        <f>Amnt_Deposited!B54</f>
        <v>2040</v>
      </c>
      <c r="C59" s="119">
        <f>Amnt_Deposited!F54</f>
        <v>0</v>
      </c>
      <c r="D59" s="453">
        <f>Dry_Matter_Content!F46</f>
        <v>0.56999999999999995</v>
      </c>
      <c r="E59" s="319">
        <f>MCF!R58</f>
        <v>0.8</v>
      </c>
      <c r="F59" s="87">
        <f t="shared" si="12"/>
        <v>0</v>
      </c>
      <c r="G59" s="87">
        <f t="shared" si="1"/>
        <v>0</v>
      </c>
      <c r="H59" s="87">
        <f t="shared" si="2"/>
        <v>0</v>
      </c>
      <c r="I59" s="87">
        <f t="shared" si="3"/>
        <v>0</v>
      </c>
      <c r="J59" s="87">
        <f t="shared" si="4"/>
        <v>0</v>
      </c>
      <c r="K59" s="120">
        <f t="shared" si="6"/>
        <v>0</v>
      </c>
      <c r="O59" s="116">
        <f>Amnt_Deposited!B54</f>
        <v>2040</v>
      </c>
      <c r="P59" s="119">
        <f>Amnt_Deposited!F54</f>
        <v>0</v>
      </c>
      <c r="Q59" s="319">
        <f>MCF!R58</f>
        <v>0.8</v>
      </c>
      <c r="R59" s="87">
        <f t="shared" si="13"/>
        <v>0</v>
      </c>
      <c r="S59" s="87">
        <f t="shared" si="7"/>
        <v>0</v>
      </c>
      <c r="T59" s="87">
        <f t="shared" si="8"/>
        <v>0</v>
      </c>
      <c r="U59" s="87">
        <f t="shared" si="9"/>
        <v>0</v>
      </c>
      <c r="V59" s="87">
        <f t="shared" si="10"/>
        <v>0</v>
      </c>
      <c r="W59" s="120">
        <f t="shared" si="11"/>
        <v>0</v>
      </c>
    </row>
    <row r="60" spans="2:23">
      <c r="B60" s="116">
        <f>Amnt_Deposited!B55</f>
        <v>2041</v>
      </c>
      <c r="C60" s="119">
        <f>Amnt_Deposited!F55</f>
        <v>0</v>
      </c>
      <c r="D60" s="453">
        <f>Dry_Matter_Content!F47</f>
        <v>0.56999999999999995</v>
      </c>
      <c r="E60" s="319">
        <f>MCF!R59</f>
        <v>0.8</v>
      </c>
      <c r="F60" s="87">
        <f t="shared" si="12"/>
        <v>0</v>
      </c>
      <c r="G60" s="87">
        <f t="shared" si="1"/>
        <v>0</v>
      </c>
      <c r="H60" s="87">
        <f t="shared" si="2"/>
        <v>0</v>
      </c>
      <c r="I60" s="87">
        <f t="shared" si="3"/>
        <v>0</v>
      </c>
      <c r="J60" s="87">
        <f t="shared" si="4"/>
        <v>0</v>
      </c>
      <c r="K60" s="120">
        <f t="shared" si="6"/>
        <v>0</v>
      </c>
      <c r="O60" s="116">
        <f>Amnt_Deposited!B55</f>
        <v>2041</v>
      </c>
      <c r="P60" s="119">
        <f>Amnt_Deposited!F55</f>
        <v>0</v>
      </c>
      <c r="Q60" s="319">
        <f>MCF!R59</f>
        <v>0.8</v>
      </c>
      <c r="R60" s="87">
        <f t="shared" si="13"/>
        <v>0</v>
      </c>
      <c r="S60" s="87">
        <f t="shared" si="7"/>
        <v>0</v>
      </c>
      <c r="T60" s="87">
        <f t="shared" si="8"/>
        <v>0</v>
      </c>
      <c r="U60" s="87">
        <f t="shared" si="9"/>
        <v>0</v>
      </c>
      <c r="V60" s="87">
        <f t="shared" si="10"/>
        <v>0</v>
      </c>
      <c r="W60" s="120">
        <f t="shared" si="11"/>
        <v>0</v>
      </c>
    </row>
    <row r="61" spans="2:23">
      <c r="B61" s="116">
        <f>Amnt_Deposited!B56</f>
        <v>2042</v>
      </c>
      <c r="C61" s="119">
        <f>Amnt_Deposited!F56</f>
        <v>0</v>
      </c>
      <c r="D61" s="453">
        <f>Dry_Matter_Content!F48</f>
        <v>0.56999999999999995</v>
      </c>
      <c r="E61" s="319">
        <f>MCF!R60</f>
        <v>0.8</v>
      </c>
      <c r="F61" s="87">
        <f t="shared" si="12"/>
        <v>0</v>
      </c>
      <c r="G61" s="87">
        <f t="shared" si="1"/>
        <v>0</v>
      </c>
      <c r="H61" s="87">
        <f t="shared" si="2"/>
        <v>0</v>
      </c>
      <c r="I61" s="87">
        <f t="shared" si="3"/>
        <v>0</v>
      </c>
      <c r="J61" s="87">
        <f t="shared" si="4"/>
        <v>0</v>
      </c>
      <c r="K61" s="120">
        <f t="shared" si="6"/>
        <v>0</v>
      </c>
      <c r="O61" s="116">
        <f>Amnt_Deposited!B56</f>
        <v>2042</v>
      </c>
      <c r="P61" s="119">
        <f>Amnt_Deposited!F56</f>
        <v>0</v>
      </c>
      <c r="Q61" s="319">
        <f>MCF!R60</f>
        <v>0.8</v>
      </c>
      <c r="R61" s="87">
        <f t="shared" si="13"/>
        <v>0</v>
      </c>
      <c r="S61" s="87">
        <f t="shared" si="7"/>
        <v>0</v>
      </c>
      <c r="T61" s="87">
        <f t="shared" si="8"/>
        <v>0</v>
      </c>
      <c r="U61" s="87">
        <f t="shared" si="9"/>
        <v>0</v>
      </c>
      <c r="V61" s="87">
        <f t="shared" si="10"/>
        <v>0</v>
      </c>
      <c r="W61" s="120">
        <f t="shared" si="11"/>
        <v>0</v>
      </c>
    </row>
    <row r="62" spans="2:23">
      <c r="B62" s="116">
        <f>Amnt_Deposited!B57</f>
        <v>2043</v>
      </c>
      <c r="C62" s="119">
        <f>Amnt_Deposited!F57</f>
        <v>0</v>
      </c>
      <c r="D62" s="453">
        <f>Dry_Matter_Content!F49</f>
        <v>0.56999999999999995</v>
      </c>
      <c r="E62" s="319">
        <f>MCF!R61</f>
        <v>0.8</v>
      </c>
      <c r="F62" s="87">
        <f t="shared" si="12"/>
        <v>0</v>
      </c>
      <c r="G62" s="87">
        <f t="shared" si="1"/>
        <v>0</v>
      </c>
      <c r="H62" s="87">
        <f t="shared" si="2"/>
        <v>0</v>
      </c>
      <c r="I62" s="87">
        <f t="shared" si="3"/>
        <v>0</v>
      </c>
      <c r="J62" s="87">
        <f t="shared" si="4"/>
        <v>0</v>
      </c>
      <c r="K62" s="120">
        <f t="shared" si="6"/>
        <v>0</v>
      </c>
      <c r="O62" s="116">
        <f>Amnt_Deposited!B57</f>
        <v>2043</v>
      </c>
      <c r="P62" s="119">
        <f>Amnt_Deposited!F57</f>
        <v>0</v>
      </c>
      <c r="Q62" s="319">
        <f>MCF!R61</f>
        <v>0.8</v>
      </c>
      <c r="R62" s="87">
        <f t="shared" si="13"/>
        <v>0</v>
      </c>
      <c r="S62" s="87">
        <f t="shared" si="7"/>
        <v>0</v>
      </c>
      <c r="T62" s="87">
        <f t="shared" si="8"/>
        <v>0</v>
      </c>
      <c r="U62" s="87">
        <f t="shared" si="9"/>
        <v>0</v>
      </c>
      <c r="V62" s="87">
        <f t="shared" si="10"/>
        <v>0</v>
      </c>
      <c r="W62" s="120">
        <f t="shared" si="11"/>
        <v>0</v>
      </c>
    </row>
    <row r="63" spans="2:23">
      <c r="B63" s="116">
        <f>Amnt_Deposited!B58</f>
        <v>2044</v>
      </c>
      <c r="C63" s="119">
        <f>Amnt_Deposited!F58</f>
        <v>0</v>
      </c>
      <c r="D63" s="453">
        <f>Dry_Matter_Content!F50</f>
        <v>0.56999999999999995</v>
      </c>
      <c r="E63" s="319">
        <f>MCF!R62</f>
        <v>0.8</v>
      </c>
      <c r="F63" s="87">
        <f t="shared" si="12"/>
        <v>0</v>
      </c>
      <c r="G63" s="87">
        <f t="shared" si="1"/>
        <v>0</v>
      </c>
      <c r="H63" s="87">
        <f t="shared" si="2"/>
        <v>0</v>
      </c>
      <c r="I63" s="87">
        <f t="shared" si="3"/>
        <v>0</v>
      </c>
      <c r="J63" s="87">
        <f t="shared" si="4"/>
        <v>0</v>
      </c>
      <c r="K63" s="120">
        <f t="shared" si="6"/>
        <v>0</v>
      </c>
      <c r="O63" s="116">
        <f>Amnt_Deposited!B58</f>
        <v>2044</v>
      </c>
      <c r="P63" s="119">
        <f>Amnt_Deposited!F58</f>
        <v>0</v>
      </c>
      <c r="Q63" s="319">
        <f>MCF!R62</f>
        <v>0.8</v>
      </c>
      <c r="R63" s="87">
        <f t="shared" si="13"/>
        <v>0</v>
      </c>
      <c r="S63" s="87">
        <f t="shared" si="7"/>
        <v>0</v>
      </c>
      <c r="T63" s="87">
        <f t="shared" si="8"/>
        <v>0</v>
      </c>
      <c r="U63" s="87">
        <f t="shared" si="9"/>
        <v>0</v>
      </c>
      <c r="V63" s="87">
        <f t="shared" si="10"/>
        <v>0</v>
      </c>
      <c r="W63" s="120">
        <f t="shared" si="11"/>
        <v>0</v>
      </c>
    </row>
    <row r="64" spans="2:23">
      <c r="B64" s="116">
        <f>Amnt_Deposited!B59</f>
        <v>2045</v>
      </c>
      <c r="C64" s="119">
        <f>Amnt_Deposited!F59</f>
        <v>0</v>
      </c>
      <c r="D64" s="453">
        <f>Dry_Matter_Content!F51</f>
        <v>0.56999999999999995</v>
      </c>
      <c r="E64" s="319">
        <f>MCF!R63</f>
        <v>0.8</v>
      </c>
      <c r="F64" s="87">
        <f t="shared" si="12"/>
        <v>0</v>
      </c>
      <c r="G64" s="87">
        <f t="shared" si="1"/>
        <v>0</v>
      </c>
      <c r="H64" s="87">
        <f t="shared" si="2"/>
        <v>0</v>
      </c>
      <c r="I64" s="87">
        <f t="shared" si="3"/>
        <v>0</v>
      </c>
      <c r="J64" s="87">
        <f t="shared" si="4"/>
        <v>0</v>
      </c>
      <c r="K64" s="120">
        <f t="shared" si="6"/>
        <v>0</v>
      </c>
      <c r="O64" s="116">
        <f>Amnt_Deposited!B59</f>
        <v>2045</v>
      </c>
      <c r="P64" s="119">
        <f>Amnt_Deposited!F59</f>
        <v>0</v>
      </c>
      <c r="Q64" s="319">
        <f>MCF!R63</f>
        <v>0.8</v>
      </c>
      <c r="R64" s="87">
        <f t="shared" si="13"/>
        <v>0</v>
      </c>
      <c r="S64" s="87">
        <f t="shared" si="7"/>
        <v>0</v>
      </c>
      <c r="T64" s="87">
        <f t="shared" si="8"/>
        <v>0</v>
      </c>
      <c r="U64" s="87">
        <f t="shared" si="9"/>
        <v>0</v>
      </c>
      <c r="V64" s="87">
        <f t="shared" si="10"/>
        <v>0</v>
      </c>
      <c r="W64" s="120">
        <f t="shared" si="11"/>
        <v>0</v>
      </c>
    </row>
    <row r="65" spans="2:23">
      <c r="B65" s="116">
        <f>Amnt_Deposited!B60</f>
        <v>2046</v>
      </c>
      <c r="C65" s="119">
        <f>Amnt_Deposited!F60</f>
        <v>0</v>
      </c>
      <c r="D65" s="453">
        <f>Dry_Matter_Content!F52</f>
        <v>0.56999999999999995</v>
      </c>
      <c r="E65" s="319">
        <f>MCF!R64</f>
        <v>0.8</v>
      </c>
      <c r="F65" s="87">
        <f t="shared" si="12"/>
        <v>0</v>
      </c>
      <c r="G65" s="87">
        <f t="shared" si="1"/>
        <v>0</v>
      </c>
      <c r="H65" s="87">
        <f t="shared" si="2"/>
        <v>0</v>
      </c>
      <c r="I65" s="87">
        <f t="shared" si="3"/>
        <v>0</v>
      </c>
      <c r="J65" s="87">
        <f t="shared" si="4"/>
        <v>0</v>
      </c>
      <c r="K65" s="120">
        <f t="shared" si="6"/>
        <v>0</v>
      </c>
      <c r="O65" s="116">
        <f>Amnt_Deposited!B60</f>
        <v>2046</v>
      </c>
      <c r="P65" s="119">
        <f>Amnt_Deposited!F60</f>
        <v>0</v>
      </c>
      <c r="Q65" s="319">
        <f>MCF!R64</f>
        <v>0.8</v>
      </c>
      <c r="R65" s="87">
        <f t="shared" si="13"/>
        <v>0</v>
      </c>
      <c r="S65" s="87">
        <f t="shared" si="7"/>
        <v>0</v>
      </c>
      <c r="T65" s="87">
        <f t="shared" si="8"/>
        <v>0</v>
      </c>
      <c r="U65" s="87">
        <f t="shared" si="9"/>
        <v>0</v>
      </c>
      <c r="V65" s="87">
        <f t="shared" si="10"/>
        <v>0</v>
      </c>
      <c r="W65" s="120">
        <f t="shared" si="11"/>
        <v>0</v>
      </c>
    </row>
    <row r="66" spans="2:23">
      <c r="B66" s="116">
        <f>Amnt_Deposited!B61</f>
        <v>2047</v>
      </c>
      <c r="C66" s="119">
        <f>Amnt_Deposited!F61</f>
        <v>0</v>
      </c>
      <c r="D66" s="453">
        <f>Dry_Matter_Content!F53</f>
        <v>0.56999999999999995</v>
      </c>
      <c r="E66" s="319">
        <f>MCF!R65</f>
        <v>0.8</v>
      </c>
      <c r="F66" s="87">
        <f t="shared" si="12"/>
        <v>0</v>
      </c>
      <c r="G66" s="87">
        <f t="shared" si="1"/>
        <v>0</v>
      </c>
      <c r="H66" s="87">
        <f t="shared" si="2"/>
        <v>0</v>
      </c>
      <c r="I66" s="87">
        <f t="shared" si="3"/>
        <v>0</v>
      </c>
      <c r="J66" s="87">
        <f t="shared" si="4"/>
        <v>0</v>
      </c>
      <c r="K66" s="120">
        <f t="shared" si="6"/>
        <v>0</v>
      </c>
      <c r="O66" s="116">
        <f>Amnt_Deposited!B61</f>
        <v>2047</v>
      </c>
      <c r="P66" s="119">
        <f>Amnt_Deposited!F61</f>
        <v>0</v>
      </c>
      <c r="Q66" s="319">
        <f>MCF!R65</f>
        <v>0.8</v>
      </c>
      <c r="R66" s="87">
        <f t="shared" si="13"/>
        <v>0</v>
      </c>
      <c r="S66" s="87">
        <f t="shared" si="7"/>
        <v>0</v>
      </c>
      <c r="T66" s="87">
        <f t="shared" si="8"/>
        <v>0</v>
      </c>
      <c r="U66" s="87">
        <f t="shared" si="9"/>
        <v>0</v>
      </c>
      <c r="V66" s="87">
        <f t="shared" si="10"/>
        <v>0</v>
      </c>
      <c r="W66" s="120">
        <f t="shared" si="11"/>
        <v>0</v>
      </c>
    </row>
    <row r="67" spans="2:23">
      <c r="B67" s="116">
        <f>Amnt_Deposited!B62</f>
        <v>2048</v>
      </c>
      <c r="C67" s="119">
        <f>Amnt_Deposited!F62</f>
        <v>0</v>
      </c>
      <c r="D67" s="453">
        <f>Dry_Matter_Content!F54</f>
        <v>0.56999999999999995</v>
      </c>
      <c r="E67" s="319">
        <f>MCF!R66</f>
        <v>0.8</v>
      </c>
      <c r="F67" s="87">
        <f t="shared" si="12"/>
        <v>0</v>
      </c>
      <c r="G67" s="87">
        <f t="shared" si="1"/>
        <v>0</v>
      </c>
      <c r="H67" s="87">
        <f t="shared" si="2"/>
        <v>0</v>
      </c>
      <c r="I67" s="87">
        <f t="shared" si="3"/>
        <v>0</v>
      </c>
      <c r="J67" s="87">
        <f t="shared" si="4"/>
        <v>0</v>
      </c>
      <c r="K67" s="120">
        <f t="shared" si="6"/>
        <v>0</v>
      </c>
      <c r="O67" s="116">
        <f>Amnt_Deposited!B62</f>
        <v>2048</v>
      </c>
      <c r="P67" s="119">
        <f>Amnt_Deposited!F62</f>
        <v>0</v>
      </c>
      <c r="Q67" s="319">
        <f>MCF!R66</f>
        <v>0.8</v>
      </c>
      <c r="R67" s="87">
        <f t="shared" si="13"/>
        <v>0</v>
      </c>
      <c r="S67" s="87">
        <f t="shared" si="7"/>
        <v>0</v>
      </c>
      <c r="T67" s="87">
        <f t="shared" si="8"/>
        <v>0</v>
      </c>
      <c r="U67" s="87">
        <f t="shared" si="9"/>
        <v>0</v>
      </c>
      <c r="V67" s="87">
        <f t="shared" si="10"/>
        <v>0</v>
      </c>
      <c r="W67" s="120">
        <f t="shared" si="11"/>
        <v>0</v>
      </c>
    </row>
    <row r="68" spans="2:23">
      <c r="B68" s="116">
        <f>Amnt_Deposited!B63</f>
        <v>2049</v>
      </c>
      <c r="C68" s="119">
        <f>Amnt_Deposited!F63</f>
        <v>0</v>
      </c>
      <c r="D68" s="453">
        <f>Dry_Matter_Content!F55</f>
        <v>0.56999999999999995</v>
      </c>
      <c r="E68" s="319">
        <f>MCF!R67</f>
        <v>0.8</v>
      </c>
      <c r="F68" s="87">
        <f t="shared" si="12"/>
        <v>0</v>
      </c>
      <c r="G68" s="87">
        <f t="shared" si="1"/>
        <v>0</v>
      </c>
      <c r="H68" s="87">
        <f t="shared" si="2"/>
        <v>0</v>
      </c>
      <c r="I68" s="87">
        <f t="shared" si="3"/>
        <v>0</v>
      </c>
      <c r="J68" s="87">
        <f t="shared" si="4"/>
        <v>0</v>
      </c>
      <c r="K68" s="120">
        <f t="shared" si="6"/>
        <v>0</v>
      </c>
      <c r="O68" s="116">
        <f>Amnt_Deposited!B63</f>
        <v>2049</v>
      </c>
      <c r="P68" s="119">
        <f>Amnt_Deposited!F63</f>
        <v>0</v>
      </c>
      <c r="Q68" s="319">
        <f>MCF!R67</f>
        <v>0.8</v>
      </c>
      <c r="R68" s="87">
        <f t="shared" si="13"/>
        <v>0</v>
      </c>
      <c r="S68" s="87">
        <f t="shared" si="7"/>
        <v>0</v>
      </c>
      <c r="T68" s="87">
        <f t="shared" si="8"/>
        <v>0</v>
      </c>
      <c r="U68" s="87">
        <f t="shared" si="9"/>
        <v>0</v>
      </c>
      <c r="V68" s="87">
        <f t="shared" si="10"/>
        <v>0</v>
      </c>
      <c r="W68" s="120">
        <f t="shared" si="11"/>
        <v>0</v>
      </c>
    </row>
    <row r="69" spans="2:23">
      <c r="B69" s="116">
        <f>Amnt_Deposited!B64</f>
        <v>2050</v>
      </c>
      <c r="C69" s="119">
        <f>Amnt_Deposited!F64</f>
        <v>0</v>
      </c>
      <c r="D69" s="453">
        <f>Dry_Matter_Content!F56</f>
        <v>0.56999999999999995</v>
      </c>
      <c r="E69" s="319">
        <f>MCF!R68</f>
        <v>0.8</v>
      </c>
      <c r="F69" s="87">
        <f t="shared" si="12"/>
        <v>0</v>
      </c>
      <c r="G69" s="87">
        <f t="shared" si="1"/>
        <v>0</v>
      </c>
      <c r="H69" s="87">
        <f t="shared" si="2"/>
        <v>0</v>
      </c>
      <c r="I69" s="87">
        <f t="shared" si="3"/>
        <v>0</v>
      </c>
      <c r="J69" s="87">
        <f t="shared" si="4"/>
        <v>0</v>
      </c>
      <c r="K69" s="120">
        <f t="shared" si="6"/>
        <v>0</v>
      </c>
      <c r="O69" s="116">
        <f>Amnt_Deposited!B64</f>
        <v>2050</v>
      </c>
      <c r="P69" s="119">
        <f>Amnt_Deposited!F64</f>
        <v>0</v>
      </c>
      <c r="Q69" s="319">
        <f>MCF!R68</f>
        <v>0.8</v>
      </c>
      <c r="R69" s="87">
        <f t="shared" si="13"/>
        <v>0</v>
      </c>
      <c r="S69" s="87">
        <f t="shared" si="7"/>
        <v>0</v>
      </c>
      <c r="T69" s="87">
        <f t="shared" si="8"/>
        <v>0</v>
      </c>
      <c r="U69" s="87">
        <f t="shared" si="9"/>
        <v>0</v>
      </c>
      <c r="V69" s="87">
        <f t="shared" si="10"/>
        <v>0</v>
      </c>
      <c r="W69" s="120">
        <f t="shared" si="11"/>
        <v>0</v>
      </c>
    </row>
    <row r="70" spans="2:23">
      <c r="B70" s="116">
        <f>Amnt_Deposited!B65</f>
        <v>2051</v>
      </c>
      <c r="C70" s="119">
        <f>Amnt_Deposited!F65</f>
        <v>0</v>
      </c>
      <c r="D70" s="453">
        <f>Dry_Matter_Content!F57</f>
        <v>0.56999999999999995</v>
      </c>
      <c r="E70" s="319">
        <f>MCF!R69</f>
        <v>0.8</v>
      </c>
      <c r="F70" s="87">
        <f t="shared" si="12"/>
        <v>0</v>
      </c>
      <c r="G70" s="87">
        <f t="shared" si="1"/>
        <v>0</v>
      </c>
      <c r="H70" s="87">
        <f t="shared" si="2"/>
        <v>0</v>
      </c>
      <c r="I70" s="87">
        <f t="shared" si="3"/>
        <v>0</v>
      </c>
      <c r="J70" s="87">
        <f t="shared" si="4"/>
        <v>0</v>
      </c>
      <c r="K70" s="120">
        <f t="shared" si="6"/>
        <v>0</v>
      </c>
      <c r="O70" s="116">
        <f>Amnt_Deposited!B65</f>
        <v>2051</v>
      </c>
      <c r="P70" s="119">
        <f>Amnt_Deposited!F65</f>
        <v>0</v>
      </c>
      <c r="Q70" s="319">
        <f>MCF!R69</f>
        <v>0.8</v>
      </c>
      <c r="R70" s="87">
        <f t="shared" si="13"/>
        <v>0</v>
      </c>
      <c r="S70" s="87">
        <f t="shared" si="7"/>
        <v>0</v>
      </c>
      <c r="T70" s="87">
        <f t="shared" si="8"/>
        <v>0</v>
      </c>
      <c r="U70" s="87">
        <f t="shared" si="9"/>
        <v>0</v>
      </c>
      <c r="V70" s="87">
        <f t="shared" si="10"/>
        <v>0</v>
      </c>
      <c r="W70" s="120">
        <f t="shared" si="11"/>
        <v>0</v>
      </c>
    </row>
    <row r="71" spans="2:23">
      <c r="B71" s="116">
        <f>Amnt_Deposited!B66</f>
        <v>2052</v>
      </c>
      <c r="C71" s="119">
        <f>Amnt_Deposited!F66</f>
        <v>0</v>
      </c>
      <c r="D71" s="453">
        <f>Dry_Matter_Content!F58</f>
        <v>0.56999999999999995</v>
      </c>
      <c r="E71" s="319">
        <f>MCF!R70</f>
        <v>0.8</v>
      </c>
      <c r="F71" s="87">
        <f t="shared" si="12"/>
        <v>0</v>
      </c>
      <c r="G71" s="87">
        <f t="shared" si="1"/>
        <v>0</v>
      </c>
      <c r="H71" s="87">
        <f t="shared" si="2"/>
        <v>0</v>
      </c>
      <c r="I71" s="87">
        <f t="shared" si="3"/>
        <v>0</v>
      </c>
      <c r="J71" s="87">
        <f t="shared" si="4"/>
        <v>0</v>
      </c>
      <c r="K71" s="120">
        <f t="shared" si="6"/>
        <v>0</v>
      </c>
      <c r="O71" s="116">
        <f>Amnt_Deposited!B66</f>
        <v>2052</v>
      </c>
      <c r="P71" s="119">
        <f>Amnt_Deposited!F66</f>
        <v>0</v>
      </c>
      <c r="Q71" s="319">
        <f>MCF!R70</f>
        <v>0.8</v>
      </c>
      <c r="R71" s="87">
        <f t="shared" si="13"/>
        <v>0</v>
      </c>
      <c r="S71" s="87">
        <f t="shared" si="7"/>
        <v>0</v>
      </c>
      <c r="T71" s="87">
        <f t="shared" si="8"/>
        <v>0</v>
      </c>
      <c r="U71" s="87">
        <f t="shared" si="9"/>
        <v>0</v>
      </c>
      <c r="V71" s="87">
        <f t="shared" si="10"/>
        <v>0</v>
      </c>
      <c r="W71" s="120">
        <f t="shared" si="11"/>
        <v>0</v>
      </c>
    </row>
    <row r="72" spans="2:23">
      <c r="B72" s="116">
        <f>Amnt_Deposited!B67</f>
        <v>2053</v>
      </c>
      <c r="C72" s="119">
        <f>Amnt_Deposited!F67</f>
        <v>0</v>
      </c>
      <c r="D72" s="453">
        <f>Dry_Matter_Content!F59</f>
        <v>0.56999999999999995</v>
      </c>
      <c r="E72" s="319">
        <f>MCF!R71</f>
        <v>0.8</v>
      </c>
      <c r="F72" s="87">
        <f t="shared" si="12"/>
        <v>0</v>
      </c>
      <c r="G72" s="87">
        <f t="shared" si="1"/>
        <v>0</v>
      </c>
      <c r="H72" s="87">
        <f t="shared" si="2"/>
        <v>0</v>
      </c>
      <c r="I72" s="87">
        <f t="shared" si="3"/>
        <v>0</v>
      </c>
      <c r="J72" s="87">
        <f t="shared" si="4"/>
        <v>0</v>
      </c>
      <c r="K72" s="120">
        <f t="shared" si="6"/>
        <v>0</v>
      </c>
      <c r="O72" s="116">
        <f>Amnt_Deposited!B67</f>
        <v>2053</v>
      </c>
      <c r="P72" s="119">
        <f>Amnt_Deposited!F67</f>
        <v>0</v>
      </c>
      <c r="Q72" s="319">
        <f>MCF!R71</f>
        <v>0.8</v>
      </c>
      <c r="R72" s="87">
        <f t="shared" si="13"/>
        <v>0</v>
      </c>
      <c r="S72" s="87">
        <f t="shared" si="7"/>
        <v>0</v>
      </c>
      <c r="T72" s="87">
        <f t="shared" si="8"/>
        <v>0</v>
      </c>
      <c r="U72" s="87">
        <f t="shared" si="9"/>
        <v>0</v>
      </c>
      <c r="V72" s="87">
        <f t="shared" si="10"/>
        <v>0</v>
      </c>
      <c r="W72" s="120">
        <f t="shared" si="11"/>
        <v>0</v>
      </c>
    </row>
    <row r="73" spans="2:23">
      <c r="B73" s="116">
        <f>Amnt_Deposited!B68</f>
        <v>2054</v>
      </c>
      <c r="C73" s="119">
        <f>Amnt_Deposited!F68</f>
        <v>0</v>
      </c>
      <c r="D73" s="453">
        <f>Dry_Matter_Content!F60</f>
        <v>0.56999999999999995</v>
      </c>
      <c r="E73" s="319">
        <f>MCF!R72</f>
        <v>0.8</v>
      </c>
      <c r="F73" s="87">
        <f t="shared" si="12"/>
        <v>0</v>
      </c>
      <c r="G73" s="87">
        <f t="shared" si="1"/>
        <v>0</v>
      </c>
      <c r="H73" s="87">
        <f t="shared" si="2"/>
        <v>0</v>
      </c>
      <c r="I73" s="87">
        <f t="shared" si="3"/>
        <v>0</v>
      </c>
      <c r="J73" s="87">
        <f t="shared" si="4"/>
        <v>0</v>
      </c>
      <c r="K73" s="120">
        <f t="shared" si="6"/>
        <v>0</v>
      </c>
      <c r="O73" s="116">
        <f>Amnt_Deposited!B68</f>
        <v>2054</v>
      </c>
      <c r="P73" s="119">
        <f>Amnt_Deposited!F68</f>
        <v>0</v>
      </c>
      <c r="Q73" s="319">
        <f>MCF!R72</f>
        <v>0.8</v>
      </c>
      <c r="R73" s="87">
        <f t="shared" si="13"/>
        <v>0</v>
      </c>
      <c r="S73" s="87">
        <f t="shared" si="7"/>
        <v>0</v>
      </c>
      <c r="T73" s="87">
        <f t="shared" si="8"/>
        <v>0</v>
      </c>
      <c r="U73" s="87">
        <f t="shared" si="9"/>
        <v>0</v>
      </c>
      <c r="V73" s="87">
        <f t="shared" si="10"/>
        <v>0</v>
      </c>
      <c r="W73" s="120">
        <f t="shared" si="11"/>
        <v>0</v>
      </c>
    </row>
    <row r="74" spans="2:23">
      <c r="B74" s="116">
        <f>Amnt_Deposited!B69</f>
        <v>2055</v>
      </c>
      <c r="C74" s="119">
        <f>Amnt_Deposited!F69</f>
        <v>0</v>
      </c>
      <c r="D74" s="453">
        <f>Dry_Matter_Content!F61</f>
        <v>0.56999999999999995</v>
      </c>
      <c r="E74" s="319">
        <f>MCF!R73</f>
        <v>0.8</v>
      </c>
      <c r="F74" s="87">
        <f t="shared" si="12"/>
        <v>0</v>
      </c>
      <c r="G74" s="87">
        <f t="shared" si="1"/>
        <v>0</v>
      </c>
      <c r="H74" s="87">
        <f t="shared" si="2"/>
        <v>0</v>
      </c>
      <c r="I74" s="87">
        <f t="shared" si="3"/>
        <v>0</v>
      </c>
      <c r="J74" s="87">
        <f t="shared" si="4"/>
        <v>0</v>
      </c>
      <c r="K74" s="120">
        <f t="shared" si="6"/>
        <v>0</v>
      </c>
      <c r="O74" s="116">
        <f>Amnt_Deposited!B69</f>
        <v>2055</v>
      </c>
      <c r="P74" s="119">
        <f>Amnt_Deposited!F69</f>
        <v>0</v>
      </c>
      <c r="Q74" s="319">
        <f>MCF!R73</f>
        <v>0.8</v>
      </c>
      <c r="R74" s="87">
        <f t="shared" si="13"/>
        <v>0</v>
      </c>
      <c r="S74" s="87">
        <f t="shared" si="7"/>
        <v>0</v>
      </c>
      <c r="T74" s="87">
        <f t="shared" si="8"/>
        <v>0</v>
      </c>
      <c r="U74" s="87">
        <f t="shared" si="9"/>
        <v>0</v>
      </c>
      <c r="V74" s="87">
        <f t="shared" si="10"/>
        <v>0</v>
      </c>
      <c r="W74" s="120">
        <f t="shared" si="11"/>
        <v>0</v>
      </c>
    </row>
    <row r="75" spans="2:23">
      <c r="B75" s="116">
        <f>Amnt_Deposited!B70</f>
        <v>2056</v>
      </c>
      <c r="C75" s="119">
        <f>Amnt_Deposited!F70</f>
        <v>0</v>
      </c>
      <c r="D75" s="453">
        <f>Dry_Matter_Content!F62</f>
        <v>0.56999999999999995</v>
      </c>
      <c r="E75" s="319">
        <f>MCF!R74</f>
        <v>0.8</v>
      </c>
      <c r="F75" s="87">
        <f t="shared" si="12"/>
        <v>0</v>
      </c>
      <c r="G75" s="87">
        <f t="shared" si="1"/>
        <v>0</v>
      </c>
      <c r="H75" s="87">
        <f t="shared" si="2"/>
        <v>0</v>
      </c>
      <c r="I75" s="87">
        <f t="shared" si="3"/>
        <v>0</v>
      </c>
      <c r="J75" s="87">
        <f t="shared" si="4"/>
        <v>0</v>
      </c>
      <c r="K75" s="120">
        <f t="shared" si="6"/>
        <v>0</v>
      </c>
      <c r="O75" s="116">
        <f>Amnt_Deposited!B70</f>
        <v>2056</v>
      </c>
      <c r="P75" s="119">
        <f>Amnt_Deposited!F70</f>
        <v>0</v>
      </c>
      <c r="Q75" s="319">
        <f>MCF!R74</f>
        <v>0.8</v>
      </c>
      <c r="R75" s="87">
        <f t="shared" si="13"/>
        <v>0</v>
      </c>
      <c r="S75" s="87">
        <f t="shared" si="7"/>
        <v>0</v>
      </c>
      <c r="T75" s="87">
        <f t="shared" si="8"/>
        <v>0</v>
      </c>
      <c r="U75" s="87">
        <f t="shared" si="9"/>
        <v>0</v>
      </c>
      <c r="V75" s="87">
        <f t="shared" si="10"/>
        <v>0</v>
      </c>
      <c r="W75" s="120">
        <f t="shared" si="11"/>
        <v>0</v>
      </c>
    </row>
    <row r="76" spans="2:23">
      <c r="B76" s="116">
        <f>Amnt_Deposited!B71</f>
        <v>2057</v>
      </c>
      <c r="C76" s="119">
        <f>Amnt_Deposited!F71</f>
        <v>0</v>
      </c>
      <c r="D76" s="453">
        <f>Dry_Matter_Content!F63</f>
        <v>0.56999999999999995</v>
      </c>
      <c r="E76" s="319">
        <f>MCF!R75</f>
        <v>0.8</v>
      </c>
      <c r="F76" s="87">
        <f t="shared" si="12"/>
        <v>0</v>
      </c>
      <c r="G76" s="87">
        <f t="shared" si="1"/>
        <v>0</v>
      </c>
      <c r="H76" s="87">
        <f t="shared" si="2"/>
        <v>0</v>
      </c>
      <c r="I76" s="87">
        <f t="shared" si="3"/>
        <v>0</v>
      </c>
      <c r="J76" s="87">
        <f t="shared" si="4"/>
        <v>0</v>
      </c>
      <c r="K76" s="120">
        <f t="shared" si="6"/>
        <v>0</v>
      </c>
      <c r="O76" s="116">
        <f>Amnt_Deposited!B71</f>
        <v>2057</v>
      </c>
      <c r="P76" s="119">
        <f>Amnt_Deposited!F71</f>
        <v>0</v>
      </c>
      <c r="Q76" s="319">
        <f>MCF!R75</f>
        <v>0.8</v>
      </c>
      <c r="R76" s="87">
        <f t="shared" si="13"/>
        <v>0</v>
      </c>
      <c r="S76" s="87">
        <f t="shared" si="7"/>
        <v>0</v>
      </c>
      <c r="T76" s="87">
        <f t="shared" si="8"/>
        <v>0</v>
      </c>
      <c r="U76" s="87">
        <f t="shared" si="9"/>
        <v>0</v>
      </c>
      <c r="V76" s="87">
        <f t="shared" si="10"/>
        <v>0</v>
      </c>
      <c r="W76" s="120">
        <f t="shared" si="11"/>
        <v>0</v>
      </c>
    </row>
    <row r="77" spans="2:23">
      <c r="B77" s="116">
        <f>Amnt_Deposited!B72</f>
        <v>2058</v>
      </c>
      <c r="C77" s="119">
        <f>Amnt_Deposited!F72</f>
        <v>0</v>
      </c>
      <c r="D77" s="453">
        <f>Dry_Matter_Content!F64</f>
        <v>0.56999999999999995</v>
      </c>
      <c r="E77" s="319">
        <f>MCF!R76</f>
        <v>0.8</v>
      </c>
      <c r="F77" s="87">
        <f t="shared" si="12"/>
        <v>0</v>
      </c>
      <c r="G77" s="87">
        <f t="shared" si="1"/>
        <v>0</v>
      </c>
      <c r="H77" s="87">
        <f t="shared" si="2"/>
        <v>0</v>
      </c>
      <c r="I77" s="87">
        <f t="shared" si="3"/>
        <v>0</v>
      </c>
      <c r="J77" s="87">
        <f t="shared" si="4"/>
        <v>0</v>
      </c>
      <c r="K77" s="120">
        <f t="shared" si="6"/>
        <v>0</v>
      </c>
      <c r="O77" s="116">
        <f>Amnt_Deposited!B72</f>
        <v>2058</v>
      </c>
      <c r="P77" s="119">
        <f>Amnt_Deposited!F72</f>
        <v>0</v>
      </c>
      <c r="Q77" s="319">
        <f>MCF!R76</f>
        <v>0.8</v>
      </c>
      <c r="R77" s="87">
        <f t="shared" si="13"/>
        <v>0</v>
      </c>
      <c r="S77" s="87">
        <f t="shared" si="7"/>
        <v>0</v>
      </c>
      <c r="T77" s="87">
        <f t="shared" si="8"/>
        <v>0</v>
      </c>
      <c r="U77" s="87">
        <f t="shared" si="9"/>
        <v>0</v>
      </c>
      <c r="V77" s="87">
        <f t="shared" si="10"/>
        <v>0</v>
      </c>
      <c r="W77" s="120">
        <f t="shared" si="11"/>
        <v>0</v>
      </c>
    </row>
    <row r="78" spans="2:23">
      <c r="B78" s="116">
        <f>Amnt_Deposited!B73</f>
        <v>2059</v>
      </c>
      <c r="C78" s="119">
        <f>Amnt_Deposited!F73</f>
        <v>0</v>
      </c>
      <c r="D78" s="453">
        <f>Dry_Matter_Content!F65</f>
        <v>0.56999999999999995</v>
      </c>
      <c r="E78" s="319">
        <f>MCF!R77</f>
        <v>0.8</v>
      </c>
      <c r="F78" s="87">
        <f t="shared" si="12"/>
        <v>0</v>
      </c>
      <c r="G78" s="87">
        <f t="shared" si="1"/>
        <v>0</v>
      </c>
      <c r="H78" s="87">
        <f t="shared" si="2"/>
        <v>0</v>
      </c>
      <c r="I78" s="87">
        <f t="shared" si="3"/>
        <v>0</v>
      </c>
      <c r="J78" s="87">
        <f t="shared" si="4"/>
        <v>0</v>
      </c>
      <c r="K78" s="120">
        <f t="shared" si="6"/>
        <v>0</v>
      </c>
      <c r="O78" s="116">
        <f>Amnt_Deposited!B73</f>
        <v>2059</v>
      </c>
      <c r="P78" s="119">
        <f>Amnt_Deposited!F73</f>
        <v>0</v>
      </c>
      <c r="Q78" s="319">
        <f>MCF!R77</f>
        <v>0.8</v>
      </c>
      <c r="R78" s="87">
        <f t="shared" si="13"/>
        <v>0</v>
      </c>
      <c r="S78" s="87">
        <f t="shared" si="7"/>
        <v>0</v>
      </c>
      <c r="T78" s="87">
        <f t="shared" si="8"/>
        <v>0</v>
      </c>
      <c r="U78" s="87">
        <f t="shared" si="9"/>
        <v>0</v>
      </c>
      <c r="V78" s="87">
        <f t="shared" si="10"/>
        <v>0</v>
      </c>
      <c r="W78" s="120">
        <f t="shared" si="11"/>
        <v>0</v>
      </c>
    </row>
    <row r="79" spans="2:23">
      <c r="B79" s="116">
        <f>Amnt_Deposited!B74</f>
        <v>2060</v>
      </c>
      <c r="C79" s="119">
        <f>Amnt_Deposited!F74</f>
        <v>0</v>
      </c>
      <c r="D79" s="453">
        <f>Dry_Matter_Content!F66</f>
        <v>0.56999999999999995</v>
      </c>
      <c r="E79" s="319">
        <f>MCF!R78</f>
        <v>0.8</v>
      </c>
      <c r="F79" s="87">
        <f t="shared" si="12"/>
        <v>0</v>
      </c>
      <c r="G79" s="87">
        <f t="shared" si="1"/>
        <v>0</v>
      </c>
      <c r="H79" s="87">
        <f t="shared" si="2"/>
        <v>0</v>
      </c>
      <c r="I79" s="87">
        <f t="shared" si="3"/>
        <v>0</v>
      </c>
      <c r="J79" s="87">
        <f t="shared" si="4"/>
        <v>0</v>
      </c>
      <c r="K79" s="120">
        <f t="shared" si="6"/>
        <v>0</v>
      </c>
      <c r="O79" s="116">
        <f>Amnt_Deposited!B74</f>
        <v>2060</v>
      </c>
      <c r="P79" s="119">
        <f>Amnt_Deposited!F74</f>
        <v>0</v>
      </c>
      <c r="Q79" s="319">
        <f>MCF!R78</f>
        <v>0.8</v>
      </c>
      <c r="R79" s="87">
        <f t="shared" si="13"/>
        <v>0</v>
      </c>
      <c r="S79" s="87">
        <f t="shared" si="7"/>
        <v>0</v>
      </c>
      <c r="T79" s="87">
        <f t="shared" si="8"/>
        <v>0</v>
      </c>
      <c r="U79" s="87">
        <f t="shared" si="9"/>
        <v>0</v>
      </c>
      <c r="V79" s="87">
        <f t="shared" si="10"/>
        <v>0</v>
      </c>
      <c r="W79" s="120">
        <f t="shared" si="11"/>
        <v>0</v>
      </c>
    </row>
    <row r="80" spans="2:23">
      <c r="B80" s="116">
        <f>Amnt_Deposited!B75</f>
        <v>2061</v>
      </c>
      <c r="C80" s="119">
        <f>Amnt_Deposited!F75</f>
        <v>0</v>
      </c>
      <c r="D80" s="453">
        <f>Dry_Matter_Content!F67</f>
        <v>0.56999999999999995</v>
      </c>
      <c r="E80" s="319">
        <f>MCF!R79</f>
        <v>0.8</v>
      </c>
      <c r="F80" s="87">
        <f t="shared" si="12"/>
        <v>0</v>
      </c>
      <c r="G80" s="87">
        <f t="shared" si="1"/>
        <v>0</v>
      </c>
      <c r="H80" s="87">
        <f t="shared" si="2"/>
        <v>0</v>
      </c>
      <c r="I80" s="87">
        <f t="shared" si="3"/>
        <v>0</v>
      </c>
      <c r="J80" s="87">
        <f t="shared" si="4"/>
        <v>0</v>
      </c>
      <c r="K80" s="120">
        <f t="shared" si="6"/>
        <v>0</v>
      </c>
      <c r="O80" s="116">
        <f>Amnt_Deposited!B75</f>
        <v>2061</v>
      </c>
      <c r="P80" s="119">
        <f>Amnt_Deposited!F75</f>
        <v>0</v>
      </c>
      <c r="Q80" s="319">
        <f>MCF!R79</f>
        <v>0.8</v>
      </c>
      <c r="R80" s="87">
        <f t="shared" si="13"/>
        <v>0</v>
      </c>
      <c r="S80" s="87">
        <f t="shared" si="7"/>
        <v>0</v>
      </c>
      <c r="T80" s="87">
        <f t="shared" si="8"/>
        <v>0</v>
      </c>
      <c r="U80" s="87">
        <f t="shared" si="9"/>
        <v>0</v>
      </c>
      <c r="V80" s="87">
        <f t="shared" si="10"/>
        <v>0</v>
      </c>
      <c r="W80" s="120">
        <f t="shared" si="11"/>
        <v>0</v>
      </c>
    </row>
    <row r="81" spans="2:23">
      <c r="B81" s="116">
        <f>Amnt_Deposited!B76</f>
        <v>2062</v>
      </c>
      <c r="C81" s="119">
        <f>Amnt_Deposited!F76</f>
        <v>0</v>
      </c>
      <c r="D81" s="453">
        <f>Dry_Matter_Content!F68</f>
        <v>0.56999999999999995</v>
      </c>
      <c r="E81" s="319">
        <f>MCF!R80</f>
        <v>0.8</v>
      </c>
      <c r="F81" s="87">
        <f t="shared" si="12"/>
        <v>0</v>
      </c>
      <c r="G81" s="87">
        <f t="shared" si="1"/>
        <v>0</v>
      </c>
      <c r="H81" s="87">
        <f t="shared" si="2"/>
        <v>0</v>
      </c>
      <c r="I81" s="87">
        <f t="shared" si="3"/>
        <v>0</v>
      </c>
      <c r="J81" s="87">
        <f t="shared" si="4"/>
        <v>0</v>
      </c>
      <c r="K81" s="120">
        <f t="shared" si="6"/>
        <v>0</v>
      </c>
      <c r="O81" s="116">
        <f>Amnt_Deposited!B76</f>
        <v>2062</v>
      </c>
      <c r="P81" s="119">
        <f>Amnt_Deposited!F76</f>
        <v>0</v>
      </c>
      <c r="Q81" s="319">
        <f>MCF!R80</f>
        <v>0.8</v>
      </c>
      <c r="R81" s="87">
        <f t="shared" si="13"/>
        <v>0</v>
      </c>
      <c r="S81" s="87">
        <f t="shared" si="7"/>
        <v>0</v>
      </c>
      <c r="T81" s="87">
        <f t="shared" si="8"/>
        <v>0</v>
      </c>
      <c r="U81" s="87">
        <f t="shared" si="9"/>
        <v>0</v>
      </c>
      <c r="V81" s="87">
        <f t="shared" si="10"/>
        <v>0</v>
      </c>
      <c r="W81" s="120">
        <f t="shared" si="11"/>
        <v>0</v>
      </c>
    </row>
    <row r="82" spans="2:23">
      <c r="B82" s="116">
        <f>Amnt_Deposited!B77</f>
        <v>2063</v>
      </c>
      <c r="C82" s="119">
        <f>Amnt_Deposited!F77</f>
        <v>0</v>
      </c>
      <c r="D82" s="453">
        <f>Dry_Matter_Content!F69</f>
        <v>0.56999999999999995</v>
      </c>
      <c r="E82" s="319">
        <f>MCF!R81</f>
        <v>0.8</v>
      </c>
      <c r="F82" s="87">
        <f t="shared" si="12"/>
        <v>0</v>
      </c>
      <c r="G82" s="87">
        <f t="shared" si="1"/>
        <v>0</v>
      </c>
      <c r="H82" s="87">
        <f t="shared" si="2"/>
        <v>0</v>
      </c>
      <c r="I82" s="87">
        <f t="shared" si="3"/>
        <v>0</v>
      </c>
      <c r="J82" s="87">
        <f t="shared" si="4"/>
        <v>0</v>
      </c>
      <c r="K82" s="120">
        <f t="shared" si="6"/>
        <v>0</v>
      </c>
      <c r="O82" s="116">
        <f>Amnt_Deposited!B77</f>
        <v>2063</v>
      </c>
      <c r="P82" s="119">
        <f>Amnt_Deposited!F77</f>
        <v>0</v>
      </c>
      <c r="Q82" s="319">
        <f>MCF!R81</f>
        <v>0.8</v>
      </c>
      <c r="R82" s="87">
        <f t="shared" si="13"/>
        <v>0</v>
      </c>
      <c r="S82" s="87">
        <f t="shared" si="7"/>
        <v>0</v>
      </c>
      <c r="T82" s="87">
        <f t="shared" si="8"/>
        <v>0</v>
      </c>
      <c r="U82" s="87">
        <f t="shared" si="9"/>
        <v>0</v>
      </c>
      <c r="V82" s="87">
        <f t="shared" si="10"/>
        <v>0</v>
      </c>
      <c r="W82" s="120">
        <f t="shared" si="11"/>
        <v>0</v>
      </c>
    </row>
    <row r="83" spans="2:23">
      <c r="B83" s="116">
        <f>Amnt_Deposited!B78</f>
        <v>2064</v>
      </c>
      <c r="C83" s="119">
        <f>Amnt_Deposited!F78</f>
        <v>0</v>
      </c>
      <c r="D83" s="453">
        <f>Dry_Matter_Content!F70</f>
        <v>0.56999999999999995</v>
      </c>
      <c r="E83" s="319">
        <f>MCF!R82</f>
        <v>0.8</v>
      </c>
      <c r="F83" s="87">
        <f t="shared" ref="F83:F99" si="14">C83*D83*$K$6*DOCF*E83</f>
        <v>0</v>
      </c>
      <c r="G83" s="87">
        <f t="shared" ref="G83:G99" si="15">F83*$K$12</f>
        <v>0</v>
      </c>
      <c r="H83" s="87">
        <f t="shared" ref="H83:H99" si="16">F83*(1-$K$12)</f>
        <v>0</v>
      </c>
      <c r="I83" s="87">
        <f t="shared" ref="I83:I99" si="17">G83+I82*$K$10</f>
        <v>0</v>
      </c>
      <c r="J83" s="87">
        <f t="shared" ref="J83:J99" si="18">I82*(1-$K$10)+H83</f>
        <v>0</v>
      </c>
      <c r="K83" s="120">
        <f t="shared" si="6"/>
        <v>0</v>
      </c>
      <c r="O83" s="116">
        <f>Amnt_Deposited!B78</f>
        <v>2064</v>
      </c>
      <c r="P83" s="119">
        <f>Amnt_Deposited!F78</f>
        <v>0</v>
      </c>
      <c r="Q83" s="319">
        <f>MCF!R82</f>
        <v>0.8</v>
      </c>
      <c r="R83" s="87">
        <f t="shared" ref="R83:R99" si="19">P83*$W$6*DOCF*Q83</f>
        <v>0</v>
      </c>
      <c r="S83" s="87">
        <f t="shared" si="7"/>
        <v>0</v>
      </c>
      <c r="T83" s="87">
        <f t="shared" si="8"/>
        <v>0</v>
      </c>
      <c r="U83" s="87">
        <f t="shared" si="9"/>
        <v>0</v>
      </c>
      <c r="V83" s="87">
        <f t="shared" si="10"/>
        <v>0</v>
      </c>
      <c r="W83" s="120">
        <f t="shared" si="11"/>
        <v>0</v>
      </c>
    </row>
    <row r="84" spans="2:23">
      <c r="B84" s="116">
        <f>Amnt_Deposited!B79</f>
        <v>2065</v>
      </c>
      <c r="C84" s="119">
        <f>Amnt_Deposited!F79</f>
        <v>0</v>
      </c>
      <c r="D84" s="453">
        <f>Dry_Matter_Content!F71</f>
        <v>0.56999999999999995</v>
      </c>
      <c r="E84" s="319">
        <f>MCF!R83</f>
        <v>0.8</v>
      </c>
      <c r="F84" s="87">
        <f t="shared" si="14"/>
        <v>0</v>
      </c>
      <c r="G84" s="87">
        <f t="shared" si="15"/>
        <v>0</v>
      </c>
      <c r="H84" s="87">
        <f t="shared" si="16"/>
        <v>0</v>
      </c>
      <c r="I84" s="87">
        <f t="shared" si="17"/>
        <v>0</v>
      </c>
      <c r="J84" s="87">
        <f t="shared" si="18"/>
        <v>0</v>
      </c>
      <c r="K84" s="120">
        <f t="shared" si="6"/>
        <v>0</v>
      </c>
      <c r="O84" s="116">
        <f>Amnt_Deposited!B79</f>
        <v>2065</v>
      </c>
      <c r="P84" s="119">
        <f>Amnt_Deposited!F79</f>
        <v>0</v>
      </c>
      <c r="Q84" s="319">
        <f>MCF!R83</f>
        <v>0.8</v>
      </c>
      <c r="R84" s="87">
        <f t="shared" si="19"/>
        <v>0</v>
      </c>
      <c r="S84" s="87">
        <f t="shared" si="7"/>
        <v>0</v>
      </c>
      <c r="T84" s="87">
        <f t="shared" si="8"/>
        <v>0</v>
      </c>
      <c r="U84" s="87">
        <f t="shared" si="9"/>
        <v>0</v>
      </c>
      <c r="V84" s="87">
        <f t="shared" si="10"/>
        <v>0</v>
      </c>
      <c r="W84" s="120">
        <f t="shared" si="11"/>
        <v>0</v>
      </c>
    </row>
    <row r="85" spans="2:23">
      <c r="B85" s="116">
        <f>Amnt_Deposited!B80</f>
        <v>2066</v>
      </c>
      <c r="C85" s="119">
        <f>Amnt_Deposited!F80</f>
        <v>0</v>
      </c>
      <c r="D85" s="453">
        <f>Dry_Matter_Content!F72</f>
        <v>0.56999999999999995</v>
      </c>
      <c r="E85" s="319">
        <f>MCF!R84</f>
        <v>0.8</v>
      </c>
      <c r="F85" s="87">
        <f t="shared" si="14"/>
        <v>0</v>
      </c>
      <c r="G85" s="87">
        <f t="shared" si="15"/>
        <v>0</v>
      </c>
      <c r="H85" s="87">
        <f t="shared" si="16"/>
        <v>0</v>
      </c>
      <c r="I85" s="87">
        <f t="shared" si="17"/>
        <v>0</v>
      </c>
      <c r="J85" s="87">
        <f t="shared" si="18"/>
        <v>0</v>
      </c>
      <c r="K85" s="120">
        <f t="shared" ref="K85:K99" si="20">J85*CH4_fraction*conv</f>
        <v>0</v>
      </c>
      <c r="O85" s="116">
        <f>Amnt_Deposited!B80</f>
        <v>2066</v>
      </c>
      <c r="P85" s="119">
        <f>Amnt_Deposited!F80</f>
        <v>0</v>
      </c>
      <c r="Q85" s="319">
        <f>MCF!R84</f>
        <v>0.8</v>
      </c>
      <c r="R85" s="87">
        <f t="shared" si="19"/>
        <v>0</v>
      </c>
      <c r="S85" s="87">
        <f t="shared" ref="S85:S98" si="21">R85*$W$12</f>
        <v>0</v>
      </c>
      <c r="T85" s="87">
        <f t="shared" ref="T85:T98" si="22">R85*(1-$W$12)</f>
        <v>0</v>
      </c>
      <c r="U85" s="87">
        <f t="shared" ref="U85:U98" si="23">S85+U84*$W$10</f>
        <v>0</v>
      </c>
      <c r="V85" s="87">
        <f t="shared" ref="V85:V98" si="24">U84*(1-$W$10)+T85</f>
        <v>0</v>
      </c>
      <c r="W85" s="120">
        <f t="shared" ref="W85:W99" si="25">V85*CH4_fraction*conv</f>
        <v>0</v>
      </c>
    </row>
    <row r="86" spans="2:23">
      <c r="B86" s="116">
        <f>Amnt_Deposited!B81</f>
        <v>2067</v>
      </c>
      <c r="C86" s="119">
        <f>Amnt_Deposited!F81</f>
        <v>0</v>
      </c>
      <c r="D86" s="453">
        <f>Dry_Matter_Content!F73</f>
        <v>0.56999999999999995</v>
      </c>
      <c r="E86" s="319">
        <f>MCF!R85</f>
        <v>0.8</v>
      </c>
      <c r="F86" s="87">
        <f t="shared" si="14"/>
        <v>0</v>
      </c>
      <c r="G86" s="87">
        <f t="shared" si="15"/>
        <v>0</v>
      </c>
      <c r="H86" s="87">
        <f t="shared" si="16"/>
        <v>0</v>
      </c>
      <c r="I86" s="87">
        <f t="shared" si="17"/>
        <v>0</v>
      </c>
      <c r="J86" s="87">
        <f t="shared" si="18"/>
        <v>0</v>
      </c>
      <c r="K86" s="120">
        <f t="shared" si="20"/>
        <v>0</v>
      </c>
      <c r="O86" s="116">
        <f>Amnt_Deposited!B81</f>
        <v>2067</v>
      </c>
      <c r="P86" s="119">
        <f>Amnt_Deposited!F81</f>
        <v>0</v>
      </c>
      <c r="Q86" s="319">
        <f>MCF!R85</f>
        <v>0.8</v>
      </c>
      <c r="R86" s="87">
        <f t="shared" si="19"/>
        <v>0</v>
      </c>
      <c r="S86" s="87">
        <f t="shared" si="21"/>
        <v>0</v>
      </c>
      <c r="T86" s="87">
        <f t="shared" si="22"/>
        <v>0</v>
      </c>
      <c r="U86" s="87">
        <f t="shared" si="23"/>
        <v>0</v>
      </c>
      <c r="V86" s="87">
        <f t="shared" si="24"/>
        <v>0</v>
      </c>
      <c r="W86" s="120">
        <f t="shared" si="25"/>
        <v>0</v>
      </c>
    </row>
    <row r="87" spans="2:23">
      <c r="B87" s="116">
        <f>Amnt_Deposited!B82</f>
        <v>2068</v>
      </c>
      <c r="C87" s="119">
        <f>Amnt_Deposited!F82</f>
        <v>0</v>
      </c>
      <c r="D87" s="453">
        <f>Dry_Matter_Content!F74</f>
        <v>0.56999999999999995</v>
      </c>
      <c r="E87" s="319">
        <f>MCF!R86</f>
        <v>0.8</v>
      </c>
      <c r="F87" s="87">
        <f t="shared" si="14"/>
        <v>0</v>
      </c>
      <c r="G87" s="87">
        <f t="shared" si="15"/>
        <v>0</v>
      </c>
      <c r="H87" s="87">
        <f t="shared" si="16"/>
        <v>0</v>
      </c>
      <c r="I87" s="87">
        <f t="shared" si="17"/>
        <v>0</v>
      </c>
      <c r="J87" s="87">
        <f t="shared" si="18"/>
        <v>0</v>
      </c>
      <c r="K87" s="120">
        <f t="shared" si="20"/>
        <v>0</v>
      </c>
      <c r="O87" s="116">
        <f>Amnt_Deposited!B82</f>
        <v>2068</v>
      </c>
      <c r="P87" s="119">
        <f>Amnt_Deposited!F82</f>
        <v>0</v>
      </c>
      <c r="Q87" s="319">
        <f>MCF!R86</f>
        <v>0.8</v>
      </c>
      <c r="R87" s="87">
        <f t="shared" si="19"/>
        <v>0</v>
      </c>
      <c r="S87" s="87">
        <f t="shared" si="21"/>
        <v>0</v>
      </c>
      <c r="T87" s="87">
        <f t="shared" si="22"/>
        <v>0</v>
      </c>
      <c r="U87" s="87">
        <f t="shared" si="23"/>
        <v>0</v>
      </c>
      <c r="V87" s="87">
        <f t="shared" si="24"/>
        <v>0</v>
      </c>
      <c r="W87" s="120">
        <f t="shared" si="25"/>
        <v>0</v>
      </c>
    </row>
    <row r="88" spans="2:23">
      <c r="B88" s="116">
        <f>Amnt_Deposited!B83</f>
        <v>2069</v>
      </c>
      <c r="C88" s="119">
        <f>Amnt_Deposited!F83</f>
        <v>0</v>
      </c>
      <c r="D88" s="453">
        <f>Dry_Matter_Content!F75</f>
        <v>0.56999999999999995</v>
      </c>
      <c r="E88" s="319">
        <f>MCF!R87</f>
        <v>0.8</v>
      </c>
      <c r="F88" s="87">
        <f t="shared" si="14"/>
        <v>0</v>
      </c>
      <c r="G88" s="87">
        <f t="shared" si="15"/>
        <v>0</v>
      </c>
      <c r="H88" s="87">
        <f t="shared" si="16"/>
        <v>0</v>
      </c>
      <c r="I88" s="87">
        <f t="shared" si="17"/>
        <v>0</v>
      </c>
      <c r="J88" s="87">
        <f t="shared" si="18"/>
        <v>0</v>
      </c>
      <c r="K88" s="120">
        <f t="shared" si="20"/>
        <v>0</v>
      </c>
      <c r="O88" s="116">
        <f>Amnt_Deposited!B83</f>
        <v>2069</v>
      </c>
      <c r="P88" s="119">
        <f>Amnt_Deposited!F83</f>
        <v>0</v>
      </c>
      <c r="Q88" s="319">
        <f>MCF!R87</f>
        <v>0.8</v>
      </c>
      <c r="R88" s="87">
        <f t="shared" si="19"/>
        <v>0</v>
      </c>
      <c r="S88" s="87">
        <f t="shared" si="21"/>
        <v>0</v>
      </c>
      <c r="T88" s="87">
        <f t="shared" si="22"/>
        <v>0</v>
      </c>
      <c r="U88" s="87">
        <f t="shared" si="23"/>
        <v>0</v>
      </c>
      <c r="V88" s="87">
        <f t="shared" si="24"/>
        <v>0</v>
      </c>
      <c r="W88" s="120">
        <f t="shared" si="25"/>
        <v>0</v>
      </c>
    </row>
    <row r="89" spans="2:23">
      <c r="B89" s="116">
        <f>Amnt_Deposited!B84</f>
        <v>2070</v>
      </c>
      <c r="C89" s="119">
        <f>Amnt_Deposited!F84</f>
        <v>0</v>
      </c>
      <c r="D89" s="453">
        <f>Dry_Matter_Content!F76</f>
        <v>0.56999999999999995</v>
      </c>
      <c r="E89" s="319">
        <f>MCF!R88</f>
        <v>0.8</v>
      </c>
      <c r="F89" s="87">
        <f t="shared" si="14"/>
        <v>0</v>
      </c>
      <c r="G89" s="87">
        <f t="shared" si="15"/>
        <v>0</v>
      </c>
      <c r="H89" s="87">
        <f t="shared" si="16"/>
        <v>0</v>
      </c>
      <c r="I89" s="87">
        <f t="shared" si="17"/>
        <v>0</v>
      </c>
      <c r="J89" s="87">
        <f t="shared" si="18"/>
        <v>0</v>
      </c>
      <c r="K89" s="120">
        <f t="shared" si="20"/>
        <v>0</v>
      </c>
      <c r="O89" s="116">
        <f>Amnt_Deposited!B84</f>
        <v>2070</v>
      </c>
      <c r="P89" s="119">
        <f>Amnt_Deposited!F84</f>
        <v>0</v>
      </c>
      <c r="Q89" s="319">
        <f>MCF!R88</f>
        <v>0.8</v>
      </c>
      <c r="R89" s="87">
        <f t="shared" si="19"/>
        <v>0</v>
      </c>
      <c r="S89" s="87">
        <f t="shared" si="21"/>
        <v>0</v>
      </c>
      <c r="T89" s="87">
        <f t="shared" si="22"/>
        <v>0</v>
      </c>
      <c r="U89" s="87">
        <f t="shared" si="23"/>
        <v>0</v>
      </c>
      <c r="V89" s="87">
        <f t="shared" si="24"/>
        <v>0</v>
      </c>
      <c r="W89" s="120">
        <f t="shared" si="25"/>
        <v>0</v>
      </c>
    </row>
    <row r="90" spans="2:23">
      <c r="B90" s="116">
        <f>Amnt_Deposited!B85</f>
        <v>2071</v>
      </c>
      <c r="C90" s="119">
        <f>Amnt_Deposited!F85</f>
        <v>0</v>
      </c>
      <c r="D90" s="453">
        <f>Dry_Matter_Content!F77</f>
        <v>0.56999999999999995</v>
      </c>
      <c r="E90" s="319">
        <f>MCF!R89</f>
        <v>0.8</v>
      </c>
      <c r="F90" s="87">
        <f t="shared" si="14"/>
        <v>0</v>
      </c>
      <c r="G90" s="87">
        <f t="shared" si="15"/>
        <v>0</v>
      </c>
      <c r="H90" s="87">
        <f t="shared" si="16"/>
        <v>0</v>
      </c>
      <c r="I90" s="87">
        <f t="shared" si="17"/>
        <v>0</v>
      </c>
      <c r="J90" s="87">
        <f t="shared" si="18"/>
        <v>0</v>
      </c>
      <c r="K90" s="120">
        <f t="shared" si="20"/>
        <v>0</v>
      </c>
      <c r="O90" s="116">
        <f>Amnt_Deposited!B85</f>
        <v>2071</v>
      </c>
      <c r="P90" s="119">
        <f>Amnt_Deposited!F85</f>
        <v>0</v>
      </c>
      <c r="Q90" s="319">
        <f>MCF!R89</f>
        <v>0.8</v>
      </c>
      <c r="R90" s="87">
        <f t="shared" si="19"/>
        <v>0</v>
      </c>
      <c r="S90" s="87">
        <f t="shared" si="21"/>
        <v>0</v>
      </c>
      <c r="T90" s="87">
        <f t="shared" si="22"/>
        <v>0</v>
      </c>
      <c r="U90" s="87">
        <f t="shared" si="23"/>
        <v>0</v>
      </c>
      <c r="V90" s="87">
        <f t="shared" si="24"/>
        <v>0</v>
      </c>
      <c r="W90" s="120">
        <f t="shared" si="25"/>
        <v>0</v>
      </c>
    </row>
    <row r="91" spans="2:23">
      <c r="B91" s="116">
        <f>Amnt_Deposited!B86</f>
        <v>2072</v>
      </c>
      <c r="C91" s="119">
        <f>Amnt_Deposited!F86</f>
        <v>0</v>
      </c>
      <c r="D91" s="453">
        <f>Dry_Matter_Content!F78</f>
        <v>0.56999999999999995</v>
      </c>
      <c r="E91" s="319">
        <f>MCF!R90</f>
        <v>0.8</v>
      </c>
      <c r="F91" s="87">
        <f t="shared" si="14"/>
        <v>0</v>
      </c>
      <c r="G91" s="87">
        <f t="shared" si="15"/>
        <v>0</v>
      </c>
      <c r="H91" s="87">
        <f t="shared" si="16"/>
        <v>0</v>
      </c>
      <c r="I91" s="87">
        <f t="shared" si="17"/>
        <v>0</v>
      </c>
      <c r="J91" s="87">
        <f t="shared" si="18"/>
        <v>0</v>
      </c>
      <c r="K91" s="120">
        <f t="shared" si="20"/>
        <v>0</v>
      </c>
      <c r="O91" s="116">
        <f>Amnt_Deposited!B86</f>
        <v>2072</v>
      </c>
      <c r="P91" s="119">
        <f>Amnt_Deposited!F86</f>
        <v>0</v>
      </c>
      <c r="Q91" s="319">
        <f>MCF!R90</f>
        <v>0.8</v>
      </c>
      <c r="R91" s="87">
        <f t="shared" si="19"/>
        <v>0</v>
      </c>
      <c r="S91" s="87">
        <f t="shared" si="21"/>
        <v>0</v>
      </c>
      <c r="T91" s="87">
        <f t="shared" si="22"/>
        <v>0</v>
      </c>
      <c r="U91" s="87">
        <f t="shared" si="23"/>
        <v>0</v>
      </c>
      <c r="V91" s="87">
        <f t="shared" si="24"/>
        <v>0</v>
      </c>
      <c r="W91" s="120">
        <f t="shared" si="25"/>
        <v>0</v>
      </c>
    </row>
    <row r="92" spans="2:23">
      <c r="B92" s="116">
        <f>Amnt_Deposited!B87</f>
        <v>2073</v>
      </c>
      <c r="C92" s="119">
        <f>Amnt_Deposited!F87</f>
        <v>0</v>
      </c>
      <c r="D92" s="453">
        <f>Dry_Matter_Content!F79</f>
        <v>0.56999999999999995</v>
      </c>
      <c r="E92" s="319">
        <f>MCF!R91</f>
        <v>0.8</v>
      </c>
      <c r="F92" s="87">
        <f t="shared" si="14"/>
        <v>0</v>
      </c>
      <c r="G92" s="87">
        <f t="shared" si="15"/>
        <v>0</v>
      </c>
      <c r="H92" s="87">
        <f t="shared" si="16"/>
        <v>0</v>
      </c>
      <c r="I92" s="87">
        <f t="shared" si="17"/>
        <v>0</v>
      </c>
      <c r="J92" s="87">
        <f t="shared" si="18"/>
        <v>0</v>
      </c>
      <c r="K92" s="120">
        <f t="shared" si="20"/>
        <v>0</v>
      </c>
      <c r="O92" s="116">
        <f>Amnt_Deposited!B87</f>
        <v>2073</v>
      </c>
      <c r="P92" s="119">
        <f>Amnt_Deposited!F87</f>
        <v>0</v>
      </c>
      <c r="Q92" s="319">
        <f>MCF!R91</f>
        <v>0.8</v>
      </c>
      <c r="R92" s="87">
        <f t="shared" si="19"/>
        <v>0</v>
      </c>
      <c r="S92" s="87">
        <f t="shared" si="21"/>
        <v>0</v>
      </c>
      <c r="T92" s="87">
        <f t="shared" si="22"/>
        <v>0</v>
      </c>
      <c r="U92" s="87">
        <f t="shared" si="23"/>
        <v>0</v>
      </c>
      <c r="V92" s="87">
        <f t="shared" si="24"/>
        <v>0</v>
      </c>
      <c r="W92" s="120">
        <f t="shared" si="25"/>
        <v>0</v>
      </c>
    </row>
    <row r="93" spans="2:23">
      <c r="B93" s="116">
        <f>Amnt_Deposited!B88</f>
        <v>2074</v>
      </c>
      <c r="C93" s="119">
        <f>Amnt_Deposited!F88</f>
        <v>0</v>
      </c>
      <c r="D93" s="453">
        <f>Dry_Matter_Content!F80</f>
        <v>0.56999999999999995</v>
      </c>
      <c r="E93" s="319">
        <f>MCF!R92</f>
        <v>0.8</v>
      </c>
      <c r="F93" s="87">
        <f t="shared" si="14"/>
        <v>0</v>
      </c>
      <c r="G93" s="87">
        <f t="shared" si="15"/>
        <v>0</v>
      </c>
      <c r="H93" s="87">
        <f t="shared" si="16"/>
        <v>0</v>
      </c>
      <c r="I93" s="87">
        <f t="shared" si="17"/>
        <v>0</v>
      </c>
      <c r="J93" s="87">
        <f t="shared" si="18"/>
        <v>0</v>
      </c>
      <c r="K93" s="120">
        <f t="shared" si="20"/>
        <v>0</v>
      </c>
      <c r="O93" s="116">
        <f>Amnt_Deposited!B88</f>
        <v>2074</v>
      </c>
      <c r="P93" s="119">
        <f>Amnt_Deposited!F88</f>
        <v>0</v>
      </c>
      <c r="Q93" s="319">
        <f>MCF!R92</f>
        <v>0.8</v>
      </c>
      <c r="R93" s="87">
        <f t="shared" si="19"/>
        <v>0</v>
      </c>
      <c r="S93" s="87">
        <f t="shared" si="21"/>
        <v>0</v>
      </c>
      <c r="T93" s="87">
        <f t="shared" si="22"/>
        <v>0</v>
      </c>
      <c r="U93" s="87">
        <f t="shared" si="23"/>
        <v>0</v>
      </c>
      <c r="V93" s="87">
        <f t="shared" si="24"/>
        <v>0</v>
      </c>
      <c r="W93" s="120">
        <f t="shared" si="25"/>
        <v>0</v>
      </c>
    </row>
    <row r="94" spans="2:23">
      <c r="B94" s="116">
        <f>Amnt_Deposited!B89</f>
        <v>2075</v>
      </c>
      <c r="C94" s="119">
        <f>Amnt_Deposited!F89</f>
        <v>0</v>
      </c>
      <c r="D94" s="453">
        <f>Dry_Matter_Content!F81</f>
        <v>0.56999999999999995</v>
      </c>
      <c r="E94" s="319">
        <f>MCF!R93</f>
        <v>0.8</v>
      </c>
      <c r="F94" s="87">
        <f t="shared" si="14"/>
        <v>0</v>
      </c>
      <c r="G94" s="87">
        <f t="shared" si="15"/>
        <v>0</v>
      </c>
      <c r="H94" s="87">
        <f t="shared" si="16"/>
        <v>0</v>
      </c>
      <c r="I94" s="87">
        <f t="shared" si="17"/>
        <v>0</v>
      </c>
      <c r="J94" s="87">
        <f t="shared" si="18"/>
        <v>0</v>
      </c>
      <c r="K94" s="120">
        <f t="shared" si="20"/>
        <v>0</v>
      </c>
      <c r="O94" s="116">
        <f>Amnt_Deposited!B89</f>
        <v>2075</v>
      </c>
      <c r="P94" s="119">
        <f>Amnt_Deposited!F89</f>
        <v>0</v>
      </c>
      <c r="Q94" s="319">
        <f>MCF!R93</f>
        <v>0.8</v>
      </c>
      <c r="R94" s="87">
        <f t="shared" si="19"/>
        <v>0</v>
      </c>
      <c r="S94" s="87">
        <f t="shared" si="21"/>
        <v>0</v>
      </c>
      <c r="T94" s="87">
        <f t="shared" si="22"/>
        <v>0</v>
      </c>
      <c r="U94" s="87">
        <f t="shared" si="23"/>
        <v>0</v>
      </c>
      <c r="V94" s="87">
        <f t="shared" si="24"/>
        <v>0</v>
      </c>
      <c r="W94" s="120">
        <f t="shared" si="25"/>
        <v>0</v>
      </c>
    </row>
    <row r="95" spans="2:23">
      <c r="B95" s="116">
        <f>Amnt_Deposited!B90</f>
        <v>2076</v>
      </c>
      <c r="C95" s="119">
        <f>Amnt_Deposited!F90</f>
        <v>0</v>
      </c>
      <c r="D95" s="453">
        <f>Dry_Matter_Content!F82</f>
        <v>0.56999999999999995</v>
      </c>
      <c r="E95" s="319">
        <f>MCF!R94</f>
        <v>0.8</v>
      </c>
      <c r="F95" s="87">
        <f t="shared" si="14"/>
        <v>0</v>
      </c>
      <c r="G95" s="87">
        <f t="shared" si="15"/>
        <v>0</v>
      </c>
      <c r="H95" s="87">
        <f t="shared" si="16"/>
        <v>0</v>
      </c>
      <c r="I95" s="87">
        <f t="shared" si="17"/>
        <v>0</v>
      </c>
      <c r="J95" s="87">
        <f t="shared" si="18"/>
        <v>0</v>
      </c>
      <c r="K95" s="120">
        <f t="shared" si="20"/>
        <v>0</v>
      </c>
      <c r="O95" s="116">
        <f>Amnt_Deposited!B90</f>
        <v>2076</v>
      </c>
      <c r="P95" s="119">
        <f>Amnt_Deposited!F90</f>
        <v>0</v>
      </c>
      <c r="Q95" s="319">
        <f>MCF!R94</f>
        <v>0.8</v>
      </c>
      <c r="R95" s="87">
        <f t="shared" si="19"/>
        <v>0</v>
      </c>
      <c r="S95" s="87">
        <f t="shared" si="21"/>
        <v>0</v>
      </c>
      <c r="T95" s="87">
        <f t="shared" si="22"/>
        <v>0</v>
      </c>
      <c r="U95" s="87">
        <f t="shared" si="23"/>
        <v>0</v>
      </c>
      <c r="V95" s="87">
        <f t="shared" si="24"/>
        <v>0</v>
      </c>
      <c r="W95" s="120">
        <f t="shared" si="25"/>
        <v>0</v>
      </c>
    </row>
    <row r="96" spans="2:23">
      <c r="B96" s="116">
        <f>Amnt_Deposited!B91</f>
        <v>2077</v>
      </c>
      <c r="C96" s="119">
        <f>Amnt_Deposited!F91</f>
        <v>0</v>
      </c>
      <c r="D96" s="453">
        <f>Dry_Matter_Content!F83</f>
        <v>0.56999999999999995</v>
      </c>
      <c r="E96" s="319">
        <f>MCF!R95</f>
        <v>0.8</v>
      </c>
      <c r="F96" s="87">
        <f t="shared" si="14"/>
        <v>0</v>
      </c>
      <c r="G96" s="87">
        <f t="shared" si="15"/>
        <v>0</v>
      </c>
      <c r="H96" s="87">
        <f t="shared" si="16"/>
        <v>0</v>
      </c>
      <c r="I96" s="87">
        <f t="shared" si="17"/>
        <v>0</v>
      </c>
      <c r="J96" s="87">
        <f t="shared" si="18"/>
        <v>0</v>
      </c>
      <c r="K96" s="120">
        <f t="shared" si="20"/>
        <v>0</v>
      </c>
      <c r="O96" s="116">
        <f>Amnt_Deposited!B91</f>
        <v>2077</v>
      </c>
      <c r="P96" s="119">
        <f>Amnt_Deposited!F91</f>
        <v>0</v>
      </c>
      <c r="Q96" s="319">
        <f>MCF!R95</f>
        <v>0.8</v>
      </c>
      <c r="R96" s="87">
        <f t="shared" si="19"/>
        <v>0</v>
      </c>
      <c r="S96" s="87">
        <f t="shared" si="21"/>
        <v>0</v>
      </c>
      <c r="T96" s="87">
        <f t="shared" si="22"/>
        <v>0</v>
      </c>
      <c r="U96" s="87">
        <f t="shared" si="23"/>
        <v>0</v>
      </c>
      <c r="V96" s="87">
        <f t="shared" si="24"/>
        <v>0</v>
      </c>
      <c r="W96" s="120">
        <f t="shared" si="25"/>
        <v>0</v>
      </c>
    </row>
    <row r="97" spans="2:23">
      <c r="B97" s="116">
        <f>Amnt_Deposited!B92</f>
        <v>2078</v>
      </c>
      <c r="C97" s="119">
        <f>Amnt_Deposited!F92</f>
        <v>0</v>
      </c>
      <c r="D97" s="453">
        <f>Dry_Matter_Content!F84</f>
        <v>0.56999999999999995</v>
      </c>
      <c r="E97" s="319">
        <f>MCF!R96</f>
        <v>0.8</v>
      </c>
      <c r="F97" s="87">
        <f t="shared" si="14"/>
        <v>0</v>
      </c>
      <c r="G97" s="87">
        <f t="shared" si="15"/>
        <v>0</v>
      </c>
      <c r="H97" s="87">
        <f t="shared" si="16"/>
        <v>0</v>
      </c>
      <c r="I97" s="87">
        <f t="shared" si="17"/>
        <v>0</v>
      </c>
      <c r="J97" s="87">
        <f t="shared" si="18"/>
        <v>0</v>
      </c>
      <c r="K97" s="120">
        <f t="shared" si="20"/>
        <v>0</v>
      </c>
      <c r="O97" s="116">
        <f>Amnt_Deposited!B92</f>
        <v>2078</v>
      </c>
      <c r="P97" s="119">
        <f>Amnt_Deposited!F92</f>
        <v>0</v>
      </c>
      <c r="Q97" s="319">
        <f>MCF!R96</f>
        <v>0.8</v>
      </c>
      <c r="R97" s="87">
        <f t="shared" si="19"/>
        <v>0</v>
      </c>
      <c r="S97" s="87">
        <f t="shared" si="21"/>
        <v>0</v>
      </c>
      <c r="T97" s="87">
        <f t="shared" si="22"/>
        <v>0</v>
      </c>
      <c r="U97" s="87">
        <f t="shared" si="23"/>
        <v>0</v>
      </c>
      <c r="V97" s="87">
        <f t="shared" si="24"/>
        <v>0</v>
      </c>
      <c r="W97" s="120">
        <f t="shared" si="25"/>
        <v>0</v>
      </c>
    </row>
    <row r="98" spans="2:23">
      <c r="B98" s="116">
        <f>Amnt_Deposited!B93</f>
        <v>2079</v>
      </c>
      <c r="C98" s="119">
        <f>Amnt_Deposited!F93</f>
        <v>0</v>
      </c>
      <c r="D98" s="453">
        <f>Dry_Matter_Content!F85</f>
        <v>0.56999999999999995</v>
      </c>
      <c r="E98" s="319">
        <f>MCF!R97</f>
        <v>0.8</v>
      </c>
      <c r="F98" s="87">
        <f t="shared" si="14"/>
        <v>0</v>
      </c>
      <c r="G98" s="87">
        <f t="shared" si="15"/>
        <v>0</v>
      </c>
      <c r="H98" s="87">
        <f t="shared" si="16"/>
        <v>0</v>
      </c>
      <c r="I98" s="87">
        <f t="shared" si="17"/>
        <v>0</v>
      </c>
      <c r="J98" s="87">
        <f t="shared" si="18"/>
        <v>0</v>
      </c>
      <c r="K98" s="120">
        <f t="shared" si="20"/>
        <v>0</v>
      </c>
      <c r="O98" s="116">
        <f>Amnt_Deposited!B93</f>
        <v>2079</v>
      </c>
      <c r="P98" s="119">
        <f>Amnt_Deposited!F93</f>
        <v>0</v>
      </c>
      <c r="Q98" s="319">
        <f>MCF!R97</f>
        <v>0.8</v>
      </c>
      <c r="R98" s="87">
        <f t="shared" si="19"/>
        <v>0</v>
      </c>
      <c r="S98" s="87">
        <f t="shared" si="21"/>
        <v>0</v>
      </c>
      <c r="T98" s="87">
        <f t="shared" si="22"/>
        <v>0</v>
      </c>
      <c r="U98" s="87">
        <f t="shared" si="23"/>
        <v>0</v>
      </c>
      <c r="V98" s="87">
        <f t="shared" si="24"/>
        <v>0</v>
      </c>
      <c r="W98" s="120">
        <f t="shared" si="25"/>
        <v>0</v>
      </c>
    </row>
    <row r="99" spans="2:23" ht="13.5" thickBot="1">
      <c r="B99" s="117">
        <f>Amnt_Deposited!B94</f>
        <v>2080</v>
      </c>
      <c r="C99" s="121">
        <f>Amnt_Deposited!F94</f>
        <v>0</v>
      </c>
      <c r="D99" s="454">
        <f>Dry_Matter_Content!F86</f>
        <v>0.56999999999999995</v>
      </c>
      <c r="E99" s="320">
        <f>MCF!R98</f>
        <v>0.8</v>
      </c>
      <c r="F99" s="88">
        <f t="shared" si="14"/>
        <v>0</v>
      </c>
      <c r="G99" s="88">
        <f t="shared" si="15"/>
        <v>0</v>
      </c>
      <c r="H99" s="88">
        <f t="shared" si="16"/>
        <v>0</v>
      </c>
      <c r="I99" s="88">
        <f t="shared" si="17"/>
        <v>0</v>
      </c>
      <c r="J99" s="88">
        <f t="shared" si="18"/>
        <v>0</v>
      </c>
      <c r="K99" s="122">
        <f t="shared" si="20"/>
        <v>0</v>
      </c>
      <c r="O99" s="117">
        <f>Amnt_Deposited!B94</f>
        <v>2080</v>
      </c>
      <c r="P99" s="121">
        <f>Amnt_Deposited!F94</f>
        <v>0</v>
      </c>
      <c r="Q99" s="320">
        <f>MCF!R98</f>
        <v>0.8</v>
      </c>
      <c r="R99" s="88">
        <f t="shared" si="19"/>
        <v>0</v>
      </c>
      <c r="S99" s="88">
        <f>R99*$W$12</f>
        <v>0</v>
      </c>
      <c r="T99" s="88">
        <f>R99*(1-$W$12)</f>
        <v>0</v>
      </c>
      <c r="U99" s="88">
        <f>S99+U98*$W$10</f>
        <v>0</v>
      </c>
      <c r="V99" s="88">
        <f>U98*(1-$W$10)+T99</f>
        <v>0</v>
      </c>
      <c r="W99" s="122">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K8" sqref="K8"/>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65" t="s">
        <v>311</v>
      </c>
      <c r="C2" s="251"/>
      <c r="D2" s="251"/>
      <c r="E2" s="252"/>
      <c r="F2" s="253"/>
      <c r="G2" s="253"/>
      <c r="H2" s="253"/>
      <c r="I2" s="253"/>
      <c r="J2" s="253"/>
      <c r="K2" s="253"/>
    </row>
    <row r="3" spans="1:23" ht="15">
      <c r="B3" s="275" t="str">
        <f>IF(Select2=2,"This sheet applies only to the waste compositon option and can be deleted when the bulk waste option has been chosen","")</f>
        <v/>
      </c>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450">
        <f>Parameters!O20</f>
        <v>0.5</v>
      </c>
      <c r="O6" s="257"/>
      <c r="P6" s="258"/>
      <c r="Q6" s="249"/>
      <c r="R6" s="128" t="s">
        <v>9</v>
      </c>
      <c r="S6" s="129"/>
      <c r="T6" s="129"/>
      <c r="U6" s="133"/>
      <c r="V6" s="140" t="s">
        <v>9</v>
      </c>
      <c r="W6" s="293">
        <f>Parameters!R20</f>
        <v>0.43</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Parameters!O39</f>
        <v>3.5000000000000003E-2</v>
      </c>
      <c r="O8" s="67"/>
      <c r="P8" s="67"/>
      <c r="Q8" s="249"/>
      <c r="R8" s="128" t="s">
        <v>192</v>
      </c>
      <c r="S8" s="129"/>
      <c r="T8" s="129"/>
      <c r="U8" s="133"/>
      <c r="V8" s="140" t="s">
        <v>188</v>
      </c>
      <c r="W8" s="134">
        <f>Parameters!O39</f>
        <v>3.5000000000000003E-2</v>
      </c>
    </row>
    <row r="9" spans="1:23" ht="15.75">
      <c r="F9" s="279" t="s">
        <v>190</v>
      </c>
      <c r="G9" s="280"/>
      <c r="H9" s="280"/>
      <c r="I9" s="281"/>
      <c r="J9" s="282" t="s">
        <v>189</v>
      </c>
      <c r="K9" s="288">
        <f>LN(2)/$K$8</f>
        <v>19.804205158855577</v>
      </c>
      <c r="O9" s="67"/>
      <c r="P9" s="67"/>
      <c r="Q9" s="249"/>
      <c r="R9" s="279" t="s">
        <v>190</v>
      </c>
      <c r="S9" s="280"/>
      <c r="T9" s="280"/>
      <c r="U9" s="281"/>
      <c r="V9" s="282" t="s">
        <v>189</v>
      </c>
      <c r="W9" s="288">
        <f>LN(2)/$W$8</f>
        <v>19.804205158855577</v>
      </c>
    </row>
    <row r="10" spans="1:23">
      <c r="F10" s="130" t="s">
        <v>84</v>
      </c>
      <c r="G10" s="131"/>
      <c r="H10" s="131"/>
      <c r="I10" s="132"/>
      <c r="J10" s="141" t="s">
        <v>148</v>
      </c>
      <c r="K10" s="69">
        <f>EXP(-$K$8)</f>
        <v>0.96560541625756646</v>
      </c>
      <c r="O10" s="67"/>
      <c r="P10" s="67"/>
      <c r="Q10" s="249"/>
      <c r="R10" s="130" t="s">
        <v>84</v>
      </c>
      <c r="S10" s="131"/>
      <c r="T10" s="131"/>
      <c r="U10" s="132"/>
      <c r="V10" s="141" t="s">
        <v>148</v>
      </c>
      <c r="W10" s="69">
        <f>EXP(-$W$8)</f>
        <v>0.96560541625756646</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Amnt_Deposited!F14</f>
        <v>0</v>
      </c>
      <c r="D19" s="451">
        <f>Dry_Matter_Content!G6</f>
        <v>0.56999999999999995</v>
      </c>
      <c r="E19" s="318">
        <f>MCF!R18</f>
        <v>0.8</v>
      </c>
      <c r="F19" s="150">
        <f t="shared" ref="F19:F82" si="0">C19*D19*$K$6*DOCF*E19</f>
        <v>0</v>
      </c>
      <c r="G19" s="85">
        <f t="shared" ref="G19:G82" si="1">F19*$K$12</f>
        <v>0</v>
      </c>
      <c r="H19" s="85">
        <f t="shared" ref="H19:H82" si="2">F19*(1-$K$12)</f>
        <v>0</v>
      </c>
      <c r="I19" s="85">
        <f t="shared" ref="I19:I82" si="3">G19+I18*$K$10</f>
        <v>0</v>
      </c>
      <c r="J19" s="85">
        <f t="shared" ref="J19:J82" si="4">I18*(1-$K$10)+H19</f>
        <v>0</v>
      </c>
      <c r="K19" s="86">
        <f>J19*CH4_fraction*conv</f>
        <v>0</v>
      </c>
      <c r="O19" s="115">
        <f>Amnt_Deposited!B14</f>
        <v>2000</v>
      </c>
      <c r="P19" s="118">
        <f>Amnt_Deposited!G14</f>
        <v>0.90027856512000004</v>
      </c>
      <c r="Q19" s="318">
        <f>MCF!R18</f>
        <v>0.8</v>
      </c>
      <c r="R19" s="150">
        <f t="shared" ref="R19:R82" si="5">P19*$W$6*DOCF*Q19</f>
        <v>0.15484791320064001</v>
      </c>
      <c r="S19" s="85">
        <f>R19*$W$12</f>
        <v>0.15484791320064001</v>
      </c>
      <c r="T19" s="85">
        <f>R19*(1-$W$12)</f>
        <v>0</v>
      </c>
      <c r="U19" s="85">
        <f>S19+U18*$W$10</f>
        <v>0.15484791320064001</v>
      </c>
      <c r="V19" s="85">
        <f>U18*(1-$W$10)+T19</f>
        <v>0</v>
      </c>
      <c r="W19" s="86">
        <f>V19*CH4_fraction*conv</f>
        <v>0</v>
      </c>
    </row>
    <row r="20" spans="2:23">
      <c r="B20" s="116">
        <f>Amnt_Deposited!B15</f>
        <v>2001</v>
      </c>
      <c r="C20" s="119">
        <f>Amnt_Deposited!F15</f>
        <v>0</v>
      </c>
      <c r="D20" s="453">
        <f>Dry_Matter_Content!G7</f>
        <v>0.56999999999999995</v>
      </c>
      <c r="E20" s="319">
        <f>MCF!R19</f>
        <v>0.8</v>
      </c>
      <c r="F20" s="87">
        <f t="shared" si="0"/>
        <v>0</v>
      </c>
      <c r="G20" s="87">
        <f t="shared" si="1"/>
        <v>0</v>
      </c>
      <c r="H20" s="87">
        <f t="shared" si="2"/>
        <v>0</v>
      </c>
      <c r="I20" s="87">
        <f t="shared" si="3"/>
        <v>0</v>
      </c>
      <c r="J20" s="87">
        <f t="shared" si="4"/>
        <v>0</v>
      </c>
      <c r="K20" s="120">
        <f>J20*CH4_fraction*conv</f>
        <v>0</v>
      </c>
      <c r="M20" s="428"/>
      <c r="O20" s="116">
        <f>Amnt_Deposited!B15</f>
        <v>2001</v>
      </c>
      <c r="P20" s="119">
        <f>Amnt_Deposited!G15</f>
        <v>0.9265387241880001</v>
      </c>
      <c r="Q20" s="319">
        <f>MCF!R19</f>
        <v>0.8</v>
      </c>
      <c r="R20" s="87">
        <f t="shared" si="5"/>
        <v>0.15936466056033605</v>
      </c>
      <c r="S20" s="87">
        <f>R20*$W$12</f>
        <v>0.15936466056033605</v>
      </c>
      <c r="T20" s="87">
        <f>R20*(1-$W$12)</f>
        <v>0</v>
      </c>
      <c r="U20" s="87">
        <f>S20+U19*$W$10</f>
        <v>0.30888664424305556</v>
      </c>
      <c r="V20" s="87">
        <f>U19*(1-$W$10)+T20</f>
        <v>5.3259295179204922E-3</v>
      </c>
      <c r="W20" s="120">
        <f>V20*CH4_fraction*conv</f>
        <v>3.5506196786136614E-3</v>
      </c>
    </row>
    <row r="21" spans="2:23">
      <c r="B21" s="116">
        <f>Amnt_Deposited!B16</f>
        <v>2002</v>
      </c>
      <c r="C21" s="119">
        <f>Amnt_Deposited!F16</f>
        <v>0</v>
      </c>
      <c r="D21" s="453">
        <f>Dry_Matter_Content!G8</f>
        <v>0.56999999999999995</v>
      </c>
      <c r="E21" s="319">
        <f>MCF!R20</f>
        <v>0.8</v>
      </c>
      <c r="F21" s="87">
        <f t="shared" si="0"/>
        <v>0</v>
      </c>
      <c r="G21" s="87">
        <f t="shared" si="1"/>
        <v>0</v>
      </c>
      <c r="H21" s="87">
        <f t="shared" si="2"/>
        <v>0</v>
      </c>
      <c r="I21" s="87">
        <f t="shared" si="3"/>
        <v>0</v>
      </c>
      <c r="J21" s="87">
        <f t="shared" si="4"/>
        <v>0</v>
      </c>
      <c r="K21" s="120">
        <f t="shared" ref="K21:K84" si="6">J21*CH4_fraction*conv</f>
        <v>0</v>
      </c>
      <c r="O21" s="116">
        <f>Amnt_Deposited!B16</f>
        <v>2002</v>
      </c>
      <c r="P21" s="119">
        <f>Amnt_Deposited!G16</f>
        <v>0.96777504648000001</v>
      </c>
      <c r="Q21" s="319">
        <f>MCF!R20</f>
        <v>0.8</v>
      </c>
      <c r="R21" s="87">
        <f t="shared" si="5"/>
        <v>0.16645730799456002</v>
      </c>
      <c r="S21" s="87">
        <f t="shared" ref="S21:S84" si="7">R21*$W$12</f>
        <v>0.16645730799456002</v>
      </c>
      <c r="T21" s="87">
        <f t="shared" ref="T21:T84" si="8">R21*(1-$W$12)</f>
        <v>0</v>
      </c>
      <c r="U21" s="87">
        <f t="shared" ref="U21:U84" si="9">S21+U20*$W$10</f>
        <v>0.46471992468527856</v>
      </c>
      <c r="V21" s="87">
        <f t="shared" ref="V21:V84" si="10">U20*(1-$W$10)+T21</f>
        <v>1.0624027552337051E-2</v>
      </c>
      <c r="W21" s="120">
        <f t="shared" ref="W21:W84" si="11">V21*CH4_fraction*conv</f>
        <v>7.0826850348913667E-3</v>
      </c>
    </row>
    <row r="22" spans="2:23">
      <c r="B22" s="116">
        <f>Amnt_Deposited!B17</f>
        <v>2003</v>
      </c>
      <c r="C22" s="119">
        <f>Amnt_Deposited!F17</f>
        <v>0</v>
      </c>
      <c r="D22" s="453">
        <f>Dry_Matter_Content!G9</f>
        <v>0.56999999999999995</v>
      </c>
      <c r="E22" s="319">
        <f>MCF!R21</f>
        <v>0.8</v>
      </c>
      <c r="F22" s="87">
        <f t="shared" si="0"/>
        <v>0</v>
      </c>
      <c r="G22" s="87">
        <f t="shared" si="1"/>
        <v>0</v>
      </c>
      <c r="H22" s="87">
        <f t="shared" si="2"/>
        <v>0</v>
      </c>
      <c r="I22" s="87">
        <f t="shared" si="3"/>
        <v>0</v>
      </c>
      <c r="J22" s="87">
        <f t="shared" si="4"/>
        <v>0</v>
      </c>
      <c r="K22" s="120">
        <f t="shared" si="6"/>
        <v>0</v>
      </c>
      <c r="N22" s="290"/>
      <c r="O22" s="116">
        <f>Amnt_Deposited!B17</f>
        <v>2003</v>
      </c>
      <c r="P22" s="119">
        <f>Amnt_Deposited!G17</f>
        <v>0.99809964104399995</v>
      </c>
      <c r="Q22" s="319">
        <f>MCF!R21</f>
        <v>0.8</v>
      </c>
      <c r="R22" s="87">
        <f t="shared" si="5"/>
        <v>0.17167313825956798</v>
      </c>
      <c r="S22" s="87">
        <f t="shared" si="7"/>
        <v>0.17167313825956798</v>
      </c>
      <c r="T22" s="87">
        <f t="shared" si="8"/>
        <v>0</v>
      </c>
      <c r="U22" s="87">
        <f t="shared" si="9"/>
        <v>0.62040921457848131</v>
      </c>
      <c r="V22" s="87">
        <f t="shared" si="10"/>
        <v>1.5983848366365221E-2</v>
      </c>
      <c r="W22" s="120">
        <f t="shared" si="11"/>
        <v>1.0655898910910146E-2</v>
      </c>
    </row>
    <row r="23" spans="2:23">
      <c r="B23" s="116">
        <f>Amnt_Deposited!B18</f>
        <v>2004</v>
      </c>
      <c r="C23" s="119">
        <f>Amnt_Deposited!F18</f>
        <v>0</v>
      </c>
      <c r="D23" s="453">
        <f>Dry_Matter_Content!G10</f>
        <v>0.56999999999999995</v>
      </c>
      <c r="E23" s="319">
        <f>MCF!R22</f>
        <v>0.8</v>
      </c>
      <c r="F23" s="87">
        <f t="shared" si="0"/>
        <v>0</v>
      </c>
      <c r="G23" s="87">
        <f t="shared" si="1"/>
        <v>0</v>
      </c>
      <c r="H23" s="87">
        <f t="shared" si="2"/>
        <v>0</v>
      </c>
      <c r="I23" s="87">
        <f t="shared" si="3"/>
        <v>0</v>
      </c>
      <c r="J23" s="87">
        <f t="shared" si="4"/>
        <v>0</v>
      </c>
      <c r="K23" s="120">
        <f t="shared" si="6"/>
        <v>0</v>
      </c>
      <c r="N23" s="290"/>
      <c r="O23" s="116">
        <f>Amnt_Deposited!B18</f>
        <v>2004</v>
      </c>
      <c r="P23" s="119">
        <f>Amnt_Deposited!G18</f>
        <v>1.0272219926760002</v>
      </c>
      <c r="Q23" s="319">
        <f>MCF!R22</f>
        <v>0.8</v>
      </c>
      <c r="R23" s="87">
        <f t="shared" si="5"/>
        <v>0.17668218274027203</v>
      </c>
      <c r="S23" s="87">
        <f t="shared" si="7"/>
        <v>0.17668218274027203</v>
      </c>
      <c r="T23" s="87">
        <f t="shared" si="8"/>
        <v>0</v>
      </c>
      <c r="U23" s="87">
        <f t="shared" si="9"/>
        <v>0.77575268063335634</v>
      </c>
      <c r="V23" s="87">
        <f t="shared" si="10"/>
        <v>2.1338716685396993E-2</v>
      </c>
      <c r="W23" s="120">
        <f t="shared" si="11"/>
        <v>1.4225811123597994E-2</v>
      </c>
    </row>
    <row r="24" spans="2:23">
      <c r="B24" s="116">
        <f>Amnt_Deposited!B19</f>
        <v>2005</v>
      </c>
      <c r="C24" s="119">
        <f>Amnt_Deposited!F19</f>
        <v>0</v>
      </c>
      <c r="D24" s="453">
        <f>Dry_Matter_Content!G11</f>
        <v>0.56999999999999995</v>
      </c>
      <c r="E24" s="319">
        <f>MCF!R23</f>
        <v>0.8</v>
      </c>
      <c r="F24" s="87">
        <f t="shared" si="0"/>
        <v>0</v>
      </c>
      <c r="G24" s="87">
        <f t="shared" si="1"/>
        <v>0</v>
      </c>
      <c r="H24" s="87">
        <f t="shared" si="2"/>
        <v>0</v>
      </c>
      <c r="I24" s="87">
        <f t="shared" si="3"/>
        <v>0</v>
      </c>
      <c r="J24" s="87">
        <f t="shared" si="4"/>
        <v>0</v>
      </c>
      <c r="K24" s="120">
        <f t="shared" si="6"/>
        <v>0</v>
      </c>
      <c r="N24" s="290"/>
      <c r="O24" s="116">
        <f>Amnt_Deposited!B19</f>
        <v>2005</v>
      </c>
      <c r="P24" s="119">
        <f>Amnt_Deposited!G19</f>
        <v>1.0792723985999999</v>
      </c>
      <c r="Q24" s="319">
        <f>MCF!R23</f>
        <v>0.8</v>
      </c>
      <c r="R24" s="87">
        <f t="shared" si="5"/>
        <v>0.18563485255919998</v>
      </c>
      <c r="S24" s="87">
        <f t="shared" si="7"/>
        <v>0.18563485255919998</v>
      </c>
      <c r="T24" s="87">
        <f t="shared" si="8"/>
        <v>0</v>
      </c>
      <c r="U24" s="87">
        <f t="shared" si="9"/>
        <v>0.93470584265509504</v>
      </c>
      <c r="V24" s="87">
        <f t="shared" si="10"/>
        <v>2.6681690537461274E-2</v>
      </c>
      <c r="W24" s="120">
        <f t="shared" si="11"/>
        <v>1.7787793691640848E-2</v>
      </c>
    </row>
    <row r="25" spans="2:23">
      <c r="B25" s="116">
        <f>Amnt_Deposited!B20</f>
        <v>2006</v>
      </c>
      <c r="C25" s="119">
        <f>Amnt_Deposited!F20</f>
        <v>0</v>
      </c>
      <c r="D25" s="453">
        <f>Dry_Matter_Content!G12</f>
        <v>0.56999999999999995</v>
      </c>
      <c r="E25" s="319">
        <f>MCF!R24</f>
        <v>0.8</v>
      </c>
      <c r="F25" s="87">
        <f t="shared" si="0"/>
        <v>0</v>
      </c>
      <c r="G25" s="87">
        <f t="shared" si="1"/>
        <v>0</v>
      </c>
      <c r="H25" s="87">
        <f t="shared" si="2"/>
        <v>0</v>
      </c>
      <c r="I25" s="87">
        <f t="shared" si="3"/>
        <v>0</v>
      </c>
      <c r="J25" s="87">
        <f t="shared" si="4"/>
        <v>0</v>
      </c>
      <c r="K25" s="120">
        <f t="shared" si="6"/>
        <v>0</v>
      </c>
      <c r="N25" s="290"/>
      <c r="O25" s="116">
        <f>Amnt_Deposited!B20</f>
        <v>2006</v>
      </c>
      <c r="P25" s="119">
        <f>Amnt_Deposited!G20</f>
        <v>1.1092308278040002</v>
      </c>
      <c r="Q25" s="319">
        <f>MCF!R24</f>
        <v>0.8</v>
      </c>
      <c r="R25" s="87">
        <f t="shared" si="5"/>
        <v>0.19078770238228804</v>
      </c>
      <c r="S25" s="87">
        <f t="shared" si="7"/>
        <v>0.19078770238228804</v>
      </c>
      <c r="T25" s="87">
        <f t="shared" si="8"/>
        <v>0</v>
      </c>
      <c r="U25" s="87">
        <f t="shared" si="9"/>
        <v>1.0933447266576404</v>
      </c>
      <c r="V25" s="87">
        <f t="shared" si="10"/>
        <v>3.2148818379742573E-2</v>
      </c>
      <c r="W25" s="120">
        <f t="shared" si="11"/>
        <v>2.1432545586495048E-2</v>
      </c>
    </row>
    <row r="26" spans="2:23">
      <c r="B26" s="116">
        <f>Amnt_Deposited!B21</f>
        <v>2007</v>
      </c>
      <c r="C26" s="119">
        <f>Amnt_Deposited!F21</f>
        <v>0</v>
      </c>
      <c r="D26" s="453">
        <f>Dry_Matter_Content!G13</f>
        <v>0.56999999999999995</v>
      </c>
      <c r="E26" s="319">
        <f>MCF!R25</f>
        <v>0.8</v>
      </c>
      <c r="F26" s="87">
        <f t="shared" si="0"/>
        <v>0</v>
      </c>
      <c r="G26" s="87">
        <f t="shared" si="1"/>
        <v>0</v>
      </c>
      <c r="H26" s="87">
        <f t="shared" si="2"/>
        <v>0</v>
      </c>
      <c r="I26" s="87">
        <f t="shared" si="3"/>
        <v>0</v>
      </c>
      <c r="J26" s="87">
        <f t="shared" si="4"/>
        <v>0</v>
      </c>
      <c r="K26" s="120">
        <f t="shared" si="6"/>
        <v>0</v>
      </c>
      <c r="N26" s="290"/>
      <c r="O26" s="116">
        <f>Amnt_Deposited!B21</f>
        <v>2007</v>
      </c>
      <c r="P26" s="119">
        <f>Amnt_Deposited!G21</f>
        <v>1.139543216856</v>
      </c>
      <c r="Q26" s="319">
        <f>MCF!R25</f>
        <v>0.8</v>
      </c>
      <c r="R26" s="87">
        <f t="shared" si="5"/>
        <v>0.19600143329923203</v>
      </c>
      <c r="S26" s="87">
        <f t="shared" si="7"/>
        <v>0.19600143329923203</v>
      </c>
      <c r="T26" s="87">
        <f t="shared" si="8"/>
        <v>0</v>
      </c>
      <c r="U26" s="87">
        <f t="shared" si="9"/>
        <v>1.251741023196498</v>
      </c>
      <c r="V26" s="87">
        <f t="shared" si="10"/>
        <v>3.7605136760374316E-2</v>
      </c>
      <c r="W26" s="120">
        <f t="shared" si="11"/>
        <v>2.5070091173582876E-2</v>
      </c>
    </row>
    <row r="27" spans="2:23">
      <c r="B27" s="116">
        <f>Amnt_Deposited!B22</f>
        <v>2008</v>
      </c>
      <c r="C27" s="119">
        <f>Amnt_Deposited!F22</f>
        <v>0</v>
      </c>
      <c r="D27" s="453">
        <f>Dry_Matter_Content!G14</f>
        <v>0.56999999999999995</v>
      </c>
      <c r="E27" s="319">
        <f>MCF!R26</f>
        <v>0.8</v>
      </c>
      <c r="F27" s="87">
        <f t="shared" si="0"/>
        <v>0</v>
      </c>
      <c r="G27" s="87">
        <f t="shared" si="1"/>
        <v>0</v>
      </c>
      <c r="H27" s="87">
        <f t="shared" si="2"/>
        <v>0</v>
      </c>
      <c r="I27" s="87">
        <f t="shared" si="3"/>
        <v>0</v>
      </c>
      <c r="J27" s="87">
        <f t="shared" si="4"/>
        <v>0</v>
      </c>
      <c r="K27" s="120">
        <f t="shared" si="6"/>
        <v>0</v>
      </c>
      <c r="N27" s="290"/>
      <c r="O27" s="116">
        <f>Amnt_Deposited!B22</f>
        <v>2008</v>
      </c>
      <c r="P27" s="119">
        <f>Amnt_Deposited!G22</f>
        <v>1.1700692023679999</v>
      </c>
      <c r="Q27" s="319">
        <f>MCF!R26</f>
        <v>0.8</v>
      </c>
      <c r="R27" s="87">
        <f t="shared" si="5"/>
        <v>0.20125190280729599</v>
      </c>
      <c r="S27" s="87">
        <f t="shared" si="7"/>
        <v>0.20125190280729599</v>
      </c>
      <c r="T27" s="87">
        <f t="shared" si="8"/>
        <v>0</v>
      </c>
      <c r="U27" s="87">
        <f t="shared" si="9"/>
        <v>1.4099398145576227</v>
      </c>
      <c r="V27" s="87">
        <f t="shared" si="10"/>
        <v>4.3053111446171397E-2</v>
      </c>
      <c r="W27" s="120">
        <f t="shared" si="11"/>
        <v>2.8702074297447595E-2</v>
      </c>
    </row>
    <row r="28" spans="2:23">
      <c r="B28" s="116">
        <f>Amnt_Deposited!B23</f>
        <v>2009</v>
      </c>
      <c r="C28" s="119">
        <f>Amnt_Deposited!F23</f>
        <v>0</v>
      </c>
      <c r="D28" s="453">
        <f>Dry_Matter_Content!G15</f>
        <v>0.56999999999999995</v>
      </c>
      <c r="E28" s="319">
        <f>MCF!R27</f>
        <v>0.8</v>
      </c>
      <c r="F28" s="87">
        <f t="shared" si="0"/>
        <v>0</v>
      </c>
      <c r="G28" s="87">
        <f t="shared" si="1"/>
        <v>0</v>
      </c>
      <c r="H28" s="87">
        <f t="shared" si="2"/>
        <v>0</v>
      </c>
      <c r="I28" s="87">
        <f t="shared" si="3"/>
        <v>0</v>
      </c>
      <c r="J28" s="87">
        <f t="shared" si="4"/>
        <v>0</v>
      </c>
      <c r="K28" s="120">
        <f t="shared" si="6"/>
        <v>0</v>
      </c>
      <c r="N28" s="290"/>
      <c r="O28" s="116">
        <f>Amnt_Deposited!B23</f>
        <v>2009</v>
      </c>
      <c r="P28" s="119">
        <f>Amnt_Deposited!G23</f>
        <v>1.200644009928</v>
      </c>
      <c r="Q28" s="319">
        <f>MCF!R27</f>
        <v>0.8</v>
      </c>
      <c r="R28" s="87">
        <f t="shared" si="5"/>
        <v>0.20651076970761603</v>
      </c>
      <c r="S28" s="87">
        <f t="shared" si="7"/>
        <v>0.20651076970761603</v>
      </c>
      <c r="T28" s="87">
        <f t="shared" si="8"/>
        <v>0</v>
      </c>
      <c r="U28" s="87">
        <f t="shared" si="9"/>
        <v>1.5679562912416454</v>
      </c>
      <c r="V28" s="87">
        <f t="shared" si="10"/>
        <v>4.8494293023593371E-2</v>
      </c>
      <c r="W28" s="120">
        <f t="shared" si="11"/>
        <v>3.2329528682395581E-2</v>
      </c>
    </row>
    <row r="29" spans="2:23">
      <c r="B29" s="116">
        <f>Amnt_Deposited!B24</f>
        <v>2010</v>
      </c>
      <c r="C29" s="119">
        <f>Amnt_Deposited!F24</f>
        <v>0</v>
      </c>
      <c r="D29" s="453">
        <f>Dry_Matter_Content!G16</f>
        <v>0.56999999999999995</v>
      </c>
      <c r="E29" s="319">
        <f>MCF!R28</f>
        <v>0.8</v>
      </c>
      <c r="F29" s="87">
        <f t="shared" si="0"/>
        <v>0</v>
      </c>
      <c r="G29" s="87">
        <f t="shared" si="1"/>
        <v>0</v>
      </c>
      <c r="H29" s="87">
        <f t="shared" si="2"/>
        <v>0</v>
      </c>
      <c r="I29" s="87">
        <f t="shared" si="3"/>
        <v>0</v>
      </c>
      <c r="J29" s="87">
        <f t="shared" si="4"/>
        <v>0</v>
      </c>
      <c r="K29" s="120">
        <f t="shared" si="6"/>
        <v>0</v>
      </c>
      <c r="O29" s="116">
        <f>Amnt_Deposited!B24</f>
        <v>2010</v>
      </c>
      <c r="P29" s="119">
        <f>Amnt_Deposited!G24</f>
        <v>1.5600902355720001</v>
      </c>
      <c r="Q29" s="319">
        <f>MCF!R28</f>
        <v>0.8</v>
      </c>
      <c r="R29" s="87">
        <f t="shared" si="5"/>
        <v>0.26833552051838405</v>
      </c>
      <c r="S29" s="87">
        <f t="shared" si="7"/>
        <v>0.26833552051838405</v>
      </c>
      <c r="T29" s="87">
        <f t="shared" si="8"/>
        <v>0</v>
      </c>
      <c r="U29" s="87">
        <f t="shared" si="9"/>
        <v>1.782362607796443</v>
      </c>
      <c r="V29" s="87">
        <f t="shared" si="10"/>
        <v>5.3929203963586282E-2</v>
      </c>
      <c r="W29" s="120">
        <f t="shared" si="11"/>
        <v>3.5952802642390855E-2</v>
      </c>
    </row>
    <row r="30" spans="2:23">
      <c r="B30" s="116">
        <f>Amnt_Deposited!B25</f>
        <v>2011</v>
      </c>
      <c r="C30" s="119">
        <f>Amnt_Deposited!F25</f>
        <v>0</v>
      </c>
      <c r="D30" s="453">
        <f>Dry_Matter_Content!G17</f>
        <v>0.56999999999999995</v>
      </c>
      <c r="E30" s="319">
        <f>MCF!R29</f>
        <v>0.8</v>
      </c>
      <c r="F30" s="87">
        <f t="shared" si="0"/>
        <v>0</v>
      </c>
      <c r="G30" s="87">
        <f t="shared" si="1"/>
        <v>0</v>
      </c>
      <c r="H30" s="87">
        <f t="shared" si="2"/>
        <v>0</v>
      </c>
      <c r="I30" s="87">
        <f t="shared" si="3"/>
        <v>0</v>
      </c>
      <c r="J30" s="87">
        <f t="shared" si="4"/>
        <v>0</v>
      </c>
      <c r="K30" s="120">
        <f t="shared" si="6"/>
        <v>0</v>
      </c>
      <c r="O30" s="116">
        <f>Amnt_Deposited!B25</f>
        <v>2011</v>
      </c>
      <c r="P30" s="119">
        <f>Amnt_Deposited!G25</f>
        <v>1.494481725</v>
      </c>
      <c r="Q30" s="319">
        <f>MCF!R29</f>
        <v>0.8</v>
      </c>
      <c r="R30" s="87">
        <f t="shared" si="5"/>
        <v>0.2570508567</v>
      </c>
      <c r="S30" s="87">
        <f t="shared" si="7"/>
        <v>0.2570508567</v>
      </c>
      <c r="T30" s="87">
        <f t="shared" si="8"/>
        <v>0</v>
      </c>
      <c r="U30" s="87">
        <f t="shared" si="9"/>
        <v>1.9781098445232059</v>
      </c>
      <c r="V30" s="87">
        <f t="shared" si="10"/>
        <v>6.1303619973236981E-2</v>
      </c>
      <c r="W30" s="120">
        <f t="shared" si="11"/>
        <v>4.0869079982157983E-2</v>
      </c>
    </row>
    <row r="31" spans="2:23">
      <c r="B31" s="116">
        <f>Amnt_Deposited!B26</f>
        <v>2012</v>
      </c>
      <c r="C31" s="119">
        <f>Amnt_Deposited!F26</f>
        <v>0</v>
      </c>
      <c r="D31" s="453">
        <f>Dry_Matter_Content!G18</f>
        <v>0.56999999999999995</v>
      </c>
      <c r="E31" s="319">
        <f>MCF!R30</f>
        <v>0.8</v>
      </c>
      <c r="F31" s="87">
        <f t="shared" si="0"/>
        <v>0</v>
      </c>
      <c r="G31" s="87">
        <f t="shared" si="1"/>
        <v>0</v>
      </c>
      <c r="H31" s="87">
        <f t="shared" si="2"/>
        <v>0</v>
      </c>
      <c r="I31" s="87">
        <f t="shared" si="3"/>
        <v>0</v>
      </c>
      <c r="J31" s="87">
        <f t="shared" si="4"/>
        <v>0</v>
      </c>
      <c r="K31" s="120">
        <f t="shared" si="6"/>
        <v>0</v>
      </c>
      <c r="O31" s="116">
        <f>Amnt_Deposited!B26</f>
        <v>2012</v>
      </c>
      <c r="P31" s="119">
        <f>Amnt_Deposited!G26</f>
        <v>1.5622722482400002</v>
      </c>
      <c r="Q31" s="319">
        <f>MCF!R30</f>
        <v>0.8</v>
      </c>
      <c r="R31" s="87">
        <f t="shared" si="5"/>
        <v>0.26871082669728003</v>
      </c>
      <c r="S31" s="87">
        <f t="shared" si="7"/>
        <v>0.26871082669728003</v>
      </c>
      <c r="T31" s="87">
        <f t="shared" si="8"/>
        <v>0</v>
      </c>
      <c r="U31" s="87">
        <f t="shared" si="9"/>
        <v>2.1787844065213005</v>
      </c>
      <c r="V31" s="87">
        <f t="shared" si="10"/>
        <v>6.8036264699185597E-2</v>
      </c>
      <c r="W31" s="120">
        <f t="shared" si="11"/>
        <v>4.535750979945706E-2</v>
      </c>
    </row>
    <row r="32" spans="2:23">
      <c r="B32" s="116">
        <f>Amnt_Deposited!B27</f>
        <v>2013</v>
      </c>
      <c r="C32" s="119">
        <f>Amnt_Deposited!F27</f>
        <v>0</v>
      </c>
      <c r="D32" s="453">
        <f>Dry_Matter_Content!G19</f>
        <v>0.56999999999999995</v>
      </c>
      <c r="E32" s="319">
        <f>MCF!R31</f>
        <v>0.8</v>
      </c>
      <c r="F32" s="87">
        <f t="shared" si="0"/>
        <v>0</v>
      </c>
      <c r="G32" s="87">
        <f t="shared" si="1"/>
        <v>0</v>
      </c>
      <c r="H32" s="87">
        <f t="shared" si="2"/>
        <v>0</v>
      </c>
      <c r="I32" s="87">
        <f t="shared" si="3"/>
        <v>0</v>
      </c>
      <c r="J32" s="87">
        <f t="shared" si="4"/>
        <v>0</v>
      </c>
      <c r="K32" s="120">
        <f t="shared" si="6"/>
        <v>0</v>
      </c>
      <c r="O32" s="116">
        <f>Amnt_Deposited!B27</f>
        <v>2013</v>
      </c>
      <c r="P32" s="119">
        <f>Amnt_Deposited!G27</f>
        <v>1.6322985993600003</v>
      </c>
      <c r="Q32" s="319">
        <f>MCF!R31</f>
        <v>0.8</v>
      </c>
      <c r="R32" s="87">
        <f t="shared" si="5"/>
        <v>0.28075535908992005</v>
      </c>
      <c r="S32" s="87">
        <f t="shared" si="7"/>
        <v>0.28075535908992005</v>
      </c>
      <c r="T32" s="87">
        <f t="shared" si="8"/>
        <v>0</v>
      </c>
      <c r="U32" s="87">
        <f t="shared" si="9"/>
        <v>2.3846013828844153</v>
      </c>
      <c r="V32" s="87">
        <f t="shared" si="10"/>
        <v>7.4938382726805225E-2</v>
      </c>
      <c r="W32" s="120">
        <f t="shared" si="11"/>
        <v>4.995892181787015E-2</v>
      </c>
    </row>
    <row r="33" spans="2:23">
      <c r="B33" s="116">
        <f>Amnt_Deposited!B28</f>
        <v>2014</v>
      </c>
      <c r="C33" s="119">
        <f>Amnt_Deposited!F28</f>
        <v>0</v>
      </c>
      <c r="D33" s="453">
        <f>Dry_Matter_Content!G20</f>
        <v>0.56999999999999995</v>
      </c>
      <c r="E33" s="319">
        <f>MCF!R32</f>
        <v>0.8</v>
      </c>
      <c r="F33" s="87">
        <f t="shared" si="0"/>
        <v>0</v>
      </c>
      <c r="G33" s="87">
        <f t="shared" si="1"/>
        <v>0</v>
      </c>
      <c r="H33" s="87">
        <f t="shared" si="2"/>
        <v>0</v>
      </c>
      <c r="I33" s="87">
        <f t="shared" si="3"/>
        <v>0</v>
      </c>
      <c r="J33" s="87">
        <f t="shared" si="4"/>
        <v>0</v>
      </c>
      <c r="K33" s="120">
        <f t="shared" si="6"/>
        <v>0</v>
      </c>
      <c r="O33" s="116">
        <f>Amnt_Deposited!B28</f>
        <v>2014</v>
      </c>
      <c r="P33" s="119">
        <f>Amnt_Deposited!G28</f>
        <v>1.7030794730400003</v>
      </c>
      <c r="Q33" s="319">
        <f>MCF!R32</f>
        <v>0.8</v>
      </c>
      <c r="R33" s="87">
        <f t="shared" si="5"/>
        <v>0.29292966936288006</v>
      </c>
      <c r="S33" s="87">
        <f t="shared" si="7"/>
        <v>0.29292966936288006</v>
      </c>
      <c r="T33" s="87">
        <f t="shared" si="8"/>
        <v>0</v>
      </c>
      <c r="U33" s="87">
        <f t="shared" si="9"/>
        <v>2.5955136802913548</v>
      </c>
      <c r="V33" s="87">
        <f t="shared" si="10"/>
        <v>8.2017371955940846E-2</v>
      </c>
      <c r="W33" s="120">
        <f t="shared" si="11"/>
        <v>5.4678247970627231E-2</v>
      </c>
    </row>
    <row r="34" spans="2:23">
      <c r="B34" s="116">
        <f>Amnt_Deposited!B29</f>
        <v>2015</v>
      </c>
      <c r="C34" s="119">
        <f>Amnt_Deposited!F29</f>
        <v>0</v>
      </c>
      <c r="D34" s="453">
        <f>Dry_Matter_Content!G21</f>
        <v>0.56999999999999995</v>
      </c>
      <c r="E34" s="319">
        <f>MCF!R33</f>
        <v>0.8</v>
      </c>
      <c r="F34" s="87">
        <f t="shared" si="0"/>
        <v>0</v>
      </c>
      <c r="G34" s="87">
        <f t="shared" si="1"/>
        <v>0</v>
      </c>
      <c r="H34" s="87">
        <f t="shared" si="2"/>
        <v>0</v>
      </c>
      <c r="I34" s="87">
        <f t="shared" si="3"/>
        <v>0</v>
      </c>
      <c r="J34" s="87">
        <f t="shared" si="4"/>
        <v>0</v>
      </c>
      <c r="K34" s="120">
        <f t="shared" si="6"/>
        <v>0</v>
      </c>
      <c r="O34" s="116">
        <f>Amnt_Deposited!B29</f>
        <v>2015</v>
      </c>
      <c r="P34" s="119">
        <f>Amnt_Deposited!G29</f>
        <v>1.7759852154</v>
      </c>
      <c r="Q34" s="319">
        <f>MCF!R33</f>
        <v>0.8</v>
      </c>
      <c r="R34" s="87">
        <f t="shared" si="5"/>
        <v>0.30546945704880002</v>
      </c>
      <c r="S34" s="87">
        <f t="shared" si="7"/>
        <v>0.30546945704880002</v>
      </c>
      <c r="T34" s="87">
        <f t="shared" si="8"/>
        <v>0</v>
      </c>
      <c r="U34" s="87">
        <f t="shared" si="9"/>
        <v>2.8117115247087421</v>
      </c>
      <c r="V34" s="87">
        <f t="shared" si="10"/>
        <v>8.9271612631412867E-2</v>
      </c>
      <c r="W34" s="120">
        <f t="shared" si="11"/>
        <v>5.9514408420941911E-2</v>
      </c>
    </row>
    <row r="35" spans="2:23">
      <c r="B35" s="116">
        <f>Amnt_Deposited!B30</f>
        <v>2016</v>
      </c>
      <c r="C35" s="119">
        <f>Amnt_Deposited!F30</f>
        <v>0</v>
      </c>
      <c r="D35" s="453">
        <f>Dry_Matter_Content!G22</f>
        <v>0.56999999999999995</v>
      </c>
      <c r="E35" s="319">
        <f>MCF!R34</f>
        <v>0.8</v>
      </c>
      <c r="F35" s="87">
        <f t="shared" si="0"/>
        <v>0</v>
      </c>
      <c r="G35" s="87">
        <f t="shared" si="1"/>
        <v>0</v>
      </c>
      <c r="H35" s="87">
        <f t="shared" si="2"/>
        <v>0</v>
      </c>
      <c r="I35" s="87">
        <f t="shared" si="3"/>
        <v>0</v>
      </c>
      <c r="J35" s="87">
        <f t="shared" si="4"/>
        <v>0</v>
      </c>
      <c r="K35" s="120">
        <f t="shared" si="6"/>
        <v>0</v>
      </c>
      <c r="O35" s="116">
        <f>Amnt_Deposited!B30</f>
        <v>2016</v>
      </c>
      <c r="P35" s="119">
        <f>Amnt_Deposited!G30</f>
        <v>1.8507495243600001</v>
      </c>
      <c r="Q35" s="319">
        <f>MCF!R34</f>
        <v>0.8</v>
      </c>
      <c r="R35" s="87">
        <f t="shared" si="5"/>
        <v>0.31832891818992004</v>
      </c>
      <c r="S35" s="87">
        <f t="shared" si="7"/>
        <v>0.31832891818992004</v>
      </c>
      <c r="T35" s="87">
        <f t="shared" si="8"/>
        <v>0</v>
      </c>
      <c r="U35" s="87">
        <f t="shared" si="9"/>
        <v>3.0333327954025018</v>
      </c>
      <c r="V35" s="87">
        <f t="shared" si="10"/>
        <v>9.6707647496160315E-2</v>
      </c>
      <c r="W35" s="120">
        <f t="shared" si="11"/>
        <v>6.4471764997440201E-2</v>
      </c>
    </row>
    <row r="36" spans="2:23">
      <c r="B36" s="116">
        <f>Amnt_Deposited!B31</f>
        <v>2017</v>
      </c>
      <c r="C36" s="119">
        <f>Amnt_Deposited!F31</f>
        <v>0</v>
      </c>
      <c r="D36" s="453">
        <f>Dry_Matter_Content!G23</f>
        <v>0.56999999999999995</v>
      </c>
      <c r="E36" s="319">
        <f>MCF!R35</f>
        <v>0.8</v>
      </c>
      <c r="F36" s="87">
        <f t="shared" si="0"/>
        <v>0</v>
      </c>
      <c r="G36" s="87">
        <f t="shared" si="1"/>
        <v>0</v>
      </c>
      <c r="H36" s="87">
        <f t="shared" si="2"/>
        <v>0</v>
      </c>
      <c r="I36" s="87">
        <f t="shared" si="3"/>
        <v>0</v>
      </c>
      <c r="J36" s="87">
        <f t="shared" si="4"/>
        <v>0</v>
      </c>
      <c r="K36" s="120">
        <f t="shared" si="6"/>
        <v>0</v>
      </c>
      <c r="O36" s="116">
        <f>Amnt_Deposited!B31</f>
        <v>2017</v>
      </c>
      <c r="P36" s="119">
        <f>Amnt_Deposited!G31</f>
        <v>1.8592656429599999</v>
      </c>
      <c r="Q36" s="319">
        <f>MCF!R35</f>
        <v>0.8</v>
      </c>
      <c r="R36" s="87">
        <f t="shared" si="5"/>
        <v>0.31979369058911999</v>
      </c>
      <c r="S36" s="87">
        <f t="shared" si="7"/>
        <v>0.31979369058911999</v>
      </c>
      <c r="T36" s="87">
        <f t="shared" si="8"/>
        <v>0</v>
      </c>
      <c r="U36" s="87">
        <f t="shared" si="9"/>
        <v>3.2487962671414805</v>
      </c>
      <c r="V36" s="87">
        <f t="shared" si="10"/>
        <v>0.10433021885014136</v>
      </c>
      <c r="W36" s="120">
        <f t="shared" si="11"/>
        <v>6.955347923342757E-2</v>
      </c>
    </row>
    <row r="37" spans="2:23">
      <c r="B37" s="116">
        <f>Amnt_Deposited!B32</f>
        <v>2018</v>
      </c>
      <c r="C37" s="119">
        <f>Amnt_Deposited!F32</f>
        <v>0</v>
      </c>
      <c r="D37" s="453">
        <f>Dry_Matter_Content!G24</f>
        <v>0.56999999999999995</v>
      </c>
      <c r="E37" s="319">
        <f>MCF!R36</f>
        <v>0.8</v>
      </c>
      <c r="F37" s="87">
        <f t="shared" si="0"/>
        <v>0</v>
      </c>
      <c r="G37" s="87">
        <f t="shared" si="1"/>
        <v>0</v>
      </c>
      <c r="H37" s="87">
        <f t="shared" si="2"/>
        <v>0</v>
      </c>
      <c r="I37" s="87">
        <f t="shared" si="3"/>
        <v>0</v>
      </c>
      <c r="J37" s="87">
        <f t="shared" si="4"/>
        <v>0</v>
      </c>
      <c r="K37" s="120">
        <f t="shared" si="6"/>
        <v>0</v>
      </c>
      <c r="O37" s="116">
        <f>Amnt_Deposited!B32</f>
        <v>2018</v>
      </c>
      <c r="P37" s="119">
        <f>Amnt_Deposited!G32</f>
        <v>1.9285984990800003</v>
      </c>
      <c r="Q37" s="319">
        <f>MCF!R36</f>
        <v>0.8</v>
      </c>
      <c r="R37" s="87">
        <f t="shared" si="5"/>
        <v>0.3317189418417601</v>
      </c>
      <c r="S37" s="87">
        <f t="shared" si="7"/>
        <v>0.3317189418417601</v>
      </c>
      <c r="T37" s="87">
        <f t="shared" si="8"/>
        <v>0</v>
      </c>
      <c r="U37" s="87">
        <f t="shared" si="9"/>
        <v>3.4687742137109376</v>
      </c>
      <c r="V37" s="87">
        <f t="shared" si="10"/>
        <v>0.11174099527230313</v>
      </c>
      <c r="W37" s="120">
        <f t="shared" si="11"/>
        <v>7.4493996848202085E-2</v>
      </c>
    </row>
    <row r="38" spans="2:23">
      <c r="B38" s="116">
        <f>Amnt_Deposited!B33</f>
        <v>2019</v>
      </c>
      <c r="C38" s="119">
        <f>Amnt_Deposited!F33</f>
        <v>0</v>
      </c>
      <c r="D38" s="453">
        <f>Dry_Matter_Content!G25</f>
        <v>0.56999999999999995</v>
      </c>
      <c r="E38" s="319">
        <f>MCF!R37</f>
        <v>0.8</v>
      </c>
      <c r="F38" s="87">
        <f t="shared" si="0"/>
        <v>0</v>
      </c>
      <c r="G38" s="87">
        <f t="shared" si="1"/>
        <v>0</v>
      </c>
      <c r="H38" s="87">
        <f t="shared" si="2"/>
        <v>0</v>
      </c>
      <c r="I38" s="87">
        <f t="shared" si="3"/>
        <v>0</v>
      </c>
      <c r="J38" s="87">
        <f t="shared" si="4"/>
        <v>0</v>
      </c>
      <c r="K38" s="120">
        <f t="shared" si="6"/>
        <v>0</v>
      </c>
      <c r="O38" s="116">
        <f>Amnt_Deposited!B33</f>
        <v>2019</v>
      </c>
      <c r="P38" s="119">
        <f>Amnt_Deposited!G33</f>
        <v>1.9979313552</v>
      </c>
      <c r="Q38" s="319">
        <f>MCF!R37</f>
        <v>0.8</v>
      </c>
      <c r="R38" s="87">
        <f t="shared" si="5"/>
        <v>0.34364419309440003</v>
      </c>
      <c r="S38" s="87">
        <f t="shared" si="7"/>
        <v>0.34364419309440003</v>
      </c>
      <c r="T38" s="87">
        <f t="shared" si="8"/>
        <v>0</v>
      </c>
      <c r="U38" s="87">
        <f t="shared" si="9"/>
        <v>3.6931113616282625</v>
      </c>
      <c r="V38" s="87">
        <f t="shared" si="10"/>
        <v>0.1193070451770749</v>
      </c>
      <c r="W38" s="120">
        <f t="shared" si="11"/>
        <v>7.9538030118049927E-2</v>
      </c>
    </row>
    <row r="39" spans="2:23">
      <c r="B39" s="116">
        <f>Amnt_Deposited!B34</f>
        <v>2020</v>
      </c>
      <c r="C39" s="119">
        <f>Amnt_Deposited!F34</f>
        <v>0</v>
      </c>
      <c r="D39" s="453">
        <f>Dry_Matter_Content!G26</f>
        <v>0.56999999999999995</v>
      </c>
      <c r="E39" s="319">
        <f>MCF!R38</f>
        <v>0.8</v>
      </c>
      <c r="F39" s="87">
        <f t="shared" si="0"/>
        <v>0</v>
      </c>
      <c r="G39" s="87">
        <f t="shared" si="1"/>
        <v>0</v>
      </c>
      <c r="H39" s="87">
        <f t="shared" si="2"/>
        <v>0</v>
      </c>
      <c r="I39" s="87">
        <f t="shared" si="3"/>
        <v>0</v>
      </c>
      <c r="J39" s="87">
        <f t="shared" si="4"/>
        <v>0</v>
      </c>
      <c r="K39" s="120">
        <f t="shared" si="6"/>
        <v>0</v>
      </c>
      <c r="O39" s="116">
        <f>Amnt_Deposited!B34</f>
        <v>2020</v>
      </c>
      <c r="P39" s="119">
        <f>Amnt_Deposited!G34</f>
        <v>2.0672642113200004</v>
      </c>
      <c r="Q39" s="319">
        <f>MCF!R38</f>
        <v>0.8</v>
      </c>
      <c r="R39" s="87">
        <f t="shared" si="5"/>
        <v>0.35556944434704008</v>
      </c>
      <c r="S39" s="87">
        <f t="shared" si="7"/>
        <v>0.35556944434704008</v>
      </c>
      <c r="T39" s="87">
        <f t="shared" si="8"/>
        <v>0</v>
      </c>
      <c r="U39" s="87">
        <f t="shared" si="9"/>
        <v>3.9216577779776465</v>
      </c>
      <c r="V39" s="87">
        <f t="shared" si="10"/>
        <v>0.12702302799765602</v>
      </c>
      <c r="W39" s="120">
        <f t="shared" si="11"/>
        <v>8.4682018665104011E-2</v>
      </c>
    </row>
    <row r="40" spans="2:23">
      <c r="B40" s="116">
        <f>Amnt_Deposited!B35</f>
        <v>2021</v>
      </c>
      <c r="C40" s="119">
        <f>Amnt_Deposited!F35</f>
        <v>0</v>
      </c>
      <c r="D40" s="453">
        <f>Dry_Matter_Content!G27</f>
        <v>0.56999999999999995</v>
      </c>
      <c r="E40" s="319">
        <f>MCF!R39</f>
        <v>0.8</v>
      </c>
      <c r="F40" s="87">
        <f t="shared" si="0"/>
        <v>0</v>
      </c>
      <c r="G40" s="87">
        <f t="shared" si="1"/>
        <v>0</v>
      </c>
      <c r="H40" s="87">
        <f t="shared" si="2"/>
        <v>0</v>
      </c>
      <c r="I40" s="87">
        <f t="shared" si="3"/>
        <v>0</v>
      </c>
      <c r="J40" s="87">
        <f t="shared" si="4"/>
        <v>0</v>
      </c>
      <c r="K40" s="120">
        <f t="shared" si="6"/>
        <v>0</v>
      </c>
      <c r="O40" s="116">
        <f>Amnt_Deposited!B35</f>
        <v>2021</v>
      </c>
      <c r="P40" s="119">
        <f>Amnt_Deposited!G35</f>
        <v>2.1365970674399999</v>
      </c>
      <c r="Q40" s="319">
        <f>MCF!R39</f>
        <v>0.8</v>
      </c>
      <c r="R40" s="87">
        <f t="shared" si="5"/>
        <v>0.36749469559968001</v>
      </c>
      <c r="S40" s="87">
        <f t="shared" si="7"/>
        <v>0.36749469559968001</v>
      </c>
      <c r="T40" s="87">
        <f t="shared" si="8"/>
        <v>0</v>
      </c>
      <c r="U40" s="87">
        <f t="shared" si="9"/>
        <v>4.1542686867235084</v>
      </c>
      <c r="V40" s="87">
        <f t="shared" si="10"/>
        <v>0.13488378685381799</v>
      </c>
      <c r="W40" s="120">
        <f t="shared" si="11"/>
        <v>8.9922524569211987E-2</v>
      </c>
    </row>
    <row r="41" spans="2:23">
      <c r="B41" s="116">
        <f>Amnt_Deposited!B36</f>
        <v>2022</v>
      </c>
      <c r="C41" s="119">
        <f>Amnt_Deposited!F36</f>
        <v>0</v>
      </c>
      <c r="D41" s="453">
        <f>Dry_Matter_Content!G28</f>
        <v>0.56999999999999995</v>
      </c>
      <c r="E41" s="319">
        <f>MCF!R40</f>
        <v>0.8</v>
      </c>
      <c r="F41" s="87">
        <f t="shared" si="0"/>
        <v>0</v>
      </c>
      <c r="G41" s="87">
        <f t="shared" si="1"/>
        <v>0</v>
      </c>
      <c r="H41" s="87">
        <f t="shared" si="2"/>
        <v>0</v>
      </c>
      <c r="I41" s="87">
        <f t="shared" si="3"/>
        <v>0</v>
      </c>
      <c r="J41" s="87">
        <f t="shared" si="4"/>
        <v>0</v>
      </c>
      <c r="K41" s="120">
        <f t="shared" si="6"/>
        <v>0</v>
      </c>
      <c r="O41" s="116">
        <f>Amnt_Deposited!B36</f>
        <v>2022</v>
      </c>
      <c r="P41" s="119">
        <f>Amnt_Deposited!G36</f>
        <v>2.2059299235600003</v>
      </c>
      <c r="Q41" s="319">
        <f>MCF!R40</f>
        <v>0.8</v>
      </c>
      <c r="R41" s="87">
        <f t="shared" si="5"/>
        <v>0.37941994685232006</v>
      </c>
      <c r="S41" s="87">
        <f t="shared" si="7"/>
        <v>0.37941994685232006</v>
      </c>
      <c r="T41" s="87">
        <f t="shared" si="8"/>
        <v>0</v>
      </c>
      <c r="U41" s="87">
        <f t="shared" si="9"/>
        <v>4.3908042913417464</v>
      </c>
      <c r="V41" s="87">
        <f t="shared" si="10"/>
        <v>0.14288434223408111</v>
      </c>
      <c r="W41" s="120">
        <f t="shared" si="11"/>
        <v>9.5256228156054071E-2</v>
      </c>
    </row>
    <row r="42" spans="2:23">
      <c r="B42" s="116">
        <f>Amnt_Deposited!B37</f>
        <v>2023</v>
      </c>
      <c r="C42" s="119">
        <f>Amnt_Deposited!F37</f>
        <v>0</v>
      </c>
      <c r="D42" s="453">
        <f>Dry_Matter_Content!G29</f>
        <v>0.56999999999999995</v>
      </c>
      <c r="E42" s="319">
        <f>MCF!R41</f>
        <v>0.8</v>
      </c>
      <c r="F42" s="87">
        <f t="shared" si="0"/>
        <v>0</v>
      </c>
      <c r="G42" s="87">
        <f t="shared" si="1"/>
        <v>0</v>
      </c>
      <c r="H42" s="87">
        <f t="shared" si="2"/>
        <v>0</v>
      </c>
      <c r="I42" s="87">
        <f t="shared" si="3"/>
        <v>0</v>
      </c>
      <c r="J42" s="87">
        <f t="shared" si="4"/>
        <v>0</v>
      </c>
      <c r="K42" s="120">
        <f t="shared" si="6"/>
        <v>0</v>
      </c>
      <c r="O42" s="116">
        <f>Amnt_Deposited!B37</f>
        <v>2023</v>
      </c>
      <c r="P42" s="119">
        <f>Amnt_Deposited!G37</f>
        <v>2.2752627796800007</v>
      </c>
      <c r="Q42" s="319">
        <f>MCF!R41</f>
        <v>0.8</v>
      </c>
      <c r="R42" s="87">
        <f t="shared" si="5"/>
        <v>0.3913451981049601</v>
      </c>
      <c r="S42" s="87">
        <f t="shared" si="7"/>
        <v>0.3913451981049601</v>
      </c>
      <c r="T42" s="87">
        <f t="shared" si="8"/>
        <v>0</v>
      </c>
      <c r="U42" s="87">
        <f t="shared" si="9"/>
        <v>4.6311296035515168</v>
      </c>
      <c r="V42" s="87">
        <f t="shared" si="10"/>
        <v>0.15101988589519025</v>
      </c>
      <c r="W42" s="120">
        <f t="shared" si="11"/>
        <v>0.10067992393012683</v>
      </c>
    </row>
    <row r="43" spans="2:23">
      <c r="B43" s="116">
        <f>Amnt_Deposited!B38</f>
        <v>2024</v>
      </c>
      <c r="C43" s="119">
        <f>Amnt_Deposited!F38</f>
        <v>0</v>
      </c>
      <c r="D43" s="453">
        <f>Dry_Matter_Content!G30</f>
        <v>0.56999999999999995</v>
      </c>
      <c r="E43" s="319">
        <f>MCF!R42</f>
        <v>0.8</v>
      </c>
      <c r="F43" s="87">
        <f t="shared" si="0"/>
        <v>0</v>
      </c>
      <c r="G43" s="87">
        <f t="shared" si="1"/>
        <v>0</v>
      </c>
      <c r="H43" s="87">
        <f t="shared" si="2"/>
        <v>0</v>
      </c>
      <c r="I43" s="87">
        <f t="shared" si="3"/>
        <v>0</v>
      </c>
      <c r="J43" s="87">
        <f t="shared" si="4"/>
        <v>0</v>
      </c>
      <c r="K43" s="120">
        <f t="shared" si="6"/>
        <v>0</v>
      </c>
      <c r="O43" s="116">
        <f>Amnt_Deposited!B38</f>
        <v>2024</v>
      </c>
      <c r="P43" s="119">
        <f>Amnt_Deposited!G38</f>
        <v>2.3445956358000002</v>
      </c>
      <c r="Q43" s="319">
        <f>MCF!R42</f>
        <v>0.8</v>
      </c>
      <c r="R43" s="87">
        <f t="shared" si="5"/>
        <v>0.40327044935760004</v>
      </c>
      <c r="S43" s="87">
        <f t="shared" si="7"/>
        <v>0.40327044935760004</v>
      </c>
      <c r="T43" s="87">
        <f t="shared" si="8"/>
        <v>0</v>
      </c>
      <c r="U43" s="87">
        <f t="shared" si="9"/>
        <v>4.8751142779377012</v>
      </c>
      <c r="V43" s="87">
        <f t="shared" si="10"/>
        <v>0.15928577497141566</v>
      </c>
      <c r="W43" s="120">
        <f t="shared" si="11"/>
        <v>0.10619051664761044</v>
      </c>
    </row>
    <row r="44" spans="2:23">
      <c r="B44" s="116">
        <f>Amnt_Deposited!B39</f>
        <v>2025</v>
      </c>
      <c r="C44" s="119">
        <f>Amnt_Deposited!F39</f>
        <v>0</v>
      </c>
      <c r="D44" s="453">
        <f>Dry_Matter_Content!G31</f>
        <v>0.56999999999999995</v>
      </c>
      <c r="E44" s="319">
        <f>MCF!R43</f>
        <v>0.8</v>
      </c>
      <c r="F44" s="87">
        <f t="shared" si="0"/>
        <v>0</v>
      </c>
      <c r="G44" s="87">
        <f t="shared" si="1"/>
        <v>0</v>
      </c>
      <c r="H44" s="87">
        <f t="shared" si="2"/>
        <v>0</v>
      </c>
      <c r="I44" s="87">
        <f t="shared" si="3"/>
        <v>0</v>
      </c>
      <c r="J44" s="87">
        <f t="shared" si="4"/>
        <v>0</v>
      </c>
      <c r="K44" s="120">
        <f t="shared" si="6"/>
        <v>0</v>
      </c>
      <c r="O44" s="116">
        <f>Amnt_Deposited!B39</f>
        <v>2025</v>
      </c>
      <c r="P44" s="119">
        <f>Amnt_Deposited!G39</f>
        <v>2.4139284919200006</v>
      </c>
      <c r="Q44" s="319">
        <f>MCF!R43</f>
        <v>0.8</v>
      </c>
      <c r="R44" s="87">
        <f t="shared" si="5"/>
        <v>0.41519570061024008</v>
      </c>
      <c r="S44" s="87">
        <f t="shared" si="7"/>
        <v>0.41519570061024008</v>
      </c>
      <c r="T44" s="87">
        <f t="shared" si="8"/>
        <v>0</v>
      </c>
      <c r="U44" s="87">
        <f t="shared" si="9"/>
        <v>5.1226324522614792</v>
      </c>
      <c r="V44" s="87">
        <f t="shared" si="10"/>
        <v>0.16767752628646168</v>
      </c>
      <c r="W44" s="120">
        <f t="shared" si="11"/>
        <v>0.11178501752430778</v>
      </c>
    </row>
    <row r="45" spans="2:23">
      <c r="B45" s="116">
        <f>Amnt_Deposited!B40</f>
        <v>2026</v>
      </c>
      <c r="C45" s="119">
        <f>Amnt_Deposited!F40</f>
        <v>0</v>
      </c>
      <c r="D45" s="453">
        <f>Dry_Matter_Content!G32</f>
        <v>0.56999999999999995</v>
      </c>
      <c r="E45" s="319">
        <f>MCF!R44</f>
        <v>0.8</v>
      </c>
      <c r="F45" s="87">
        <f t="shared" si="0"/>
        <v>0</v>
      </c>
      <c r="G45" s="87">
        <f t="shared" si="1"/>
        <v>0</v>
      </c>
      <c r="H45" s="87">
        <f t="shared" si="2"/>
        <v>0</v>
      </c>
      <c r="I45" s="87">
        <f t="shared" si="3"/>
        <v>0</v>
      </c>
      <c r="J45" s="87">
        <f t="shared" si="4"/>
        <v>0</v>
      </c>
      <c r="K45" s="120">
        <f t="shared" si="6"/>
        <v>0</v>
      </c>
      <c r="O45" s="116">
        <f>Amnt_Deposited!B40</f>
        <v>2026</v>
      </c>
      <c r="P45" s="119">
        <f>Amnt_Deposited!G40</f>
        <v>2.4832613480400001</v>
      </c>
      <c r="Q45" s="319">
        <f>MCF!R44</f>
        <v>0.8</v>
      </c>
      <c r="R45" s="87">
        <f t="shared" si="5"/>
        <v>0.42712095186288002</v>
      </c>
      <c r="S45" s="87">
        <f t="shared" si="7"/>
        <v>0.42712095186288002</v>
      </c>
      <c r="T45" s="87">
        <f t="shared" si="8"/>
        <v>0</v>
      </c>
      <c r="U45" s="87">
        <f t="shared" si="9"/>
        <v>5.373562593263344</v>
      </c>
      <c r="V45" s="87">
        <f t="shared" si="10"/>
        <v>0.17619081086101512</v>
      </c>
      <c r="W45" s="120">
        <f t="shared" si="11"/>
        <v>0.11746054057401008</v>
      </c>
    </row>
    <row r="46" spans="2:23">
      <c r="B46" s="116">
        <f>Amnt_Deposited!B41</f>
        <v>2027</v>
      </c>
      <c r="C46" s="119">
        <f>Amnt_Deposited!F41</f>
        <v>0</v>
      </c>
      <c r="D46" s="453">
        <f>Dry_Matter_Content!G33</f>
        <v>0.56999999999999995</v>
      </c>
      <c r="E46" s="319">
        <f>MCF!R45</f>
        <v>0.8</v>
      </c>
      <c r="F46" s="87">
        <f t="shared" si="0"/>
        <v>0</v>
      </c>
      <c r="G46" s="87">
        <f t="shared" si="1"/>
        <v>0</v>
      </c>
      <c r="H46" s="87">
        <f t="shared" si="2"/>
        <v>0</v>
      </c>
      <c r="I46" s="87">
        <f t="shared" si="3"/>
        <v>0</v>
      </c>
      <c r="J46" s="87">
        <f t="shared" si="4"/>
        <v>0</v>
      </c>
      <c r="K46" s="120">
        <f t="shared" si="6"/>
        <v>0</v>
      </c>
      <c r="O46" s="116">
        <f>Amnt_Deposited!B41</f>
        <v>2027</v>
      </c>
      <c r="P46" s="119">
        <f>Amnt_Deposited!G41</f>
        <v>2.5525942041600005</v>
      </c>
      <c r="Q46" s="319">
        <f>MCF!R45</f>
        <v>0.8</v>
      </c>
      <c r="R46" s="87">
        <f t="shared" si="5"/>
        <v>0.43904620311552006</v>
      </c>
      <c r="S46" s="87">
        <f t="shared" si="7"/>
        <v>0.43904620311552006</v>
      </c>
      <c r="T46" s="87">
        <f t="shared" si="8"/>
        <v>0</v>
      </c>
      <c r="U46" s="87">
        <f t="shared" si="9"/>
        <v>5.6277873477696598</v>
      </c>
      <c r="V46" s="87">
        <f t="shared" si="10"/>
        <v>0.18482144860920441</v>
      </c>
      <c r="W46" s="120">
        <f t="shared" si="11"/>
        <v>0.12321429907280293</v>
      </c>
    </row>
    <row r="47" spans="2:23">
      <c r="B47" s="116">
        <f>Amnt_Deposited!B42</f>
        <v>2028</v>
      </c>
      <c r="C47" s="119">
        <f>Amnt_Deposited!F42</f>
        <v>0</v>
      </c>
      <c r="D47" s="453">
        <f>Dry_Matter_Content!G34</f>
        <v>0.56999999999999995</v>
      </c>
      <c r="E47" s="319">
        <f>MCF!R46</f>
        <v>0.8</v>
      </c>
      <c r="F47" s="87">
        <f t="shared" si="0"/>
        <v>0</v>
      </c>
      <c r="G47" s="87">
        <f t="shared" si="1"/>
        <v>0</v>
      </c>
      <c r="H47" s="87">
        <f t="shared" si="2"/>
        <v>0</v>
      </c>
      <c r="I47" s="87">
        <f t="shared" si="3"/>
        <v>0</v>
      </c>
      <c r="J47" s="87">
        <f t="shared" si="4"/>
        <v>0</v>
      </c>
      <c r="K47" s="120">
        <f t="shared" si="6"/>
        <v>0</v>
      </c>
      <c r="O47" s="116">
        <f>Amnt_Deposited!B42</f>
        <v>2028</v>
      </c>
      <c r="P47" s="119">
        <f>Amnt_Deposited!G42</f>
        <v>2.6219270602800004</v>
      </c>
      <c r="Q47" s="319">
        <f>MCF!R46</f>
        <v>0.8</v>
      </c>
      <c r="R47" s="87">
        <f t="shared" si="5"/>
        <v>0.45097145436816011</v>
      </c>
      <c r="S47" s="87">
        <f t="shared" si="7"/>
        <v>0.45097145436816011</v>
      </c>
      <c r="T47" s="87">
        <f t="shared" si="8"/>
        <v>0</v>
      </c>
      <c r="U47" s="87">
        <f t="shared" si="9"/>
        <v>5.8851933989203484</v>
      </c>
      <c r="V47" s="87">
        <f t="shared" si="10"/>
        <v>0.19356540321747151</v>
      </c>
      <c r="W47" s="120">
        <f t="shared" si="11"/>
        <v>0.12904360214498101</v>
      </c>
    </row>
    <row r="48" spans="2:23">
      <c r="B48" s="116">
        <f>Amnt_Deposited!B43</f>
        <v>2029</v>
      </c>
      <c r="C48" s="119">
        <f>Amnt_Deposited!F43</f>
        <v>0</v>
      </c>
      <c r="D48" s="453">
        <f>Dry_Matter_Content!G35</f>
        <v>0.56999999999999995</v>
      </c>
      <c r="E48" s="319">
        <f>MCF!R47</f>
        <v>0.8</v>
      </c>
      <c r="F48" s="87">
        <f t="shared" si="0"/>
        <v>0</v>
      </c>
      <c r="G48" s="87">
        <f t="shared" si="1"/>
        <v>0</v>
      </c>
      <c r="H48" s="87">
        <f t="shared" si="2"/>
        <v>0</v>
      </c>
      <c r="I48" s="87">
        <f t="shared" si="3"/>
        <v>0</v>
      </c>
      <c r="J48" s="87">
        <f t="shared" si="4"/>
        <v>0</v>
      </c>
      <c r="K48" s="120">
        <f t="shared" si="6"/>
        <v>0</v>
      </c>
      <c r="O48" s="116">
        <f>Amnt_Deposited!B43</f>
        <v>2029</v>
      </c>
      <c r="P48" s="119">
        <f>Amnt_Deposited!G43</f>
        <v>2.6912599164000004</v>
      </c>
      <c r="Q48" s="319">
        <f>MCF!R47</f>
        <v>0.8</v>
      </c>
      <c r="R48" s="87">
        <f t="shared" si="5"/>
        <v>0.46289670562080004</v>
      </c>
      <c r="S48" s="87">
        <f t="shared" si="7"/>
        <v>0.46289670562080004</v>
      </c>
      <c r="T48" s="87">
        <f t="shared" si="8"/>
        <v>0</v>
      </c>
      <c r="U48" s="87">
        <f t="shared" si="9"/>
        <v>6.1456713273415655</v>
      </c>
      <c r="V48" s="87">
        <f t="shared" si="10"/>
        <v>0.20241877719958298</v>
      </c>
      <c r="W48" s="120">
        <f t="shared" si="11"/>
        <v>0.13494585146638866</v>
      </c>
    </row>
    <row r="49" spans="2:23">
      <c r="B49" s="116">
        <f>Amnt_Deposited!B44</f>
        <v>2030</v>
      </c>
      <c r="C49" s="119">
        <f>Amnt_Deposited!F44</f>
        <v>0</v>
      </c>
      <c r="D49" s="453">
        <f>Dry_Matter_Content!G36</f>
        <v>0.56999999999999995</v>
      </c>
      <c r="E49" s="319">
        <f>MCF!R48</f>
        <v>0.8</v>
      </c>
      <c r="F49" s="87">
        <f t="shared" si="0"/>
        <v>0</v>
      </c>
      <c r="G49" s="87">
        <f t="shared" si="1"/>
        <v>0</v>
      </c>
      <c r="H49" s="87">
        <f t="shared" si="2"/>
        <v>0</v>
      </c>
      <c r="I49" s="87">
        <f t="shared" si="3"/>
        <v>0</v>
      </c>
      <c r="J49" s="87">
        <f t="shared" si="4"/>
        <v>0</v>
      </c>
      <c r="K49" s="120">
        <f t="shared" si="6"/>
        <v>0</v>
      </c>
      <c r="O49" s="116">
        <f>Amnt_Deposited!B44</f>
        <v>2030</v>
      </c>
      <c r="P49" s="119">
        <f>Amnt_Deposited!G44</f>
        <v>2.7605927725200003</v>
      </c>
      <c r="Q49" s="319">
        <f>MCF!R48</f>
        <v>0.8</v>
      </c>
      <c r="R49" s="87">
        <f t="shared" si="5"/>
        <v>0.47482195687344009</v>
      </c>
      <c r="S49" s="87">
        <f t="shared" si="7"/>
        <v>0.47482195687344009</v>
      </c>
      <c r="T49" s="87">
        <f t="shared" si="8"/>
        <v>0</v>
      </c>
      <c r="U49" s="87">
        <f t="shared" si="9"/>
        <v>6.4091154770932839</v>
      </c>
      <c r="V49" s="87">
        <f t="shared" si="10"/>
        <v>0.21137780712172216</v>
      </c>
      <c r="W49" s="120">
        <f t="shared" si="11"/>
        <v>0.1409185380811481</v>
      </c>
    </row>
    <row r="50" spans="2:23">
      <c r="B50" s="116">
        <f>Amnt_Deposited!B45</f>
        <v>2031</v>
      </c>
      <c r="C50" s="119">
        <f>Amnt_Deposited!F45</f>
        <v>0</v>
      </c>
      <c r="D50" s="453">
        <f>Dry_Matter_Content!G37</f>
        <v>0.56999999999999995</v>
      </c>
      <c r="E50" s="319">
        <f>MCF!R49</f>
        <v>0.8</v>
      </c>
      <c r="F50" s="87">
        <f t="shared" si="0"/>
        <v>0</v>
      </c>
      <c r="G50" s="87">
        <f t="shared" si="1"/>
        <v>0</v>
      </c>
      <c r="H50" s="87">
        <f t="shared" si="2"/>
        <v>0</v>
      </c>
      <c r="I50" s="87">
        <f t="shared" si="3"/>
        <v>0</v>
      </c>
      <c r="J50" s="87">
        <f t="shared" si="4"/>
        <v>0</v>
      </c>
      <c r="K50" s="120">
        <f t="shared" si="6"/>
        <v>0</v>
      </c>
      <c r="O50" s="116">
        <f>Amnt_Deposited!B45</f>
        <v>2031</v>
      </c>
      <c r="P50" s="119">
        <f>Amnt_Deposited!G45</f>
        <v>0</v>
      </c>
      <c r="Q50" s="319">
        <f>MCF!R49</f>
        <v>0.8</v>
      </c>
      <c r="R50" s="87">
        <f t="shared" si="5"/>
        <v>0</v>
      </c>
      <c r="S50" s="87">
        <f t="shared" si="7"/>
        <v>0</v>
      </c>
      <c r="T50" s="87">
        <f t="shared" si="8"/>
        <v>0</v>
      </c>
      <c r="U50" s="87">
        <f t="shared" si="9"/>
        <v>6.1886766181014723</v>
      </c>
      <c r="V50" s="87">
        <f t="shared" si="10"/>
        <v>0.22043885899181181</v>
      </c>
      <c r="W50" s="120">
        <f t="shared" si="11"/>
        <v>0.14695923932787452</v>
      </c>
    </row>
    <row r="51" spans="2:23">
      <c r="B51" s="116">
        <f>Amnt_Deposited!B46</f>
        <v>2032</v>
      </c>
      <c r="C51" s="119">
        <f>Amnt_Deposited!F46</f>
        <v>0</v>
      </c>
      <c r="D51" s="453">
        <f>Dry_Matter_Content!G38</f>
        <v>0.56999999999999995</v>
      </c>
      <c r="E51" s="319">
        <f>MCF!R50</f>
        <v>0.8</v>
      </c>
      <c r="F51" s="87">
        <f t="shared" si="0"/>
        <v>0</v>
      </c>
      <c r="G51" s="87">
        <f t="shared" si="1"/>
        <v>0</v>
      </c>
      <c r="H51" s="87">
        <f t="shared" si="2"/>
        <v>0</v>
      </c>
      <c r="I51" s="87">
        <f t="shared" si="3"/>
        <v>0</v>
      </c>
      <c r="J51" s="87">
        <f t="shared" si="4"/>
        <v>0</v>
      </c>
      <c r="K51" s="120">
        <f t="shared" si="6"/>
        <v>0</v>
      </c>
      <c r="O51" s="116">
        <f>Amnt_Deposited!B46</f>
        <v>2032</v>
      </c>
      <c r="P51" s="119">
        <f>Amnt_Deposited!G46</f>
        <v>0</v>
      </c>
      <c r="Q51" s="319">
        <f>MCF!R50</f>
        <v>0.8</v>
      </c>
      <c r="R51" s="87">
        <f t="shared" si="5"/>
        <v>0</v>
      </c>
      <c r="S51" s="87">
        <f t="shared" si="7"/>
        <v>0</v>
      </c>
      <c r="T51" s="87">
        <f t="shared" si="8"/>
        <v>0</v>
      </c>
      <c r="U51" s="87">
        <f t="shared" si="9"/>
        <v>5.9758196619053408</v>
      </c>
      <c r="V51" s="87">
        <f t="shared" si="10"/>
        <v>0.21285695619613146</v>
      </c>
      <c r="W51" s="120">
        <f t="shared" si="11"/>
        <v>0.14190463746408763</v>
      </c>
    </row>
    <row r="52" spans="2:23">
      <c r="B52" s="116">
        <f>Amnt_Deposited!B47</f>
        <v>2033</v>
      </c>
      <c r="C52" s="119">
        <f>Amnt_Deposited!F47</f>
        <v>0</v>
      </c>
      <c r="D52" s="453">
        <f>Dry_Matter_Content!G39</f>
        <v>0.56999999999999995</v>
      </c>
      <c r="E52" s="319">
        <f>MCF!R51</f>
        <v>0.8</v>
      </c>
      <c r="F52" s="87">
        <f t="shared" si="0"/>
        <v>0</v>
      </c>
      <c r="G52" s="87">
        <f t="shared" si="1"/>
        <v>0</v>
      </c>
      <c r="H52" s="87">
        <f t="shared" si="2"/>
        <v>0</v>
      </c>
      <c r="I52" s="87">
        <f t="shared" si="3"/>
        <v>0</v>
      </c>
      <c r="J52" s="87">
        <f t="shared" si="4"/>
        <v>0</v>
      </c>
      <c r="K52" s="120">
        <f t="shared" si="6"/>
        <v>0</v>
      </c>
      <c r="O52" s="116">
        <f>Amnt_Deposited!B47</f>
        <v>2033</v>
      </c>
      <c r="P52" s="119">
        <f>Amnt_Deposited!G47</f>
        <v>0</v>
      </c>
      <c r="Q52" s="319">
        <f>MCF!R51</f>
        <v>0.8</v>
      </c>
      <c r="R52" s="87">
        <f t="shared" si="5"/>
        <v>0</v>
      </c>
      <c r="S52" s="87">
        <f t="shared" si="7"/>
        <v>0</v>
      </c>
      <c r="T52" s="87">
        <f t="shared" si="8"/>
        <v>0</v>
      </c>
      <c r="U52" s="87">
        <f t="shared" si="9"/>
        <v>5.7702838321142567</v>
      </c>
      <c r="V52" s="87">
        <f t="shared" si="10"/>
        <v>0.20553582979108412</v>
      </c>
      <c r="W52" s="120">
        <f t="shared" si="11"/>
        <v>0.13702388652738939</v>
      </c>
    </row>
    <row r="53" spans="2:23">
      <c r="B53" s="116">
        <f>Amnt_Deposited!B48</f>
        <v>2034</v>
      </c>
      <c r="C53" s="119">
        <f>Amnt_Deposited!F48</f>
        <v>0</v>
      </c>
      <c r="D53" s="453">
        <f>Dry_Matter_Content!G40</f>
        <v>0.56999999999999995</v>
      </c>
      <c r="E53" s="319">
        <f>MCF!R52</f>
        <v>0.8</v>
      </c>
      <c r="F53" s="87">
        <f t="shared" si="0"/>
        <v>0</v>
      </c>
      <c r="G53" s="87">
        <f t="shared" si="1"/>
        <v>0</v>
      </c>
      <c r="H53" s="87">
        <f t="shared" si="2"/>
        <v>0</v>
      </c>
      <c r="I53" s="87">
        <f t="shared" si="3"/>
        <v>0</v>
      </c>
      <c r="J53" s="87">
        <f t="shared" si="4"/>
        <v>0</v>
      </c>
      <c r="K53" s="120">
        <f t="shared" si="6"/>
        <v>0</v>
      </c>
      <c r="O53" s="116">
        <f>Amnt_Deposited!B48</f>
        <v>2034</v>
      </c>
      <c r="P53" s="119">
        <f>Amnt_Deposited!G48</f>
        <v>0</v>
      </c>
      <c r="Q53" s="319">
        <f>MCF!R52</f>
        <v>0.8</v>
      </c>
      <c r="R53" s="87">
        <f t="shared" si="5"/>
        <v>0</v>
      </c>
      <c r="S53" s="87">
        <f t="shared" si="7"/>
        <v>0</v>
      </c>
      <c r="T53" s="87">
        <f t="shared" si="8"/>
        <v>0</v>
      </c>
      <c r="U53" s="87">
        <f t="shared" si="9"/>
        <v>5.5718173216329925</v>
      </c>
      <c r="V53" s="87">
        <f t="shared" si="10"/>
        <v>0.1984665104812641</v>
      </c>
      <c r="W53" s="120">
        <f t="shared" si="11"/>
        <v>0.13231100698750939</v>
      </c>
    </row>
    <row r="54" spans="2:23">
      <c r="B54" s="116">
        <f>Amnt_Deposited!B49</f>
        <v>2035</v>
      </c>
      <c r="C54" s="119">
        <f>Amnt_Deposited!F49</f>
        <v>0</v>
      </c>
      <c r="D54" s="453">
        <f>Dry_Matter_Content!G41</f>
        <v>0.56999999999999995</v>
      </c>
      <c r="E54" s="319">
        <f>MCF!R53</f>
        <v>0.8</v>
      </c>
      <c r="F54" s="87">
        <f t="shared" si="0"/>
        <v>0</v>
      </c>
      <c r="G54" s="87">
        <f t="shared" si="1"/>
        <v>0</v>
      </c>
      <c r="H54" s="87">
        <f t="shared" si="2"/>
        <v>0</v>
      </c>
      <c r="I54" s="87">
        <f t="shared" si="3"/>
        <v>0</v>
      </c>
      <c r="J54" s="87">
        <f t="shared" si="4"/>
        <v>0</v>
      </c>
      <c r="K54" s="120">
        <f t="shared" si="6"/>
        <v>0</v>
      </c>
      <c r="O54" s="116">
        <f>Amnt_Deposited!B49</f>
        <v>2035</v>
      </c>
      <c r="P54" s="119">
        <f>Amnt_Deposited!G49</f>
        <v>0</v>
      </c>
      <c r="Q54" s="319">
        <f>MCF!R53</f>
        <v>0.8</v>
      </c>
      <c r="R54" s="87">
        <f t="shared" si="5"/>
        <v>0</v>
      </c>
      <c r="S54" s="87">
        <f t="shared" si="7"/>
        <v>0</v>
      </c>
      <c r="T54" s="87">
        <f t="shared" si="8"/>
        <v>0</v>
      </c>
      <c r="U54" s="87">
        <f t="shared" si="9"/>
        <v>5.3801769841665452</v>
      </c>
      <c r="V54" s="87">
        <f t="shared" si="10"/>
        <v>0.19164033746644771</v>
      </c>
      <c r="W54" s="120">
        <f t="shared" si="11"/>
        <v>0.12776022497763179</v>
      </c>
    </row>
    <row r="55" spans="2:23">
      <c r="B55" s="116">
        <f>Amnt_Deposited!B50</f>
        <v>2036</v>
      </c>
      <c r="C55" s="119">
        <f>Amnt_Deposited!F50</f>
        <v>0</v>
      </c>
      <c r="D55" s="453">
        <f>Dry_Matter_Content!G42</f>
        <v>0.56999999999999995</v>
      </c>
      <c r="E55" s="319">
        <f>MCF!R54</f>
        <v>0.8</v>
      </c>
      <c r="F55" s="87">
        <f t="shared" si="0"/>
        <v>0</v>
      </c>
      <c r="G55" s="87">
        <f t="shared" si="1"/>
        <v>0</v>
      </c>
      <c r="H55" s="87">
        <f t="shared" si="2"/>
        <v>0</v>
      </c>
      <c r="I55" s="87">
        <f t="shared" si="3"/>
        <v>0</v>
      </c>
      <c r="J55" s="87">
        <f t="shared" si="4"/>
        <v>0</v>
      </c>
      <c r="K55" s="120">
        <f t="shared" si="6"/>
        <v>0</v>
      </c>
      <c r="O55" s="116">
        <f>Amnt_Deposited!B50</f>
        <v>2036</v>
      </c>
      <c r="P55" s="119">
        <f>Amnt_Deposited!G50</f>
        <v>0</v>
      </c>
      <c r="Q55" s="319">
        <f>MCF!R54</f>
        <v>0.8</v>
      </c>
      <c r="R55" s="87">
        <f t="shared" si="5"/>
        <v>0</v>
      </c>
      <c r="S55" s="87">
        <f t="shared" si="7"/>
        <v>0</v>
      </c>
      <c r="T55" s="87">
        <f t="shared" si="8"/>
        <v>0</v>
      </c>
      <c r="U55" s="87">
        <f t="shared" si="9"/>
        <v>5.1951280363355155</v>
      </c>
      <c r="V55" s="87">
        <f t="shared" si="10"/>
        <v>0.18504894783102976</v>
      </c>
      <c r="W55" s="120">
        <f t="shared" si="11"/>
        <v>0.1233659652206865</v>
      </c>
    </row>
    <row r="56" spans="2:23">
      <c r="B56" s="116">
        <f>Amnt_Deposited!B51</f>
        <v>2037</v>
      </c>
      <c r="C56" s="119">
        <f>Amnt_Deposited!F51</f>
        <v>0</v>
      </c>
      <c r="D56" s="453">
        <f>Dry_Matter_Content!G43</f>
        <v>0.56999999999999995</v>
      </c>
      <c r="E56" s="319">
        <f>MCF!R55</f>
        <v>0.8</v>
      </c>
      <c r="F56" s="87">
        <f t="shared" si="0"/>
        <v>0</v>
      </c>
      <c r="G56" s="87">
        <f t="shared" si="1"/>
        <v>0</v>
      </c>
      <c r="H56" s="87">
        <f t="shared" si="2"/>
        <v>0</v>
      </c>
      <c r="I56" s="87">
        <f t="shared" si="3"/>
        <v>0</v>
      </c>
      <c r="J56" s="87">
        <f t="shared" si="4"/>
        <v>0</v>
      </c>
      <c r="K56" s="120">
        <f t="shared" si="6"/>
        <v>0</v>
      </c>
      <c r="O56" s="116">
        <f>Amnt_Deposited!B51</f>
        <v>2037</v>
      </c>
      <c r="P56" s="119">
        <f>Amnt_Deposited!G51</f>
        <v>0</v>
      </c>
      <c r="Q56" s="319">
        <f>MCF!R55</f>
        <v>0.8</v>
      </c>
      <c r="R56" s="87">
        <f t="shared" si="5"/>
        <v>0</v>
      </c>
      <c r="S56" s="87">
        <f t="shared" si="7"/>
        <v>0</v>
      </c>
      <c r="T56" s="87">
        <f t="shared" si="8"/>
        <v>0</v>
      </c>
      <c r="U56" s="87">
        <f t="shared" si="9"/>
        <v>5.0164437700371094</v>
      </c>
      <c r="V56" s="87">
        <f t="shared" si="10"/>
        <v>0.1786842662984062</v>
      </c>
      <c r="W56" s="120">
        <f t="shared" si="11"/>
        <v>0.11912284419893746</v>
      </c>
    </row>
    <row r="57" spans="2:23">
      <c r="B57" s="116">
        <f>Amnt_Deposited!B52</f>
        <v>2038</v>
      </c>
      <c r="C57" s="119">
        <f>Amnt_Deposited!F52</f>
        <v>0</v>
      </c>
      <c r="D57" s="453">
        <f>Dry_Matter_Content!G44</f>
        <v>0.56999999999999995</v>
      </c>
      <c r="E57" s="319">
        <f>MCF!R56</f>
        <v>0.8</v>
      </c>
      <c r="F57" s="87">
        <f t="shared" si="0"/>
        <v>0</v>
      </c>
      <c r="G57" s="87">
        <f t="shared" si="1"/>
        <v>0</v>
      </c>
      <c r="H57" s="87">
        <f t="shared" si="2"/>
        <v>0</v>
      </c>
      <c r="I57" s="87">
        <f t="shared" si="3"/>
        <v>0</v>
      </c>
      <c r="J57" s="87">
        <f t="shared" si="4"/>
        <v>0</v>
      </c>
      <c r="K57" s="120">
        <f t="shared" si="6"/>
        <v>0</v>
      </c>
      <c r="O57" s="116">
        <f>Amnt_Deposited!B52</f>
        <v>2038</v>
      </c>
      <c r="P57" s="119">
        <f>Amnt_Deposited!G52</f>
        <v>0</v>
      </c>
      <c r="Q57" s="319">
        <f>MCF!R56</f>
        <v>0.8</v>
      </c>
      <c r="R57" s="87">
        <f t="shared" si="5"/>
        <v>0</v>
      </c>
      <c r="S57" s="87">
        <f t="shared" si="7"/>
        <v>0</v>
      </c>
      <c r="T57" s="87">
        <f t="shared" si="8"/>
        <v>0</v>
      </c>
      <c r="U57" s="87">
        <f t="shared" si="9"/>
        <v>4.8439052746993587</v>
      </c>
      <c r="V57" s="87">
        <f t="shared" si="10"/>
        <v>0.17253849533775037</v>
      </c>
      <c r="W57" s="120">
        <f t="shared" si="11"/>
        <v>0.11502566355850025</v>
      </c>
    </row>
    <row r="58" spans="2:23">
      <c r="B58" s="116">
        <f>Amnt_Deposited!B53</f>
        <v>2039</v>
      </c>
      <c r="C58" s="119">
        <f>Amnt_Deposited!F53</f>
        <v>0</v>
      </c>
      <c r="D58" s="453">
        <f>Dry_Matter_Content!G45</f>
        <v>0.56999999999999995</v>
      </c>
      <c r="E58" s="319">
        <f>MCF!R57</f>
        <v>0.8</v>
      </c>
      <c r="F58" s="87">
        <f t="shared" si="0"/>
        <v>0</v>
      </c>
      <c r="G58" s="87">
        <f t="shared" si="1"/>
        <v>0</v>
      </c>
      <c r="H58" s="87">
        <f t="shared" si="2"/>
        <v>0</v>
      </c>
      <c r="I58" s="87">
        <f t="shared" si="3"/>
        <v>0</v>
      </c>
      <c r="J58" s="87">
        <f t="shared" si="4"/>
        <v>0</v>
      </c>
      <c r="K58" s="120">
        <f t="shared" si="6"/>
        <v>0</v>
      </c>
      <c r="O58" s="116">
        <f>Amnt_Deposited!B53</f>
        <v>2039</v>
      </c>
      <c r="P58" s="119">
        <f>Amnt_Deposited!G53</f>
        <v>0</v>
      </c>
      <c r="Q58" s="319">
        <f>MCF!R57</f>
        <v>0.8</v>
      </c>
      <c r="R58" s="87">
        <f t="shared" si="5"/>
        <v>0</v>
      </c>
      <c r="S58" s="87">
        <f t="shared" si="7"/>
        <v>0</v>
      </c>
      <c r="T58" s="87">
        <f t="shared" si="8"/>
        <v>0</v>
      </c>
      <c r="U58" s="87">
        <f t="shared" si="9"/>
        <v>4.6773011690882962</v>
      </c>
      <c r="V58" s="87">
        <f t="shared" si="10"/>
        <v>0.16660410561106262</v>
      </c>
      <c r="W58" s="120">
        <f t="shared" si="11"/>
        <v>0.11106940374070841</v>
      </c>
    </row>
    <row r="59" spans="2:23">
      <c r="B59" s="116">
        <f>Amnt_Deposited!B54</f>
        <v>2040</v>
      </c>
      <c r="C59" s="119">
        <f>Amnt_Deposited!F54</f>
        <v>0</v>
      </c>
      <c r="D59" s="453">
        <f>Dry_Matter_Content!G46</f>
        <v>0.56999999999999995</v>
      </c>
      <c r="E59" s="319">
        <f>MCF!R58</f>
        <v>0.8</v>
      </c>
      <c r="F59" s="87">
        <f t="shared" si="0"/>
        <v>0</v>
      </c>
      <c r="G59" s="87">
        <f t="shared" si="1"/>
        <v>0</v>
      </c>
      <c r="H59" s="87">
        <f t="shared" si="2"/>
        <v>0</v>
      </c>
      <c r="I59" s="87">
        <f t="shared" si="3"/>
        <v>0</v>
      </c>
      <c r="J59" s="87">
        <f t="shared" si="4"/>
        <v>0</v>
      </c>
      <c r="K59" s="120">
        <f t="shared" si="6"/>
        <v>0</v>
      </c>
      <c r="O59" s="116">
        <f>Amnt_Deposited!B54</f>
        <v>2040</v>
      </c>
      <c r="P59" s="119">
        <f>Amnt_Deposited!G54</f>
        <v>0</v>
      </c>
      <c r="Q59" s="319">
        <f>MCF!R58</f>
        <v>0.8</v>
      </c>
      <c r="R59" s="87">
        <f t="shared" si="5"/>
        <v>0</v>
      </c>
      <c r="S59" s="87">
        <f t="shared" si="7"/>
        <v>0</v>
      </c>
      <c r="T59" s="87">
        <f t="shared" si="8"/>
        <v>0</v>
      </c>
      <c r="U59" s="87">
        <f t="shared" si="9"/>
        <v>4.5164273423395063</v>
      </c>
      <c r="V59" s="87">
        <f t="shared" si="10"/>
        <v>0.16087382674878969</v>
      </c>
      <c r="W59" s="120">
        <f t="shared" si="11"/>
        <v>0.10724921783252646</v>
      </c>
    </row>
    <row r="60" spans="2:23">
      <c r="B60" s="116">
        <f>Amnt_Deposited!B55</f>
        <v>2041</v>
      </c>
      <c r="C60" s="119">
        <f>Amnt_Deposited!F55</f>
        <v>0</v>
      </c>
      <c r="D60" s="453">
        <f>Dry_Matter_Content!G47</f>
        <v>0.56999999999999995</v>
      </c>
      <c r="E60" s="319">
        <f>MCF!R59</f>
        <v>0.8</v>
      </c>
      <c r="F60" s="87">
        <f t="shared" si="0"/>
        <v>0</v>
      </c>
      <c r="G60" s="87">
        <f t="shared" si="1"/>
        <v>0</v>
      </c>
      <c r="H60" s="87">
        <f t="shared" si="2"/>
        <v>0</v>
      </c>
      <c r="I60" s="87">
        <f t="shared" si="3"/>
        <v>0</v>
      </c>
      <c r="J60" s="87">
        <f t="shared" si="4"/>
        <v>0</v>
      </c>
      <c r="K60" s="120">
        <f t="shared" si="6"/>
        <v>0</v>
      </c>
      <c r="O60" s="116">
        <f>Amnt_Deposited!B55</f>
        <v>2041</v>
      </c>
      <c r="P60" s="119">
        <f>Amnt_Deposited!G55</f>
        <v>0</v>
      </c>
      <c r="Q60" s="319">
        <f>MCF!R59</f>
        <v>0.8</v>
      </c>
      <c r="R60" s="87">
        <f t="shared" si="5"/>
        <v>0</v>
      </c>
      <c r="S60" s="87">
        <f t="shared" si="7"/>
        <v>0</v>
      </c>
      <c r="T60" s="87">
        <f t="shared" si="8"/>
        <v>0</v>
      </c>
      <c r="U60" s="87">
        <f t="shared" si="9"/>
        <v>4.3610867038967935</v>
      </c>
      <c r="V60" s="87">
        <f t="shared" si="10"/>
        <v>0.1553406384427127</v>
      </c>
      <c r="W60" s="120">
        <f t="shared" si="11"/>
        <v>0.10356042562847513</v>
      </c>
    </row>
    <row r="61" spans="2:23">
      <c r="B61" s="116">
        <f>Amnt_Deposited!B56</f>
        <v>2042</v>
      </c>
      <c r="C61" s="119">
        <f>Amnt_Deposited!F56</f>
        <v>0</v>
      </c>
      <c r="D61" s="453">
        <f>Dry_Matter_Content!G48</f>
        <v>0.56999999999999995</v>
      </c>
      <c r="E61" s="319">
        <f>MCF!R60</f>
        <v>0.8</v>
      </c>
      <c r="F61" s="87">
        <f t="shared" si="0"/>
        <v>0</v>
      </c>
      <c r="G61" s="87">
        <f t="shared" si="1"/>
        <v>0</v>
      </c>
      <c r="H61" s="87">
        <f t="shared" si="2"/>
        <v>0</v>
      </c>
      <c r="I61" s="87">
        <f t="shared" si="3"/>
        <v>0</v>
      </c>
      <c r="J61" s="87">
        <f t="shared" si="4"/>
        <v>0</v>
      </c>
      <c r="K61" s="120">
        <f t="shared" si="6"/>
        <v>0</v>
      </c>
      <c r="O61" s="116">
        <f>Amnt_Deposited!B56</f>
        <v>2042</v>
      </c>
      <c r="P61" s="119">
        <f>Amnt_Deposited!G56</f>
        <v>0</v>
      </c>
      <c r="Q61" s="319">
        <f>MCF!R60</f>
        <v>0.8</v>
      </c>
      <c r="R61" s="87">
        <f t="shared" si="5"/>
        <v>0</v>
      </c>
      <c r="S61" s="87">
        <f t="shared" si="7"/>
        <v>0</v>
      </c>
      <c r="T61" s="87">
        <f t="shared" si="8"/>
        <v>0</v>
      </c>
      <c r="U61" s="87">
        <f t="shared" si="9"/>
        <v>4.2110889420516022</v>
      </c>
      <c r="V61" s="87">
        <f t="shared" si="10"/>
        <v>0.14999776184519173</v>
      </c>
      <c r="W61" s="120">
        <f t="shared" si="11"/>
        <v>9.9998507896794486E-2</v>
      </c>
    </row>
    <row r="62" spans="2:23">
      <c r="B62" s="116">
        <f>Amnt_Deposited!B57</f>
        <v>2043</v>
      </c>
      <c r="C62" s="119">
        <f>Amnt_Deposited!F57</f>
        <v>0</v>
      </c>
      <c r="D62" s="453">
        <f>Dry_Matter_Content!G49</f>
        <v>0.56999999999999995</v>
      </c>
      <c r="E62" s="319">
        <f>MCF!R61</f>
        <v>0.8</v>
      </c>
      <c r="F62" s="87">
        <f t="shared" si="0"/>
        <v>0</v>
      </c>
      <c r="G62" s="87">
        <f t="shared" si="1"/>
        <v>0</v>
      </c>
      <c r="H62" s="87">
        <f t="shared" si="2"/>
        <v>0</v>
      </c>
      <c r="I62" s="87">
        <f t="shared" si="3"/>
        <v>0</v>
      </c>
      <c r="J62" s="87">
        <f t="shared" si="4"/>
        <v>0</v>
      </c>
      <c r="K62" s="120">
        <f t="shared" si="6"/>
        <v>0</v>
      </c>
      <c r="O62" s="116">
        <f>Amnt_Deposited!B57</f>
        <v>2043</v>
      </c>
      <c r="P62" s="119">
        <f>Amnt_Deposited!G57</f>
        <v>0</v>
      </c>
      <c r="Q62" s="319">
        <f>MCF!R61</f>
        <v>0.8</v>
      </c>
      <c r="R62" s="87">
        <f t="shared" si="5"/>
        <v>0</v>
      </c>
      <c r="S62" s="87">
        <f t="shared" si="7"/>
        <v>0</v>
      </c>
      <c r="T62" s="87">
        <f t="shared" si="8"/>
        <v>0</v>
      </c>
      <c r="U62" s="87">
        <f t="shared" si="9"/>
        <v>4.0662502907873721</v>
      </c>
      <c r="V62" s="87">
        <f t="shared" si="10"/>
        <v>0.14483865126422968</v>
      </c>
      <c r="W62" s="120">
        <f t="shared" si="11"/>
        <v>9.6559100842819781E-2</v>
      </c>
    </row>
    <row r="63" spans="2:23">
      <c r="B63" s="116">
        <f>Amnt_Deposited!B58</f>
        <v>2044</v>
      </c>
      <c r="C63" s="119">
        <f>Amnt_Deposited!F58</f>
        <v>0</v>
      </c>
      <c r="D63" s="453">
        <f>Dry_Matter_Content!G50</f>
        <v>0.56999999999999995</v>
      </c>
      <c r="E63" s="319">
        <f>MCF!R62</f>
        <v>0.8</v>
      </c>
      <c r="F63" s="87">
        <f t="shared" si="0"/>
        <v>0</v>
      </c>
      <c r="G63" s="87">
        <f t="shared" si="1"/>
        <v>0</v>
      </c>
      <c r="H63" s="87">
        <f t="shared" si="2"/>
        <v>0</v>
      </c>
      <c r="I63" s="87">
        <f t="shared" si="3"/>
        <v>0</v>
      </c>
      <c r="J63" s="87">
        <f t="shared" si="4"/>
        <v>0</v>
      </c>
      <c r="K63" s="120">
        <f t="shared" si="6"/>
        <v>0</v>
      </c>
      <c r="O63" s="116">
        <f>Amnt_Deposited!B58</f>
        <v>2044</v>
      </c>
      <c r="P63" s="119">
        <f>Amnt_Deposited!G58</f>
        <v>0</v>
      </c>
      <c r="Q63" s="319">
        <f>MCF!R62</f>
        <v>0.8</v>
      </c>
      <c r="R63" s="87">
        <f t="shared" si="5"/>
        <v>0</v>
      </c>
      <c r="S63" s="87">
        <f t="shared" si="7"/>
        <v>0</v>
      </c>
      <c r="T63" s="87">
        <f t="shared" si="8"/>
        <v>0</v>
      </c>
      <c r="U63" s="87">
        <f t="shared" si="9"/>
        <v>3.9263933046431911</v>
      </c>
      <c r="V63" s="87">
        <f t="shared" si="10"/>
        <v>0.13985698614418099</v>
      </c>
      <c r="W63" s="120">
        <f t="shared" si="11"/>
        <v>9.3237990762787326E-2</v>
      </c>
    </row>
    <row r="64" spans="2:23">
      <c r="B64" s="116">
        <f>Amnt_Deposited!B59</f>
        <v>2045</v>
      </c>
      <c r="C64" s="119">
        <f>Amnt_Deposited!F59</f>
        <v>0</v>
      </c>
      <c r="D64" s="453">
        <f>Dry_Matter_Content!G51</f>
        <v>0.56999999999999995</v>
      </c>
      <c r="E64" s="319">
        <f>MCF!R63</f>
        <v>0.8</v>
      </c>
      <c r="F64" s="87">
        <f t="shared" si="0"/>
        <v>0</v>
      </c>
      <c r="G64" s="87">
        <f t="shared" si="1"/>
        <v>0</v>
      </c>
      <c r="H64" s="87">
        <f t="shared" si="2"/>
        <v>0</v>
      </c>
      <c r="I64" s="87">
        <f t="shared" si="3"/>
        <v>0</v>
      </c>
      <c r="J64" s="87">
        <f t="shared" si="4"/>
        <v>0</v>
      </c>
      <c r="K64" s="120">
        <f t="shared" si="6"/>
        <v>0</v>
      </c>
      <c r="O64" s="116">
        <f>Amnt_Deposited!B59</f>
        <v>2045</v>
      </c>
      <c r="P64" s="119">
        <f>Amnt_Deposited!G59</f>
        <v>0</v>
      </c>
      <c r="Q64" s="319">
        <f>MCF!R63</f>
        <v>0.8</v>
      </c>
      <c r="R64" s="87">
        <f t="shared" si="5"/>
        <v>0</v>
      </c>
      <c r="S64" s="87">
        <f t="shared" si="7"/>
        <v>0</v>
      </c>
      <c r="T64" s="87">
        <f t="shared" si="8"/>
        <v>0</v>
      </c>
      <c r="U64" s="87">
        <f t="shared" si="9"/>
        <v>3.7913466413209105</v>
      </c>
      <c r="V64" s="87">
        <f t="shared" si="10"/>
        <v>0.1350466633222806</v>
      </c>
      <c r="W64" s="120">
        <f t="shared" si="11"/>
        <v>9.0031108881520397E-2</v>
      </c>
    </row>
    <row r="65" spans="2:23">
      <c r="B65" s="116">
        <f>Amnt_Deposited!B60</f>
        <v>2046</v>
      </c>
      <c r="C65" s="119">
        <f>Amnt_Deposited!F60</f>
        <v>0</v>
      </c>
      <c r="D65" s="453">
        <f>Dry_Matter_Content!G52</f>
        <v>0.56999999999999995</v>
      </c>
      <c r="E65" s="319">
        <f>MCF!R64</f>
        <v>0.8</v>
      </c>
      <c r="F65" s="87">
        <f t="shared" si="0"/>
        <v>0</v>
      </c>
      <c r="G65" s="87">
        <f t="shared" si="1"/>
        <v>0</v>
      </c>
      <c r="H65" s="87">
        <f t="shared" si="2"/>
        <v>0</v>
      </c>
      <c r="I65" s="87">
        <f t="shared" si="3"/>
        <v>0</v>
      </c>
      <c r="J65" s="87">
        <f t="shared" si="4"/>
        <v>0</v>
      </c>
      <c r="K65" s="120">
        <f t="shared" si="6"/>
        <v>0</v>
      </c>
      <c r="O65" s="116">
        <f>Amnt_Deposited!B60</f>
        <v>2046</v>
      </c>
      <c r="P65" s="119">
        <f>Amnt_Deposited!G60</f>
        <v>0</v>
      </c>
      <c r="Q65" s="319">
        <f>MCF!R64</f>
        <v>0.8</v>
      </c>
      <c r="R65" s="87">
        <f t="shared" si="5"/>
        <v>0</v>
      </c>
      <c r="S65" s="87">
        <f t="shared" si="7"/>
        <v>0</v>
      </c>
      <c r="T65" s="87">
        <f t="shared" si="8"/>
        <v>0</v>
      </c>
      <c r="U65" s="87">
        <f t="shared" si="9"/>
        <v>3.6609448517694041</v>
      </c>
      <c r="V65" s="87">
        <f t="shared" si="10"/>
        <v>0.13040178955150619</v>
      </c>
      <c r="W65" s="120">
        <f t="shared" si="11"/>
        <v>8.6934526367670795E-2</v>
      </c>
    </row>
    <row r="66" spans="2:23">
      <c r="B66" s="116">
        <f>Amnt_Deposited!B61</f>
        <v>2047</v>
      </c>
      <c r="C66" s="119">
        <f>Amnt_Deposited!F61</f>
        <v>0</v>
      </c>
      <c r="D66" s="453">
        <f>Dry_Matter_Content!G53</f>
        <v>0.56999999999999995</v>
      </c>
      <c r="E66" s="319">
        <f>MCF!R65</f>
        <v>0.8</v>
      </c>
      <c r="F66" s="87">
        <f t="shared" si="0"/>
        <v>0</v>
      </c>
      <c r="G66" s="87">
        <f t="shared" si="1"/>
        <v>0</v>
      </c>
      <c r="H66" s="87">
        <f t="shared" si="2"/>
        <v>0</v>
      </c>
      <c r="I66" s="87">
        <f t="shared" si="3"/>
        <v>0</v>
      </c>
      <c r="J66" s="87">
        <f t="shared" si="4"/>
        <v>0</v>
      </c>
      <c r="K66" s="120">
        <f t="shared" si="6"/>
        <v>0</v>
      </c>
      <c r="O66" s="116">
        <f>Amnt_Deposited!B61</f>
        <v>2047</v>
      </c>
      <c r="P66" s="119">
        <f>Amnt_Deposited!G61</f>
        <v>0</v>
      </c>
      <c r="Q66" s="319">
        <f>MCF!R65</f>
        <v>0.8</v>
      </c>
      <c r="R66" s="87">
        <f t="shared" si="5"/>
        <v>0</v>
      </c>
      <c r="S66" s="87">
        <f t="shared" si="7"/>
        <v>0</v>
      </c>
      <c r="T66" s="87">
        <f t="shared" si="8"/>
        <v>0</v>
      </c>
      <c r="U66" s="87">
        <f t="shared" si="9"/>
        <v>3.5350281774887904</v>
      </c>
      <c r="V66" s="87">
        <f t="shared" si="10"/>
        <v>0.12591667428061371</v>
      </c>
      <c r="W66" s="120">
        <f t="shared" si="11"/>
        <v>8.3944449520409137E-2</v>
      </c>
    </row>
    <row r="67" spans="2:23">
      <c r="B67" s="116">
        <f>Amnt_Deposited!B62</f>
        <v>2048</v>
      </c>
      <c r="C67" s="119">
        <f>Amnt_Deposited!F62</f>
        <v>0</v>
      </c>
      <c r="D67" s="453">
        <f>Dry_Matter_Content!G54</f>
        <v>0.56999999999999995</v>
      </c>
      <c r="E67" s="319">
        <f>MCF!R66</f>
        <v>0.8</v>
      </c>
      <c r="F67" s="87">
        <f t="shared" si="0"/>
        <v>0</v>
      </c>
      <c r="G67" s="87">
        <f t="shared" si="1"/>
        <v>0</v>
      </c>
      <c r="H67" s="87">
        <f t="shared" si="2"/>
        <v>0</v>
      </c>
      <c r="I67" s="87">
        <f t="shared" si="3"/>
        <v>0</v>
      </c>
      <c r="J67" s="87">
        <f t="shared" si="4"/>
        <v>0</v>
      </c>
      <c r="K67" s="120">
        <f t="shared" si="6"/>
        <v>0</v>
      </c>
      <c r="O67" s="116">
        <f>Amnt_Deposited!B62</f>
        <v>2048</v>
      </c>
      <c r="P67" s="119">
        <f>Amnt_Deposited!G62</f>
        <v>0</v>
      </c>
      <c r="Q67" s="319">
        <f>MCF!R66</f>
        <v>0.8</v>
      </c>
      <c r="R67" s="87">
        <f t="shared" si="5"/>
        <v>0</v>
      </c>
      <c r="S67" s="87">
        <f t="shared" si="7"/>
        <v>0</v>
      </c>
      <c r="T67" s="87">
        <f t="shared" si="8"/>
        <v>0</v>
      </c>
      <c r="U67" s="87">
        <f t="shared" si="9"/>
        <v>3.41344235480629</v>
      </c>
      <c r="V67" s="87">
        <f t="shared" si="10"/>
        <v>0.12158582268250041</v>
      </c>
      <c r="W67" s="120">
        <f t="shared" si="11"/>
        <v>8.1057215121666942E-2</v>
      </c>
    </row>
    <row r="68" spans="2:23">
      <c r="B68" s="116">
        <f>Amnt_Deposited!B63</f>
        <v>2049</v>
      </c>
      <c r="C68" s="119">
        <f>Amnt_Deposited!F63</f>
        <v>0</v>
      </c>
      <c r="D68" s="453">
        <f>Dry_Matter_Content!G55</f>
        <v>0.56999999999999995</v>
      </c>
      <c r="E68" s="319">
        <f>MCF!R67</f>
        <v>0.8</v>
      </c>
      <c r="F68" s="87">
        <f t="shared" si="0"/>
        <v>0</v>
      </c>
      <c r="G68" s="87">
        <f t="shared" si="1"/>
        <v>0</v>
      </c>
      <c r="H68" s="87">
        <f t="shared" si="2"/>
        <v>0</v>
      </c>
      <c r="I68" s="87">
        <f t="shared" si="3"/>
        <v>0</v>
      </c>
      <c r="J68" s="87">
        <f t="shared" si="4"/>
        <v>0</v>
      </c>
      <c r="K68" s="120">
        <f t="shared" si="6"/>
        <v>0</v>
      </c>
      <c r="O68" s="116">
        <f>Amnt_Deposited!B63</f>
        <v>2049</v>
      </c>
      <c r="P68" s="119">
        <f>Amnt_Deposited!G63</f>
        <v>0</v>
      </c>
      <c r="Q68" s="319">
        <f>MCF!R67</f>
        <v>0.8</v>
      </c>
      <c r="R68" s="87">
        <f t="shared" si="5"/>
        <v>0</v>
      </c>
      <c r="S68" s="87">
        <f t="shared" si="7"/>
        <v>0</v>
      </c>
      <c r="T68" s="87">
        <f t="shared" si="8"/>
        <v>0</v>
      </c>
      <c r="U68" s="87">
        <f t="shared" si="9"/>
        <v>3.2960384258839355</v>
      </c>
      <c r="V68" s="87">
        <f t="shared" si="10"/>
        <v>0.11740392892235448</v>
      </c>
      <c r="W68" s="120">
        <f t="shared" si="11"/>
        <v>7.8269285948236317E-2</v>
      </c>
    </row>
    <row r="69" spans="2:23">
      <c r="B69" s="116">
        <f>Amnt_Deposited!B64</f>
        <v>2050</v>
      </c>
      <c r="C69" s="119">
        <f>Amnt_Deposited!F64</f>
        <v>0</v>
      </c>
      <c r="D69" s="453">
        <f>Dry_Matter_Content!G56</f>
        <v>0.56999999999999995</v>
      </c>
      <c r="E69" s="319">
        <f>MCF!R68</f>
        <v>0.8</v>
      </c>
      <c r="F69" s="87">
        <f t="shared" si="0"/>
        <v>0</v>
      </c>
      <c r="G69" s="87">
        <f t="shared" si="1"/>
        <v>0</v>
      </c>
      <c r="H69" s="87">
        <f t="shared" si="2"/>
        <v>0</v>
      </c>
      <c r="I69" s="87">
        <f t="shared" si="3"/>
        <v>0</v>
      </c>
      <c r="J69" s="87">
        <f t="shared" si="4"/>
        <v>0</v>
      </c>
      <c r="K69" s="120">
        <f t="shared" si="6"/>
        <v>0</v>
      </c>
      <c r="O69" s="116">
        <f>Amnt_Deposited!B64</f>
        <v>2050</v>
      </c>
      <c r="P69" s="119">
        <f>Amnt_Deposited!G64</f>
        <v>0</v>
      </c>
      <c r="Q69" s="319">
        <f>MCF!R68</f>
        <v>0.8</v>
      </c>
      <c r="R69" s="87">
        <f t="shared" si="5"/>
        <v>0</v>
      </c>
      <c r="S69" s="87">
        <f t="shared" si="7"/>
        <v>0</v>
      </c>
      <c r="T69" s="87">
        <f t="shared" si="8"/>
        <v>0</v>
      </c>
      <c r="U69" s="87">
        <f t="shared" si="9"/>
        <v>3.1826725562265916</v>
      </c>
      <c r="V69" s="87">
        <f t="shared" si="10"/>
        <v>0.11336586965734384</v>
      </c>
      <c r="W69" s="120">
        <f t="shared" si="11"/>
        <v>7.5577246438229218E-2</v>
      </c>
    </row>
    <row r="70" spans="2:23">
      <c r="B70" s="116">
        <f>Amnt_Deposited!B65</f>
        <v>2051</v>
      </c>
      <c r="C70" s="119">
        <f>Amnt_Deposited!F65</f>
        <v>0</v>
      </c>
      <c r="D70" s="453">
        <f>Dry_Matter_Content!G57</f>
        <v>0.56999999999999995</v>
      </c>
      <c r="E70" s="319">
        <f>MCF!R69</f>
        <v>0.8</v>
      </c>
      <c r="F70" s="87">
        <f t="shared" si="0"/>
        <v>0</v>
      </c>
      <c r="G70" s="87">
        <f t="shared" si="1"/>
        <v>0</v>
      </c>
      <c r="H70" s="87">
        <f t="shared" si="2"/>
        <v>0</v>
      </c>
      <c r="I70" s="87">
        <f t="shared" si="3"/>
        <v>0</v>
      </c>
      <c r="J70" s="87">
        <f t="shared" si="4"/>
        <v>0</v>
      </c>
      <c r="K70" s="120">
        <f t="shared" si="6"/>
        <v>0</v>
      </c>
      <c r="O70" s="116">
        <f>Amnt_Deposited!B65</f>
        <v>2051</v>
      </c>
      <c r="P70" s="119">
        <f>Amnt_Deposited!G65</f>
        <v>0</v>
      </c>
      <c r="Q70" s="319">
        <f>MCF!R69</f>
        <v>0.8</v>
      </c>
      <c r="R70" s="87">
        <f t="shared" si="5"/>
        <v>0</v>
      </c>
      <c r="S70" s="87">
        <f t="shared" si="7"/>
        <v>0</v>
      </c>
      <c r="T70" s="87">
        <f t="shared" si="8"/>
        <v>0</v>
      </c>
      <c r="U70" s="87">
        <f t="shared" si="9"/>
        <v>3.0732058584667112</v>
      </c>
      <c r="V70" s="87">
        <f t="shared" si="10"/>
        <v>0.10946669775988052</v>
      </c>
      <c r="W70" s="120">
        <f t="shared" si="11"/>
        <v>7.2977798506587005E-2</v>
      </c>
    </row>
    <row r="71" spans="2:23">
      <c r="B71" s="116">
        <f>Amnt_Deposited!B66</f>
        <v>2052</v>
      </c>
      <c r="C71" s="119">
        <f>Amnt_Deposited!F66</f>
        <v>0</v>
      </c>
      <c r="D71" s="453">
        <f>Dry_Matter_Content!G58</f>
        <v>0.56999999999999995</v>
      </c>
      <c r="E71" s="319">
        <f>MCF!R70</f>
        <v>0.8</v>
      </c>
      <c r="F71" s="87">
        <f t="shared" si="0"/>
        <v>0</v>
      </c>
      <c r="G71" s="87">
        <f t="shared" si="1"/>
        <v>0</v>
      </c>
      <c r="H71" s="87">
        <f t="shared" si="2"/>
        <v>0</v>
      </c>
      <c r="I71" s="87">
        <f t="shared" si="3"/>
        <v>0</v>
      </c>
      <c r="J71" s="87">
        <f t="shared" si="4"/>
        <v>0</v>
      </c>
      <c r="K71" s="120">
        <f t="shared" si="6"/>
        <v>0</v>
      </c>
      <c r="O71" s="116">
        <f>Amnt_Deposited!B66</f>
        <v>2052</v>
      </c>
      <c r="P71" s="119">
        <f>Amnt_Deposited!G66</f>
        <v>0</v>
      </c>
      <c r="Q71" s="319">
        <f>MCF!R70</f>
        <v>0.8</v>
      </c>
      <c r="R71" s="87">
        <f t="shared" si="5"/>
        <v>0</v>
      </c>
      <c r="S71" s="87">
        <f t="shared" si="7"/>
        <v>0</v>
      </c>
      <c r="T71" s="87">
        <f t="shared" si="8"/>
        <v>0</v>
      </c>
      <c r="U71" s="87">
        <f t="shared" si="9"/>
        <v>2.9675042222099406</v>
      </c>
      <c r="V71" s="87">
        <f t="shared" si="10"/>
        <v>0.10570163625677065</v>
      </c>
      <c r="W71" s="120">
        <f t="shared" si="11"/>
        <v>7.0467757504513756E-2</v>
      </c>
    </row>
    <row r="72" spans="2:23">
      <c r="B72" s="116">
        <f>Amnt_Deposited!B67</f>
        <v>2053</v>
      </c>
      <c r="C72" s="119">
        <f>Amnt_Deposited!F67</f>
        <v>0</v>
      </c>
      <c r="D72" s="453">
        <f>Dry_Matter_Content!G59</f>
        <v>0.56999999999999995</v>
      </c>
      <c r="E72" s="319">
        <f>MCF!R71</f>
        <v>0.8</v>
      </c>
      <c r="F72" s="87">
        <f t="shared" si="0"/>
        <v>0</v>
      </c>
      <c r="G72" s="87">
        <f t="shared" si="1"/>
        <v>0</v>
      </c>
      <c r="H72" s="87">
        <f t="shared" si="2"/>
        <v>0</v>
      </c>
      <c r="I72" s="87">
        <f t="shared" si="3"/>
        <v>0</v>
      </c>
      <c r="J72" s="87">
        <f t="shared" si="4"/>
        <v>0</v>
      </c>
      <c r="K72" s="120">
        <f t="shared" si="6"/>
        <v>0</v>
      </c>
      <c r="O72" s="116">
        <f>Amnt_Deposited!B67</f>
        <v>2053</v>
      </c>
      <c r="P72" s="119">
        <f>Amnt_Deposited!G67</f>
        <v>0</v>
      </c>
      <c r="Q72" s="319">
        <f>MCF!R71</f>
        <v>0.8</v>
      </c>
      <c r="R72" s="87">
        <f t="shared" si="5"/>
        <v>0</v>
      </c>
      <c r="S72" s="87">
        <f t="shared" si="7"/>
        <v>0</v>
      </c>
      <c r="T72" s="87">
        <f t="shared" si="8"/>
        <v>0</v>
      </c>
      <c r="U72" s="87">
        <f t="shared" si="9"/>
        <v>2.8654381497331158</v>
      </c>
      <c r="V72" s="87">
        <f t="shared" si="10"/>
        <v>0.10206607247682491</v>
      </c>
      <c r="W72" s="120">
        <f t="shared" si="11"/>
        <v>6.8044048317883271E-2</v>
      </c>
    </row>
    <row r="73" spans="2:23">
      <c r="B73" s="116">
        <f>Amnt_Deposited!B68</f>
        <v>2054</v>
      </c>
      <c r="C73" s="119">
        <f>Amnt_Deposited!F68</f>
        <v>0</v>
      </c>
      <c r="D73" s="453">
        <f>Dry_Matter_Content!G60</f>
        <v>0.56999999999999995</v>
      </c>
      <c r="E73" s="319">
        <f>MCF!R72</f>
        <v>0.8</v>
      </c>
      <c r="F73" s="87">
        <f t="shared" si="0"/>
        <v>0</v>
      </c>
      <c r="G73" s="87">
        <f t="shared" si="1"/>
        <v>0</v>
      </c>
      <c r="H73" s="87">
        <f t="shared" si="2"/>
        <v>0</v>
      </c>
      <c r="I73" s="87">
        <f t="shared" si="3"/>
        <v>0</v>
      </c>
      <c r="J73" s="87">
        <f t="shared" si="4"/>
        <v>0</v>
      </c>
      <c r="K73" s="120">
        <f t="shared" si="6"/>
        <v>0</v>
      </c>
      <c r="O73" s="116">
        <f>Amnt_Deposited!B68</f>
        <v>2054</v>
      </c>
      <c r="P73" s="119">
        <f>Amnt_Deposited!G68</f>
        <v>0</v>
      </c>
      <c r="Q73" s="319">
        <f>MCF!R72</f>
        <v>0.8</v>
      </c>
      <c r="R73" s="87">
        <f t="shared" si="5"/>
        <v>0</v>
      </c>
      <c r="S73" s="87">
        <f t="shared" si="7"/>
        <v>0</v>
      </c>
      <c r="T73" s="87">
        <f t="shared" si="8"/>
        <v>0</v>
      </c>
      <c r="U73" s="87">
        <f t="shared" si="9"/>
        <v>2.7668825973333564</v>
      </c>
      <c r="V73" s="87">
        <f t="shared" si="10"/>
        <v>9.8555552399759466E-2</v>
      </c>
      <c r="W73" s="120">
        <f t="shared" si="11"/>
        <v>6.570370159983964E-2</v>
      </c>
    </row>
    <row r="74" spans="2:23">
      <c r="B74" s="116">
        <f>Amnt_Deposited!B69</f>
        <v>2055</v>
      </c>
      <c r="C74" s="119">
        <f>Amnt_Deposited!F69</f>
        <v>0</v>
      </c>
      <c r="D74" s="453">
        <f>Dry_Matter_Content!G61</f>
        <v>0.56999999999999995</v>
      </c>
      <c r="E74" s="319">
        <f>MCF!R73</f>
        <v>0.8</v>
      </c>
      <c r="F74" s="87">
        <f t="shared" si="0"/>
        <v>0</v>
      </c>
      <c r="G74" s="87">
        <f t="shared" si="1"/>
        <v>0</v>
      </c>
      <c r="H74" s="87">
        <f t="shared" si="2"/>
        <v>0</v>
      </c>
      <c r="I74" s="87">
        <f t="shared" si="3"/>
        <v>0</v>
      </c>
      <c r="J74" s="87">
        <f t="shared" si="4"/>
        <v>0</v>
      </c>
      <c r="K74" s="120">
        <f t="shared" si="6"/>
        <v>0</v>
      </c>
      <c r="O74" s="116">
        <f>Amnt_Deposited!B69</f>
        <v>2055</v>
      </c>
      <c r="P74" s="119">
        <f>Amnt_Deposited!G69</f>
        <v>0</v>
      </c>
      <c r="Q74" s="319">
        <f>MCF!R73</f>
        <v>0.8</v>
      </c>
      <c r="R74" s="87">
        <f t="shared" si="5"/>
        <v>0</v>
      </c>
      <c r="S74" s="87">
        <f t="shared" si="7"/>
        <v>0</v>
      </c>
      <c r="T74" s="87">
        <f t="shared" si="8"/>
        <v>0</v>
      </c>
      <c r="U74" s="87">
        <f t="shared" si="9"/>
        <v>2.6717168221338921</v>
      </c>
      <c r="V74" s="87">
        <f t="shared" si="10"/>
        <v>9.5165775199464134E-2</v>
      </c>
      <c r="W74" s="120">
        <f t="shared" si="11"/>
        <v>6.3443850132976085E-2</v>
      </c>
    </row>
    <row r="75" spans="2:23">
      <c r="B75" s="116">
        <f>Amnt_Deposited!B70</f>
        <v>2056</v>
      </c>
      <c r="C75" s="119">
        <f>Amnt_Deposited!F70</f>
        <v>0</v>
      </c>
      <c r="D75" s="453">
        <f>Dry_Matter_Content!G62</f>
        <v>0.56999999999999995</v>
      </c>
      <c r="E75" s="319">
        <f>MCF!R74</f>
        <v>0.8</v>
      </c>
      <c r="F75" s="87">
        <f t="shared" si="0"/>
        <v>0</v>
      </c>
      <c r="G75" s="87">
        <f t="shared" si="1"/>
        <v>0</v>
      </c>
      <c r="H75" s="87">
        <f t="shared" si="2"/>
        <v>0</v>
      </c>
      <c r="I75" s="87">
        <f t="shared" si="3"/>
        <v>0</v>
      </c>
      <c r="J75" s="87">
        <f t="shared" si="4"/>
        <v>0</v>
      </c>
      <c r="K75" s="120">
        <f t="shared" si="6"/>
        <v>0</v>
      </c>
      <c r="O75" s="116">
        <f>Amnt_Deposited!B70</f>
        <v>2056</v>
      </c>
      <c r="P75" s="119">
        <f>Amnt_Deposited!G70</f>
        <v>0</v>
      </c>
      <c r="Q75" s="319">
        <f>MCF!R74</f>
        <v>0.8</v>
      </c>
      <c r="R75" s="87">
        <f t="shared" si="5"/>
        <v>0</v>
      </c>
      <c r="S75" s="87">
        <f t="shared" si="7"/>
        <v>0</v>
      </c>
      <c r="T75" s="87">
        <f t="shared" si="8"/>
        <v>0</v>
      </c>
      <c r="U75" s="87">
        <f t="shared" si="9"/>
        <v>2.5798242341589397</v>
      </c>
      <c r="V75" s="87">
        <f t="shared" si="10"/>
        <v>9.1892587974952561E-2</v>
      </c>
      <c r="W75" s="120">
        <f t="shared" si="11"/>
        <v>6.1261725316635041E-2</v>
      </c>
    </row>
    <row r="76" spans="2:23">
      <c r="B76" s="116">
        <f>Amnt_Deposited!B71</f>
        <v>2057</v>
      </c>
      <c r="C76" s="119">
        <f>Amnt_Deposited!F71</f>
        <v>0</v>
      </c>
      <c r="D76" s="453">
        <f>Dry_Matter_Content!G63</f>
        <v>0.56999999999999995</v>
      </c>
      <c r="E76" s="319">
        <f>MCF!R75</f>
        <v>0.8</v>
      </c>
      <c r="F76" s="87">
        <f t="shared" si="0"/>
        <v>0</v>
      </c>
      <c r="G76" s="87">
        <f t="shared" si="1"/>
        <v>0</v>
      </c>
      <c r="H76" s="87">
        <f t="shared" si="2"/>
        <v>0</v>
      </c>
      <c r="I76" s="87">
        <f t="shared" si="3"/>
        <v>0</v>
      </c>
      <c r="J76" s="87">
        <f t="shared" si="4"/>
        <v>0</v>
      </c>
      <c r="K76" s="120">
        <f t="shared" si="6"/>
        <v>0</v>
      </c>
      <c r="O76" s="116">
        <f>Amnt_Deposited!B71</f>
        <v>2057</v>
      </c>
      <c r="P76" s="119">
        <f>Amnt_Deposited!G71</f>
        <v>0</v>
      </c>
      <c r="Q76" s="319">
        <f>MCF!R75</f>
        <v>0.8</v>
      </c>
      <c r="R76" s="87">
        <f t="shared" si="5"/>
        <v>0</v>
      </c>
      <c r="S76" s="87">
        <f t="shared" si="7"/>
        <v>0</v>
      </c>
      <c r="T76" s="87">
        <f t="shared" si="8"/>
        <v>0</v>
      </c>
      <c r="U76" s="87">
        <f t="shared" si="9"/>
        <v>2.4910922534964004</v>
      </c>
      <c r="V76" s="87">
        <f t="shared" si="10"/>
        <v>8.8731980662539123E-2</v>
      </c>
      <c r="W76" s="120">
        <f t="shared" si="11"/>
        <v>5.915465377502608E-2</v>
      </c>
    </row>
    <row r="77" spans="2:23">
      <c r="B77" s="116">
        <f>Amnt_Deposited!B72</f>
        <v>2058</v>
      </c>
      <c r="C77" s="119">
        <f>Amnt_Deposited!F72</f>
        <v>0</v>
      </c>
      <c r="D77" s="453">
        <f>Dry_Matter_Content!G64</f>
        <v>0.56999999999999995</v>
      </c>
      <c r="E77" s="319">
        <f>MCF!R76</f>
        <v>0.8</v>
      </c>
      <c r="F77" s="87">
        <f t="shared" si="0"/>
        <v>0</v>
      </c>
      <c r="G77" s="87">
        <f t="shared" si="1"/>
        <v>0</v>
      </c>
      <c r="H77" s="87">
        <f t="shared" si="2"/>
        <v>0</v>
      </c>
      <c r="I77" s="87">
        <f t="shared" si="3"/>
        <v>0</v>
      </c>
      <c r="J77" s="87">
        <f t="shared" si="4"/>
        <v>0</v>
      </c>
      <c r="K77" s="120">
        <f t="shared" si="6"/>
        <v>0</v>
      </c>
      <c r="O77" s="116">
        <f>Amnt_Deposited!B72</f>
        <v>2058</v>
      </c>
      <c r="P77" s="119">
        <f>Amnt_Deposited!G72</f>
        <v>0</v>
      </c>
      <c r="Q77" s="319">
        <f>MCF!R76</f>
        <v>0.8</v>
      </c>
      <c r="R77" s="87">
        <f t="shared" si="5"/>
        <v>0</v>
      </c>
      <c r="S77" s="87">
        <f t="shared" si="7"/>
        <v>0</v>
      </c>
      <c r="T77" s="87">
        <f t="shared" si="8"/>
        <v>0</v>
      </c>
      <c r="U77" s="87">
        <f t="shared" si="9"/>
        <v>2.4054121723733908</v>
      </c>
      <c r="V77" s="87">
        <f t="shared" si="10"/>
        <v>8.5680081123009413E-2</v>
      </c>
      <c r="W77" s="120">
        <f t="shared" si="11"/>
        <v>5.7120054082006273E-2</v>
      </c>
    </row>
    <row r="78" spans="2:23">
      <c r="B78" s="116">
        <f>Amnt_Deposited!B73</f>
        <v>2059</v>
      </c>
      <c r="C78" s="119">
        <f>Amnt_Deposited!F73</f>
        <v>0</v>
      </c>
      <c r="D78" s="453">
        <f>Dry_Matter_Content!G65</f>
        <v>0.56999999999999995</v>
      </c>
      <c r="E78" s="319">
        <f>MCF!R77</f>
        <v>0.8</v>
      </c>
      <c r="F78" s="87">
        <f t="shared" si="0"/>
        <v>0</v>
      </c>
      <c r="G78" s="87">
        <f t="shared" si="1"/>
        <v>0</v>
      </c>
      <c r="H78" s="87">
        <f t="shared" si="2"/>
        <v>0</v>
      </c>
      <c r="I78" s="87">
        <f t="shared" si="3"/>
        <v>0</v>
      </c>
      <c r="J78" s="87">
        <f t="shared" si="4"/>
        <v>0</v>
      </c>
      <c r="K78" s="120">
        <f t="shared" si="6"/>
        <v>0</v>
      </c>
      <c r="O78" s="116">
        <f>Amnt_Deposited!B73</f>
        <v>2059</v>
      </c>
      <c r="P78" s="119">
        <f>Amnt_Deposited!G73</f>
        <v>0</v>
      </c>
      <c r="Q78" s="319">
        <f>MCF!R77</f>
        <v>0.8</v>
      </c>
      <c r="R78" s="87">
        <f t="shared" si="5"/>
        <v>0</v>
      </c>
      <c r="S78" s="87">
        <f t="shared" si="7"/>
        <v>0</v>
      </c>
      <c r="T78" s="87">
        <f t="shared" si="8"/>
        <v>0</v>
      </c>
      <c r="U78" s="87">
        <f t="shared" si="9"/>
        <v>2.3226790219756253</v>
      </c>
      <c r="V78" s="87">
        <f t="shared" si="10"/>
        <v>8.2733150397765562E-2</v>
      </c>
      <c r="W78" s="120">
        <f t="shared" si="11"/>
        <v>5.515543359851037E-2</v>
      </c>
    </row>
    <row r="79" spans="2:23">
      <c r="B79" s="116">
        <f>Amnt_Deposited!B74</f>
        <v>2060</v>
      </c>
      <c r="C79" s="119">
        <f>Amnt_Deposited!F74</f>
        <v>0</v>
      </c>
      <c r="D79" s="453">
        <f>Dry_Matter_Content!G66</f>
        <v>0.56999999999999995</v>
      </c>
      <c r="E79" s="319">
        <f>MCF!R78</f>
        <v>0.8</v>
      </c>
      <c r="F79" s="87">
        <f t="shared" si="0"/>
        <v>0</v>
      </c>
      <c r="G79" s="87">
        <f t="shared" si="1"/>
        <v>0</v>
      </c>
      <c r="H79" s="87">
        <f t="shared" si="2"/>
        <v>0</v>
      </c>
      <c r="I79" s="87">
        <f t="shared" si="3"/>
        <v>0</v>
      </c>
      <c r="J79" s="87">
        <f t="shared" si="4"/>
        <v>0</v>
      </c>
      <c r="K79" s="120">
        <f t="shared" si="6"/>
        <v>0</v>
      </c>
      <c r="O79" s="116">
        <f>Amnt_Deposited!B74</f>
        <v>2060</v>
      </c>
      <c r="P79" s="119">
        <f>Amnt_Deposited!G74</f>
        <v>0</v>
      </c>
      <c r="Q79" s="319">
        <f>MCF!R78</f>
        <v>0.8</v>
      </c>
      <c r="R79" s="87">
        <f t="shared" si="5"/>
        <v>0</v>
      </c>
      <c r="S79" s="87">
        <f t="shared" si="7"/>
        <v>0</v>
      </c>
      <c r="T79" s="87">
        <f t="shared" si="8"/>
        <v>0</v>
      </c>
      <c r="U79" s="87">
        <f t="shared" si="9"/>
        <v>2.2427914438474912</v>
      </c>
      <c r="V79" s="87">
        <f t="shared" si="10"/>
        <v>7.9887578128134268E-2</v>
      </c>
      <c r="W79" s="120">
        <f t="shared" si="11"/>
        <v>5.3258385418756174E-2</v>
      </c>
    </row>
    <row r="80" spans="2:23">
      <c r="B80" s="116">
        <f>Amnt_Deposited!B75</f>
        <v>2061</v>
      </c>
      <c r="C80" s="119">
        <f>Amnt_Deposited!F75</f>
        <v>0</v>
      </c>
      <c r="D80" s="453">
        <f>Dry_Matter_Content!G67</f>
        <v>0.56999999999999995</v>
      </c>
      <c r="E80" s="319">
        <f>MCF!R79</f>
        <v>0.8</v>
      </c>
      <c r="F80" s="87">
        <f t="shared" si="0"/>
        <v>0</v>
      </c>
      <c r="G80" s="87">
        <f t="shared" si="1"/>
        <v>0</v>
      </c>
      <c r="H80" s="87">
        <f t="shared" si="2"/>
        <v>0</v>
      </c>
      <c r="I80" s="87">
        <f t="shared" si="3"/>
        <v>0</v>
      </c>
      <c r="J80" s="87">
        <f t="shared" si="4"/>
        <v>0</v>
      </c>
      <c r="K80" s="120">
        <f t="shared" si="6"/>
        <v>0</v>
      </c>
      <c r="O80" s="116">
        <f>Amnt_Deposited!B75</f>
        <v>2061</v>
      </c>
      <c r="P80" s="119">
        <f>Amnt_Deposited!G75</f>
        <v>0</v>
      </c>
      <c r="Q80" s="319">
        <f>MCF!R79</f>
        <v>0.8</v>
      </c>
      <c r="R80" s="87">
        <f t="shared" si="5"/>
        <v>0</v>
      </c>
      <c r="S80" s="87">
        <f t="shared" si="7"/>
        <v>0</v>
      </c>
      <c r="T80" s="87">
        <f t="shared" si="8"/>
        <v>0</v>
      </c>
      <c r="U80" s="87">
        <f t="shared" si="9"/>
        <v>2.1656515657152653</v>
      </c>
      <c r="V80" s="87">
        <f t="shared" si="10"/>
        <v>7.7139878132225961E-2</v>
      </c>
      <c r="W80" s="120">
        <f t="shared" si="11"/>
        <v>5.142658542148397E-2</v>
      </c>
    </row>
    <row r="81" spans="2:23">
      <c r="B81" s="116">
        <f>Amnt_Deposited!B76</f>
        <v>2062</v>
      </c>
      <c r="C81" s="119">
        <f>Amnt_Deposited!F76</f>
        <v>0</v>
      </c>
      <c r="D81" s="453">
        <f>Dry_Matter_Content!G68</f>
        <v>0.56999999999999995</v>
      </c>
      <c r="E81" s="319">
        <f>MCF!R80</f>
        <v>0.8</v>
      </c>
      <c r="F81" s="87">
        <f t="shared" si="0"/>
        <v>0</v>
      </c>
      <c r="G81" s="87">
        <f t="shared" si="1"/>
        <v>0</v>
      </c>
      <c r="H81" s="87">
        <f t="shared" si="2"/>
        <v>0</v>
      </c>
      <c r="I81" s="87">
        <f t="shared" si="3"/>
        <v>0</v>
      </c>
      <c r="J81" s="87">
        <f t="shared" si="4"/>
        <v>0</v>
      </c>
      <c r="K81" s="120">
        <f t="shared" si="6"/>
        <v>0</v>
      </c>
      <c r="O81" s="116">
        <f>Amnt_Deposited!B76</f>
        <v>2062</v>
      </c>
      <c r="P81" s="119">
        <f>Amnt_Deposited!G76</f>
        <v>0</v>
      </c>
      <c r="Q81" s="319">
        <f>MCF!R80</f>
        <v>0.8</v>
      </c>
      <c r="R81" s="87">
        <f t="shared" si="5"/>
        <v>0</v>
      </c>
      <c r="S81" s="87">
        <f t="shared" si="7"/>
        <v>0</v>
      </c>
      <c r="T81" s="87">
        <f t="shared" si="8"/>
        <v>0</v>
      </c>
      <c r="U81" s="87">
        <f t="shared" si="9"/>
        <v>2.0911648815813395</v>
      </c>
      <c r="V81" s="87">
        <f t="shared" si="10"/>
        <v>7.4486684133926007E-2</v>
      </c>
      <c r="W81" s="120">
        <f t="shared" si="11"/>
        <v>4.9657789422617338E-2</v>
      </c>
    </row>
    <row r="82" spans="2:23">
      <c r="B82" s="116">
        <f>Amnt_Deposited!B77</f>
        <v>2063</v>
      </c>
      <c r="C82" s="119">
        <f>Amnt_Deposited!F77</f>
        <v>0</v>
      </c>
      <c r="D82" s="453">
        <f>Dry_Matter_Content!G69</f>
        <v>0.56999999999999995</v>
      </c>
      <c r="E82" s="319">
        <f>MCF!R81</f>
        <v>0.8</v>
      </c>
      <c r="F82" s="87">
        <f t="shared" si="0"/>
        <v>0</v>
      </c>
      <c r="G82" s="87">
        <f t="shared" si="1"/>
        <v>0</v>
      </c>
      <c r="H82" s="87">
        <f t="shared" si="2"/>
        <v>0</v>
      </c>
      <c r="I82" s="87">
        <f t="shared" si="3"/>
        <v>0</v>
      </c>
      <c r="J82" s="87">
        <f t="shared" si="4"/>
        <v>0</v>
      </c>
      <c r="K82" s="120">
        <f t="shared" si="6"/>
        <v>0</v>
      </c>
      <c r="O82" s="116">
        <f>Amnt_Deposited!B77</f>
        <v>2063</v>
      </c>
      <c r="P82" s="119">
        <f>Amnt_Deposited!G77</f>
        <v>0</v>
      </c>
      <c r="Q82" s="319">
        <f>MCF!R81</f>
        <v>0.8</v>
      </c>
      <c r="R82" s="87">
        <f t="shared" si="5"/>
        <v>0</v>
      </c>
      <c r="S82" s="87">
        <f t="shared" si="7"/>
        <v>0</v>
      </c>
      <c r="T82" s="87">
        <f t="shared" si="8"/>
        <v>0</v>
      </c>
      <c r="U82" s="87">
        <f t="shared" si="9"/>
        <v>2.019240135942554</v>
      </c>
      <c r="V82" s="87">
        <f t="shared" si="10"/>
        <v>7.1924745638785495E-2</v>
      </c>
      <c r="W82" s="120">
        <f t="shared" si="11"/>
        <v>4.7949830425856994E-2</v>
      </c>
    </row>
    <row r="83" spans="2:23">
      <c r="B83" s="116">
        <f>Amnt_Deposited!B78</f>
        <v>2064</v>
      </c>
      <c r="C83" s="119">
        <f>Amnt_Deposited!F78</f>
        <v>0</v>
      </c>
      <c r="D83" s="453">
        <f>Dry_Matter_Content!G70</f>
        <v>0.56999999999999995</v>
      </c>
      <c r="E83" s="319">
        <f>MCF!R82</f>
        <v>0.8</v>
      </c>
      <c r="F83" s="87">
        <f t="shared" ref="F83:F99" si="12">C83*D83*$K$6*DOCF*E83</f>
        <v>0</v>
      </c>
      <c r="G83" s="87">
        <f t="shared" ref="G83:G99" si="13">F83*$K$12</f>
        <v>0</v>
      </c>
      <c r="H83" s="87">
        <f t="shared" ref="H83:H99" si="14">F83*(1-$K$12)</f>
        <v>0</v>
      </c>
      <c r="I83" s="87">
        <f t="shared" ref="I83:I99" si="15">G83+I82*$K$10</f>
        <v>0</v>
      </c>
      <c r="J83" s="87">
        <f t="shared" ref="J83:J99" si="16">I82*(1-$K$10)+H83</f>
        <v>0</v>
      </c>
      <c r="K83" s="120">
        <f t="shared" si="6"/>
        <v>0</v>
      </c>
      <c r="O83" s="116">
        <f>Amnt_Deposited!B78</f>
        <v>2064</v>
      </c>
      <c r="P83" s="119">
        <f>Amnt_Deposited!G78</f>
        <v>0</v>
      </c>
      <c r="Q83" s="319">
        <f>MCF!R82</f>
        <v>0.8</v>
      </c>
      <c r="R83" s="87">
        <f t="shared" ref="R83:R99" si="17">P83*$W$6*DOCF*Q83</f>
        <v>0</v>
      </c>
      <c r="S83" s="87">
        <f t="shared" si="7"/>
        <v>0</v>
      </c>
      <c r="T83" s="87">
        <f t="shared" si="8"/>
        <v>0</v>
      </c>
      <c r="U83" s="87">
        <f t="shared" si="9"/>
        <v>1.9497892119907949</v>
      </c>
      <c r="V83" s="87">
        <f t="shared" si="10"/>
        <v>6.9450923951759058E-2</v>
      </c>
      <c r="W83" s="120">
        <f t="shared" si="11"/>
        <v>4.6300615967839368E-2</v>
      </c>
    </row>
    <row r="84" spans="2:23">
      <c r="B84" s="116">
        <f>Amnt_Deposited!B79</f>
        <v>2065</v>
      </c>
      <c r="C84" s="119">
        <f>Amnt_Deposited!F79</f>
        <v>0</v>
      </c>
      <c r="D84" s="453">
        <f>Dry_Matter_Content!G71</f>
        <v>0.56999999999999995</v>
      </c>
      <c r="E84" s="319">
        <f>MCF!R83</f>
        <v>0.8</v>
      </c>
      <c r="F84" s="87">
        <f t="shared" si="12"/>
        <v>0</v>
      </c>
      <c r="G84" s="87">
        <f t="shared" si="13"/>
        <v>0</v>
      </c>
      <c r="H84" s="87">
        <f t="shared" si="14"/>
        <v>0</v>
      </c>
      <c r="I84" s="87">
        <f t="shared" si="15"/>
        <v>0</v>
      </c>
      <c r="J84" s="87">
        <f t="shared" si="16"/>
        <v>0</v>
      </c>
      <c r="K84" s="120">
        <f t="shared" si="6"/>
        <v>0</v>
      </c>
      <c r="O84" s="116">
        <f>Amnt_Deposited!B79</f>
        <v>2065</v>
      </c>
      <c r="P84" s="119">
        <f>Amnt_Deposited!G79</f>
        <v>0</v>
      </c>
      <c r="Q84" s="319">
        <f>MCF!R83</f>
        <v>0.8</v>
      </c>
      <c r="R84" s="87">
        <f t="shared" si="17"/>
        <v>0</v>
      </c>
      <c r="S84" s="87">
        <f t="shared" si="7"/>
        <v>0</v>
      </c>
      <c r="T84" s="87">
        <f t="shared" si="8"/>
        <v>0</v>
      </c>
      <c r="U84" s="87">
        <f t="shared" si="9"/>
        <v>1.882727023658884</v>
      </c>
      <c r="V84" s="87">
        <f t="shared" si="10"/>
        <v>6.7062188331910896E-2</v>
      </c>
      <c r="W84" s="120">
        <f t="shared" si="11"/>
        <v>4.4708125554607264E-2</v>
      </c>
    </row>
    <row r="85" spans="2:23">
      <c r="B85" s="116">
        <f>Amnt_Deposited!B80</f>
        <v>2066</v>
      </c>
      <c r="C85" s="119">
        <f>Amnt_Deposited!F80</f>
        <v>0</v>
      </c>
      <c r="D85" s="453">
        <f>Dry_Matter_Content!G72</f>
        <v>0.56999999999999995</v>
      </c>
      <c r="E85" s="319">
        <f>MCF!R84</f>
        <v>0.8</v>
      </c>
      <c r="F85" s="87">
        <f t="shared" si="12"/>
        <v>0</v>
      </c>
      <c r="G85" s="87">
        <f t="shared" si="13"/>
        <v>0</v>
      </c>
      <c r="H85" s="87">
        <f t="shared" si="14"/>
        <v>0</v>
      </c>
      <c r="I85" s="87">
        <f t="shared" si="15"/>
        <v>0</v>
      </c>
      <c r="J85" s="87">
        <f t="shared" si="16"/>
        <v>0</v>
      </c>
      <c r="K85" s="120">
        <f t="shared" ref="K85:K99" si="18">J85*CH4_fraction*conv</f>
        <v>0</v>
      </c>
      <c r="O85" s="116">
        <f>Amnt_Deposited!B80</f>
        <v>2066</v>
      </c>
      <c r="P85" s="119">
        <f>Amnt_Deposited!G80</f>
        <v>0</v>
      </c>
      <c r="Q85" s="319">
        <f>MCF!R84</f>
        <v>0.8</v>
      </c>
      <c r="R85" s="87">
        <f t="shared" si="17"/>
        <v>0</v>
      </c>
      <c r="S85" s="87">
        <f t="shared" ref="S85:S98" si="19">R85*$W$12</f>
        <v>0</v>
      </c>
      <c r="T85" s="87">
        <f t="shared" ref="T85:T98" si="20">R85*(1-$W$12)</f>
        <v>0</v>
      </c>
      <c r="U85" s="87">
        <f t="shared" ref="U85:U98" si="21">S85+U84*$W$10</f>
        <v>1.8179714113795058</v>
      </c>
      <c r="V85" s="87">
        <f t="shared" ref="V85:V98" si="22">U84*(1-$W$10)+T85</f>
        <v>6.4755612279378136E-2</v>
      </c>
      <c r="W85" s="120">
        <f t="shared" ref="W85:W99" si="23">V85*CH4_fraction*conv</f>
        <v>4.3170408186252091E-2</v>
      </c>
    </row>
    <row r="86" spans="2:23">
      <c r="B86" s="116">
        <f>Amnt_Deposited!B81</f>
        <v>2067</v>
      </c>
      <c r="C86" s="119">
        <f>Amnt_Deposited!F81</f>
        <v>0</v>
      </c>
      <c r="D86" s="453">
        <f>Dry_Matter_Content!G73</f>
        <v>0.56999999999999995</v>
      </c>
      <c r="E86" s="319">
        <f>MCF!R85</f>
        <v>0.8</v>
      </c>
      <c r="F86" s="87">
        <f t="shared" si="12"/>
        <v>0</v>
      </c>
      <c r="G86" s="87">
        <f t="shared" si="13"/>
        <v>0</v>
      </c>
      <c r="H86" s="87">
        <f t="shared" si="14"/>
        <v>0</v>
      </c>
      <c r="I86" s="87">
        <f t="shared" si="15"/>
        <v>0</v>
      </c>
      <c r="J86" s="87">
        <f t="shared" si="16"/>
        <v>0</v>
      </c>
      <c r="K86" s="120">
        <f t="shared" si="18"/>
        <v>0</v>
      </c>
      <c r="O86" s="116">
        <f>Amnt_Deposited!B81</f>
        <v>2067</v>
      </c>
      <c r="P86" s="119">
        <f>Amnt_Deposited!G81</f>
        <v>0</v>
      </c>
      <c r="Q86" s="319">
        <f>MCF!R85</f>
        <v>0.8</v>
      </c>
      <c r="R86" s="87">
        <f t="shared" si="17"/>
        <v>0</v>
      </c>
      <c r="S86" s="87">
        <f t="shared" si="19"/>
        <v>0</v>
      </c>
      <c r="T86" s="87">
        <f t="shared" si="20"/>
        <v>0</v>
      </c>
      <c r="U86" s="87">
        <f t="shared" si="21"/>
        <v>1.7554430414294633</v>
      </c>
      <c r="V86" s="87">
        <f t="shared" si="22"/>
        <v>6.2528369950042503E-2</v>
      </c>
      <c r="W86" s="120">
        <f t="shared" si="23"/>
        <v>4.1685579966695002E-2</v>
      </c>
    </row>
    <row r="87" spans="2:23">
      <c r="B87" s="116">
        <f>Amnt_Deposited!B82</f>
        <v>2068</v>
      </c>
      <c r="C87" s="119">
        <f>Amnt_Deposited!F82</f>
        <v>0</v>
      </c>
      <c r="D87" s="453">
        <f>Dry_Matter_Content!G74</f>
        <v>0.56999999999999995</v>
      </c>
      <c r="E87" s="319">
        <f>MCF!R86</f>
        <v>0.8</v>
      </c>
      <c r="F87" s="87">
        <f t="shared" si="12"/>
        <v>0</v>
      </c>
      <c r="G87" s="87">
        <f t="shared" si="13"/>
        <v>0</v>
      </c>
      <c r="H87" s="87">
        <f t="shared" si="14"/>
        <v>0</v>
      </c>
      <c r="I87" s="87">
        <f t="shared" si="15"/>
        <v>0</v>
      </c>
      <c r="J87" s="87">
        <f t="shared" si="16"/>
        <v>0</v>
      </c>
      <c r="K87" s="120">
        <f t="shared" si="18"/>
        <v>0</v>
      </c>
      <c r="O87" s="116">
        <f>Amnt_Deposited!B82</f>
        <v>2068</v>
      </c>
      <c r="P87" s="119">
        <f>Amnt_Deposited!G82</f>
        <v>0</v>
      </c>
      <c r="Q87" s="319">
        <f>MCF!R86</f>
        <v>0.8</v>
      </c>
      <c r="R87" s="87">
        <f t="shared" si="17"/>
        <v>0</v>
      </c>
      <c r="S87" s="87">
        <f t="shared" si="19"/>
        <v>0</v>
      </c>
      <c r="T87" s="87">
        <f t="shared" si="20"/>
        <v>0</v>
      </c>
      <c r="U87" s="87">
        <f t="shared" si="21"/>
        <v>1.6950653087359453</v>
      </c>
      <c r="V87" s="87">
        <f t="shared" si="22"/>
        <v>6.0377732693517899E-2</v>
      </c>
      <c r="W87" s="120">
        <f t="shared" si="23"/>
        <v>4.02518217956786E-2</v>
      </c>
    </row>
    <row r="88" spans="2:23">
      <c r="B88" s="116">
        <f>Amnt_Deposited!B83</f>
        <v>2069</v>
      </c>
      <c r="C88" s="119">
        <f>Amnt_Deposited!F83</f>
        <v>0</v>
      </c>
      <c r="D88" s="453">
        <f>Dry_Matter_Content!G75</f>
        <v>0.56999999999999995</v>
      </c>
      <c r="E88" s="319">
        <f>MCF!R87</f>
        <v>0.8</v>
      </c>
      <c r="F88" s="87">
        <f t="shared" si="12"/>
        <v>0</v>
      </c>
      <c r="G88" s="87">
        <f t="shared" si="13"/>
        <v>0</v>
      </c>
      <c r="H88" s="87">
        <f t="shared" si="14"/>
        <v>0</v>
      </c>
      <c r="I88" s="87">
        <f t="shared" si="15"/>
        <v>0</v>
      </c>
      <c r="J88" s="87">
        <f t="shared" si="16"/>
        <v>0</v>
      </c>
      <c r="K88" s="120">
        <f t="shared" si="18"/>
        <v>0</v>
      </c>
      <c r="O88" s="116">
        <f>Amnt_Deposited!B83</f>
        <v>2069</v>
      </c>
      <c r="P88" s="119">
        <f>Amnt_Deposited!G83</f>
        <v>0</v>
      </c>
      <c r="Q88" s="319">
        <f>MCF!R87</f>
        <v>0.8</v>
      </c>
      <c r="R88" s="87">
        <f t="shared" si="17"/>
        <v>0</v>
      </c>
      <c r="S88" s="87">
        <f t="shared" si="19"/>
        <v>0</v>
      </c>
      <c r="T88" s="87">
        <f t="shared" si="20"/>
        <v>0</v>
      </c>
      <c r="U88" s="87">
        <f t="shared" si="21"/>
        <v>1.636764243025733</v>
      </c>
      <c r="V88" s="87">
        <f t="shared" si="22"/>
        <v>5.830106571021243E-2</v>
      </c>
      <c r="W88" s="120">
        <f t="shared" si="23"/>
        <v>3.8867377140141615E-2</v>
      </c>
    </row>
    <row r="89" spans="2:23">
      <c r="B89" s="116">
        <f>Amnt_Deposited!B84</f>
        <v>2070</v>
      </c>
      <c r="C89" s="119">
        <f>Amnt_Deposited!F84</f>
        <v>0</v>
      </c>
      <c r="D89" s="453">
        <f>Dry_Matter_Content!G76</f>
        <v>0.56999999999999995</v>
      </c>
      <c r="E89" s="319">
        <f>MCF!R88</f>
        <v>0.8</v>
      </c>
      <c r="F89" s="87">
        <f t="shared" si="12"/>
        <v>0</v>
      </c>
      <c r="G89" s="87">
        <f t="shared" si="13"/>
        <v>0</v>
      </c>
      <c r="H89" s="87">
        <f t="shared" si="14"/>
        <v>0</v>
      </c>
      <c r="I89" s="87">
        <f t="shared" si="15"/>
        <v>0</v>
      </c>
      <c r="J89" s="87">
        <f t="shared" si="16"/>
        <v>0</v>
      </c>
      <c r="K89" s="120">
        <f t="shared" si="18"/>
        <v>0</v>
      </c>
      <c r="O89" s="116">
        <f>Amnt_Deposited!B84</f>
        <v>2070</v>
      </c>
      <c r="P89" s="119">
        <f>Amnt_Deposited!G84</f>
        <v>0</v>
      </c>
      <c r="Q89" s="319">
        <f>MCF!R88</f>
        <v>0.8</v>
      </c>
      <c r="R89" s="87">
        <f t="shared" si="17"/>
        <v>0</v>
      </c>
      <c r="S89" s="87">
        <f t="shared" si="19"/>
        <v>0</v>
      </c>
      <c r="T89" s="87">
        <f t="shared" si="20"/>
        <v>0</v>
      </c>
      <c r="U89" s="87">
        <f t="shared" si="21"/>
        <v>1.5804684182023636</v>
      </c>
      <c r="V89" s="87">
        <f t="shared" si="22"/>
        <v>5.6295824823369409E-2</v>
      </c>
      <c r="W89" s="120">
        <f t="shared" si="23"/>
        <v>3.7530549882246272E-2</v>
      </c>
    </row>
    <row r="90" spans="2:23">
      <c r="B90" s="116">
        <f>Amnt_Deposited!B85</f>
        <v>2071</v>
      </c>
      <c r="C90" s="119">
        <f>Amnt_Deposited!F85</f>
        <v>0</v>
      </c>
      <c r="D90" s="453">
        <f>Dry_Matter_Content!G77</f>
        <v>0.56999999999999995</v>
      </c>
      <c r="E90" s="319">
        <f>MCF!R89</f>
        <v>0.8</v>
      </c>
      <c r="F90" s="87">
        <f t="shared" si="12"/>
        <v>0</v>
      </c>
      <c r="G90" s="87">
        <f t="shared" si="13"/>
        <v>0</v>
      </c>
      <c r="H90" s="87">
        <f t="shared" si="14"/>
        <v>0</v>
      </c>
      <c r="I90" s="87">
        <f t="shared" si="15"/>
        <v>0</v>
      </c>
      <c r="J90" s="87">
        <f t="shared" si="16"/>
        <v>0</v>
      </c>
      <c r="K90" s="120">
        <f t="shared" si="18"/>
        <v>0</v>
      </c>
      <c r="O90" s="116">
        <f>Amnt_Deposited!B85</f>
        <v>2071</v>
      </c>
      <c r="P90" s="119">
        <f>Amnt_Deposited!G85</f>
        <v>0</v>
      </c>
      <c r="Q90" s="319">
        <f>MCF!R89</f>
        <v>0.8</v>
      </c>
      <c r="R90" s="87">
        <f t="shared" si="17"/>
        <v>0</v>
      </c>
      <c r="S90" s="87">
        <f t="shared" si="19"/>
        <v>0</v>
      </c>
      <c r="T90" s="87">
        <f t="shared" si="20"/>
        <v>0</v>
      </c>
      <c r="U90" s="87">
        <f t="shared" si="21"/>
        <v>1.526108864840231</v>
      </c>
      <c r="V90" s="87">
        <f t="shared" si="22"/>
        <v>5.4359553362132662E-2</v>
      </c>
      <c r="W90" s="120">
        <f t="shared" si="23"/>
        <v>3.623970224142177E-2</v>
      </c>
    </row>
    <row r="91" spans="2:23">
      <c r="B91" s="116">
        <f>Amnt_Deposited!B86</f>
        <v>2072</v>
      </c>
      <c r="C91" s="119">
        <f>Amnt_Deposited!F86</f>
        <v>0</v>
      </c>
      <c r="D91" s="453">
        <f>Dry_Matter_Content!G78</f>
        <v>0.56999999999999995</v>
      </c>
      <c r="E91" s="319">
        <f>MCF!R90</f>
        <v>0.8</v>
      </c>
      <c r="F91" s="87">
        <f t="shared" si="12"/>
        <v>0</v>
      </c>
      <c r="G91" s="87">
        <f t="shared" si="13"/>
        <v>0</v>
      </c>
      <c r="H91" s="87">
        <f t="shared" si="14"/>
        <v>0</v>
      </c>
      <c r="I91" s="87">
        <f t="shared" si="15"/>
        <v>0</v>
      </c>
      <c r="J91" s="87">
        <f t="shared" si="16"/>
        <v>0</v>
      </c>
      <c r="K91" s="120">
        <f t="shared" si="18"/>
        <v>0</v>
      </c>
      <c r="O91" s="116">
        <f>Amnt_Deposited!B86</f>
        <v>2072</v>
      </c>
      <c r="P91" s="119">
        <f>Amnt_Deposited!G86</f>
        <v>0</v>
      </c>
      <c r="Q91" s="319">
        <f>MCF!R90</f>
        <v>0.8</v>
      </c>
      <c r="R91" s="87">
        <f t="shared" si="17"/>
        <v>0</v>
      </c>
      <c r="S91" s="87">
        <f t="shared" si="19"/>
        <v>0</v>
      </c>
      <c r="T91" s="87">
        <f t="shared" si="20"/>
        <v>0</v>
      </c>
      <c r="U91" s="87">
        <f t="shared" si="21"/>
        <v>1.4736189856884134</v>
      </c>
      <c r="V91" s="87">
        <f t="shared" si="22"/>
        <v>5.2489879151817513E-2</v>
      </c>
      <c r="W91" s="120">
        <f t="shared" si="23"/>
        <v>3.499325276787834E-2</v>
      </c>
    </row>
    <row r="92" spans="2:23">
      <c r="B92" s="116">
        <f>Amnt_Deposited!B87</f>
        <v>2073</v>
      </c>
      <c r="C92" s="119">
        <f>Amnt_Deposited!F87</f>
        <v>0</v>
      </c>
      <c r="D92" s="453">
        <f>Dry_Matter_Content!G79</f>
        <v>0.56999999999999995</v>
      </c>
      <c r="E92" s="319">
        <f>MCF!R91</f>
        <v>0.8</v>
      </c>
      <c r="F92" s="87">
        <f t="shared" si="12"/>
        <v>0</v>
      </c>
      <c r="G92" s="87">
        <f t="shared" si="13"/>
        <v>0</v>
      </c>
      <c r="H92" s="87">
        <f t="shared" si="14"/>
        <v>0</v>
      </c>
      <c r="I92" s="87">
        <f t="shared" si="15"/>
        <v>0</v>
      </c>
      <c r="J92" s="87">
        <f t="shared" si="16"/>
        <v>0</v>
      </c>
      <c r="K92" s="120">
        <f t="shared" si="18"/>
        <v>0</v>
      </c>
      <c r="O92" s="116">
        <f>Amnt_Deposited!B87</f>
        <v>2073</v>
      </c>
      <c r="P92" s="119">
        <f>Amnt_Deposited!G87</f>
        <v>0</v>
      </c>
      <c r="Q92" s="319">
        <f>MCF!R91</f>
        <v>0.8</v>
      </c>
      <c r="R92" s="87">
        <f t="shared" si="17"/>
        <v>0</v>
      </c>
      <c r="S92" s="87">
        <f t="shared" si="19"/>
        <v>0</v>
      </c>
      <c r="T92" s="87">
        <f t="shared" si="20"/>
        <v>0</v>
      </c>
      <c r="U92" s="87">
        <f t="shared" si="21"/>
        <v>1.4229344740807133</v>
      </c>
      <c r="V92" s="87">
        <f t="shared" si="22"/>
        <v>5.0684511607700107E-2</v>
      </c>
      <c r="W92" s="120">
        <f t="shared" si="23"/>
        <v>3.3789674405133405E-2</v>
      </c>
    </row>
    <row r="93" spans="2:23">
      <c r="B93" s="116">
        <f>Amnt_Deposited!B88</f>
        <v>2074</v>
      </c>
      <c r="C93" s="119">
        <f>Amnt_Deposited!F88</f>
        <v>0</v>
      </c>
      <c r="D93" s="453">
        <f>Dry_Matter_Content!G80</f>
        <v>0.56999999999999995</v>
      </c>
      <c r="E93" s="319">
        <f>MCF!R92</f>
        <v>0.8</v>
      </c>
      <c r="F93" s="87">
        <f t="shared" si="12"/>
        <v>0</v>
      </c>
      <c r="G93" s="87">
        <f t="shared" si="13"/>
        <v>0</v>
      </c>
      <c r="H93" s="87">
        <f t="shared" si="14"/>
        <v>0</v>
      </c>
      <c r="I93" s="87">
        <f t="shared" si="15"/>
        <v>0</v>
      </c>
      <c r="J93" s="87">
        <f t="shared" si="16"/>
        <v>0</v>
      </c>
      <c r="K93" s="120">
        <f t="shared" si="18"/>
        <v>0</v>
      </c>
      <c r="O93" s="116">
        <f>Amnt_Deposited!B88</f>
        <v>2074</v>
      </c>
      <c r="P93" s="119">
        <f>Amnt_Deposited!G88</f>
        <v>0</v>
      </c>
      <c r="Q93" s="319">
        <f>MCF!R92</f>
        <v>0.8</v>
      </c>
      <c r="R93" s="87">
        <f t="shared" si="17"/>
        <v>0</v>
      </c>
      <c r="S93" s="87">
        <f t="shared" si="19"/>
        <v>0</v>
      </c>
      <c r="T93" s="87">
        <f t="shared" si="20"/>
        <v>0</v>
      </c>
      <c r="U93" s="87">
        <f t="shared" si="21"/>
        <v>1.3739932351519486</v>
      </c>
      <c r="V93" s="87">
        <f t="shared" si="22"/>
        <v>4.8941238928764716E-2</v>
      </c>
      <c r="W93" s="120">
        <f t="shared" si="23"/>
        <v>3.2627492619176475E-2</v>
      </c>
    </row>
    <row r="94" spans="2:23">
      <c r="B94" s="116">
        <f>Amnt_Deposited!B89</f>
        <v>2075</v>
      </c>
      <c r="C94" s="119">
        <f>Amnt_Deposited!F89</f>
        <v>0</v>
      </c>
      <c r="D94" s="453">
        <f>Dry_Matter_Content!G81</f>
        <v>0.56999999999999995</v>
      </c>
      <c r="E94" s="319">
        <f>MCF!R93</f>
        <v>0.8</v>
      </c>
      <c r="F94" s="87">
        <f t="shared" si="12"/>
        <v>0</v>
      </c>
      <c r="G94" s="87">
        <f t="shared" si="13"/>
        <v>0</v>
      </c>
      <c r="H94" s="87">
        <f t="shared" si="14"/>
        <v>0</v>
      </c>
      <c r="I94" s="87">
        <f t="shared" si="15"/>
        <v>0</v>
      </c>
      <c r="J94" s="87">
        <f t="shared" si="16"/>
        <v>0</v>
      </c>
      <c r="K94" s="120">
        <f t="shared" si="18"/>
        <v>0</v>
      </c>
      <c r="O94" s="116">
        <f>Amnt_Deposited!B89</f>
        <v>2075</v>
      </c>
      <c r="P94" s="119">
        <f>Amnt_Deposited!G89</f>
        <v>0</v>
      </c>
      <c r="Q94" s="319">
        <f>MCF!R93</f>
        <v>0.8</v>
      </c>
      <c r="R94" s="87">
        <f t="shared" si="17"/>
        <v>0</v>
      </c>
      <c r="S94" s="87">
        <f t="shared" si="19"/>
        <v>0</v>
      </c>
      <c r="T94" s="87">
        <f t="shared" si="20"/>
        <v>0</v>
      </c>
      <c r="U94" s="87">
        <f t="shared" si="21"/>
        <v>1.3267353097639778</v>
      </c>
      <c r="V94" s="87">
        <f t="shared" si="22"/>
        <v>4.725792538797087E-2</v>
      </c>
      <c r="W94" s="120">
        <f t="shared" si="23"/>
        <v>3.1505283591980578E-2</v>
      </c>
    </row>
    <row r="95" spans="2:23">
      <c r="B95" s="116">
        <f>Amnt_Deposited!B90</f>
        <v>2076</v>
      </c>
      <c r="C95" s="119">
        <f>Amnt_Deposited!F90</f>
        <v>0</v>
      </c>
      <c r="D95" s="453">
        <f>Dry_Matter_Content!G82</f>
        <v>0.56999999999999995</v>
      </c>
      <c r="E95" s="319">
        <f>MCF!R94</f>
        <v>0.8</v>
      </c>
      <c r="F95" s="87">
        <f t="shared" si="12"/>
        <v>0</v>
      </c>
      <c r="G95" s="87">
        <f t="shared" si="13"/>
        <v>0</v>
      </c>
      <c r="H95" s="87">
        <f t="shared" si="14"/>
        <v>0</v>
      </c>
      <c r="I95" s="87">
        <f t="shared" si="15"/>
        <v>0</v>
      </c>
      <c r="J95" s="87">
        <f t="shared" si="16"/>
        <v>0</v>
      </c>
      <c r="K95" s="120">
        <f t="shared" si="18"/>
        <v>0</v>
      </c>
      <c r="O95" s="116">
        <f>Amnt_Deposited!B90</f>
        <v>2076</v>
      </c>
      <c r="P95" s="119">
        <f>Amnt_Deposited!G90</f>
        <v>0</v>
      </c>
      <c r="Q95" s="319">
        <f>MCF!R94</f>
        <v>0.8</v>
      </c>
      <c r="R95" s="87">
        <f t="shared" si="17"/>
        <v>0</v>
      </c>
      <c r="S95" s="87">
        <f t="shared" si="19"/>
        <v>0</v>
      </c>
      <c r="T95" s="87">
        <f t="shared" si="20"/>
        <v>0</v>
      </c>
      <c r="U95" s="87">
        <f t="shared" si="21"/>
        <v>1.2811028010482572</v>
      </c>
      <c r="V95" s="87">
        <f t="shared" si="22"/>
        <v>4.5632508715720638E-2</v>
      </c>
      <c r="W95" s="120">
        <f t="shared" si="23"/>
        <v>3.0421672477147089E-2</v>
      </c>
    </row>
    <row r="96" spans="2:23">
      <c r="B96" s="116">
        <f>Amnt_Deposited!B91</f>
        <v>2077</v>
      </c>
      <c r="C96" s="119">
        <f>Amnt_Deposited!F91</f>
        <v>0</v>
      </c>
      <c r="D96" s="453">
        <f>Dry_Matter_Content!G83</f>
        <v>0.56999999999999995</v>
      </c>
      <c r="E96" s="319">
        <f>MCF!R95</f>
        <v>0.8</v>
      </c>
      <c r="F96" s="87">
        <f t="shared" si="12"/>
        <v>0</v>
      </c>
      <c r="G96" s="87">
        <f t="shared" si="13"/>
        <v>0</v>
      </c>
      <c r="H96" s="87">
        <f t="shared" si="14"/>
        <v>0</v>
      </c>
      <c r="I96" s="87">
        <f t="shared" si="15"/>
        <v>0</v>
      </c>
      <c r="J96" s="87">
        <f t="shared" si="16"/>
        <v>0</v>
      </c>
      <c r="K96" s="120">
        <f t="shared" si="18"/>
        <v>0</v>
      </c>
      <c r="O96" s="116">
        <f>Amnt_Deposited!B91</f>
        <v>2077</v>
      </c>
      <c r="P96" s="119">
        <f>Amnt_Deposited!G91</f>
        <v>0</v>
      </c>
      <c r="Q96" s="319">
        <f>MCF!R95</f>
        <v>0.8</v>
      </c>
      <c r="R96" s="87">
        <f t="shared" si="17"/>
        <v>0</v>
      </c>
      <c r="S96" s="87">
        <f t="shared" si="19"/>
        <v>0</v>
      </c>
      <c r="T96" s="87">
        <f t="shared" si="20"/>
        <v>0</v>
      </c>
      <c r="U96" s="87">
        <f t="shared" si="21"/>
        <v>1.2370398034749368</v>
      </c>
      <c r="V96" s="87">
        <f t="shared" si="22"/>
        <v>4.4062997573320453E-2</v>
      </c>
      <c r="W96" s="120">
        <f t="shared" si="23"/>
        <v>2.9375331715546966E-2</v>
      </c>
    </row>
    <row r="97" spans="2:23">
      <c r="B97" s="116">
        <f>Amnt_Deposited!B92</f>
        <v>2078</v>
      </c>
      <c r="C97" s="119">
        <f>Amnt_Deposited!F92</f>
        <v>0</v>
      </c>
      <c r="D97" s="453">
        <f>Dry_Matter_Content!G84</f>
        <v>0.56999999999999995</v>
      </c>
      <c r="E97" s="319">
        <f>MCF!R96</f>
        <v>0.8</v>
      </c>
      <c r="F97" s="87">
        <f t="shared" si="12"/>
        <v>0</v>
      </c>
      <c r="G97" s="87">
        <f t="shared" si="13"/>
        <v>0</v>
      </c>
      <c r="H97" s="87">
        <f t="shared" si="14"/>
        <v>0</v>
      </c>
      <c r="I97" s="87">
        <f t="shared" si="15"/>
        <v>0</v>
      </c>
      <c r="J97" s="87">
        <f t="shared" si="16"/>
        <v>0</v>
      </c>
      <c r="K97" s="120">
        <f t="shared" si="18"/>
        <v>0</v>
      </c>
      <c r="O97" s="116">
        <f>Amnt_Deposited!B92</f>
        <v>2078</v>
      </c>
      <c r="P97" s="119">
        <f>Amnt_Deposited!G92</f>
        <v>0</v>
      </c>
      <c r="Q97" s="319">
        <f>MCF!R96</f>
        <v>0.8</v>
      </c>
      <c r="R97" s="87">
        <f t="shared" si="17"/>
        <v>0</v>
      </c>
      <c r="S97" s="87">
        <f t="shared" si="19"/>
        <v>0</v>
      </c>
      <c r="T97" s="87">
        <f t="shared" si="20"/>
        <v>0</v>
      </c>
      <c r="U97" s="87">
        <f t="shared" si="21"/>
        <v>1.1944923343615945</v>
      </c>
      <c r="V97" s="87">
        <f t="shared" si="22"/>
        <v>4.2547469113342243E-2</v>
      </c>
      <c r="W97" s="120">
        <f t="shared" si="23"/>
        <v>2.8364979408894826E-2</v>
      </c>
    </row>
    <row r="98" spans="2:23">
      <c r="B98" s="116">
        <f>Amnt_Deposited!B93</f>
        <v>2079</v>
      </c>
      <c r="C98" s="119">
        <f>Amnt_Deposited!F93</f>
        <v>0</v>
      </c>
      <c r="D98" s="453">
        <f>Dry_Matter_Content!G85</f>
        <v>0.56999999999999995</v>
      </c>
      <c r="E98" s="319">
        <f>MCF!R97</f>
        <v>0.8</v>
      </c>
      <c r="F98" s="87">
        <f t="shared" si="12"/>
        <v>0</v>
      </c>
      <c r="G98" s="87">
        <f t="shared" si="13"/>
        <v>0</v>
      </c>
      <c r="H98" s="87">
        <f t="shared" si="14"/>
        <v>0</v>
      </c>
      <c r="I98" s="87">
        <f t="shared" si="15"/>
        <v>0</v>
      </c>
      <c r="J98" s="87">
        <f t="shared" si="16"/>
        <v>0</v>
      </c>
      <c r="K98" s="120">
        <f t="shared" si="18"/>
        <v>0</v>
      </c>
      <c r="O98" s="116">
        <f>Amnt_Deposited!B93</f>
        <v>2079</v>
      </c>
      <c r="P98" s="119">
        <f>Amnt_Deposited!G93</f>
        <v>0</v>
      </c>
      <c r="Q98" s="319">
        <f>MCF!R97</f>
        <v>0.8</v>
      </c>
      <c r="R98" s="87">
        <f t="shared" si="17"/>
        <v>0</v>
      </c>
      <c r="S98" s="87">
        <f t="shared" si="19"/>
        <v>0</v>
      </c>
      <c r="T98" s="87">
        <f t="shared" si="20"/>
        <v>0</v>
      </c>
      <c r="U98" s="87">
        <f t="shared" si="21"/>
        <v>1.1534082677376998</v>
      </c>
      <c r="V98" s="87">
        <f t="shared" si="22"/>
        <v>4.1084066623894785E-2</v>
      </c>
      <c r="W98" s="120">
        <f t="shared" si="23"/>
        <v>2.7389377749263189E-2</v>
      </c>
    </row>
    <row r="99" spans="2:23" ht="13.5" thickBot="1">
      <c r="B99" s="117">
        <f>Amnt_Deposited!B94</f>
        <v>2080</v>
      </c>
      <c r="C99" s="121">
        <f>Amnt_Deposited!F94</f>
        <v>0</v>
      </c>
      <c r="D99" s="453">
        <f>Dry_Matter_Content!G86</f>
        <v>0.56999999999999995</v>
      </c>
      <c r="E99" s="320">
        <f>MCF!R98</f>
        <v>0.8</v>
      </c>
      <c r="F99" s="88">
        <f t="shared" si="12"/>
        <v>0</v>
      </c>
      <c r="G99" s="88">
        <f t="shared" si="13"/>
        <v>0</v>
      </c>
      <c r="H99" s="88">
        <f t="shared" si="14"/>
        <v>0</v>
      </c>
      <c r="I99" s="88">
        <f t="shared" si="15"/>
        <v>0</v>
      </c>
      <c r="J99" s="88">
        <f t="shared" si="16"/>
        <v>0</v>
      </c>
      <c r="K99" s="122">
        <f t="shared" si="18"/>
        <v>0</v>
      </c>
      <c r="O99" s="117">
        <f>Amnt_Deposited!B94</f>
        <v>2080</v>
      </c>
      <c r="P99" s="119">
        <f>Amnt_Deposited!G94</f>
        <v>0</v>
      </c>
      <c r="Q99" s="320">
        <f>MCF!R98</f>
        <v>0.8</v>
      </c>
      <c r="R99" s="88">
        <f t="shared" si="17"/>
        <v>0</v>
      </c>
      <c r="S99" s="88">
        <f>R99*$W$12</f>
        <v>0</v>
      </c>
      <c r="T99" s="88">
        <f>R99*(1-$W$12)</f>
        <v>0</v>
      </c>
      <c r="U99" s="88">
        <f>S99+U98*$W$10</f>
        <v>1.1137372704837802</v>
      </c>
      <c r="V99" s="88">
        <f>U98*(1-$W$10)+T99</f>
        <v>3.9670997253919517E-2</v>
      </c>
      <c r="W99" s="122">
        <f t="shared" si="23"/>
        <v>2.6447331502613011E-2</v>
      </c>
    </row>
  </sheetData>
  <pageMargins left="0.75" right="0.75" top="1" bottom="1" header="0.5" footer="0.5"/>
  <headerFooter alignWithMargins="0"/>
  <ignoredErrors>
    <ignoredError sqref="K9" evalError="1"/>
  </ignoredErrors>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65" t="s">
        <v>153</v>
      </c>
      <c r="C2" s="251"/>
      <c r="D2" s="251"/>
      <c r="E2" s="252"/>
      <c r="F2" s="253"/>
      <c r="G2" s="253"/>
      <c r="H2" s="253"/>
      <c r="I2" s="253"/>
      <c r="J2" s="253"/>
      <c r="K2" s="253"/>
    </row>
    <row r="3" spans="1:23" ht="15">
      <c r="B3" s="275" t="str">
        <f>IF(Select2=2,"This sheet applies only to the waste compositon option and can be deleted when the bulk waste option has been chosen","")</f>
        <v/>
      </c>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293">
        <f>Parameters!O18</f>
        <v>0.3</v>
      </c>
      <c r="O6" s="257"/>
      <c r="P6" s="258"/>
      <c r="Q6" s="249"/>
      <c r="R6" s="128" t="s">
        <v>9</v>
      </c>
      <c r="S6" s="129"/>
      <c r="T6" s="129"/>
      <c r="U6" s="133"/>
      <c r="V6" s="140" t="s">
        <v>9</v>
      </c>
      <c r="W6" s="293">
        <f>Parameters!R18</f>
        <v>0.24</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Parameters!O37</f>
        <v>7.0000000000000007E-2</v>
      </c>
      <c r="O8" s="67"/>
      <c r="P8" s="67"/>
      <c r="Q8" s="249"/>
      <c r="R8" s="128" t="s">
        <v>192</v>
      </c>
      <c r="S8" s="129"/>
      <c r="T8" s="129"/>
      <c r="U8" s="133"/>
      <c r="V8" s="140" t="s">
        <v>188</v>
      </c>
      <c r="W8" s="134">
        <f>Parameters!O37</f>
        <v>7.0000000000000007E-2</v>
      </c>
    </row>
    <row r="9" spans="1:23" ht="15.75">
      <c r="F9" s="279" t="s">
        <v>190</v>
      </c>
      <c r="G9" s="280"/>
      <c r="H9" s="280"/>
      <c r="I9" s="281"/>
      <c r="J9" s="282" t="s">
        <v>189</v>
      </c>
      <c r="K9" s="288">
        <f>LN(2)/$K$8</f>
        <v>9.9021025794277886</v>
      </c>
      <c r="O9" s="67"/>
      <c r="P9" s="67"/>
      <c r="Q9" s="249"/>
      <c r="R9" s="279" t="s">
        <v>190</v>
      </c>
      <c r="S9" s="280"/>
      <c r="T9" s="280"/>
      <c r="U9" s="281"/>
      <c r="V9" s="282" t="s">
        <v>189</v>
      </c>
      <c r="W9" s="288">
        <f>LN(2)/$W$8</f>
        <v>9.9021025794277886</v>
      </c>
    </row>
    <row r="10" spans="1:23">
      <c r="F10" s="130" t="s">
        <v>84</v>
      </c>
      <c r="G10" s="131"/>
      <c r="H10" s="131"/>
      <c r="I10" s="132"/>
      <c r="J10" s="141" t="s">
        <v>148</v>
      </c>
      <c r="K10" s="69">
        <f>EXP(-$K$8)</f>
        <v>0.93239381990594827</v>
      </c>
      <c r="O10" s="67"/>
      <c r="P10" s="67"/>
      <c r="Q10" s="249"/>
      <c r="R10" s="130" t="s">
        <v>84</v>
      </c>
      <c r="S10" s="131"/>
      <c r="T10" s="131"/>
      <c r="U10" s="132"/>
      <c r="V10" s="141" t="s">
        <v>148</v>
      </c>
      <c r="W10" s="69">
        <f>EXP(-$W$8)</f>
        <v>0.93239381990594827</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Amnt_Deposited!H14</f>
        <v>0.24553051775999998</v>
      </c>
      <c r="D19" s="451">
        <f>Dry_Matter_Content!H6</f>
        <v>0.73</v>
      </c>
      <c r="E19" s="318">
        <f>MCF!R18</f>
        <v>0.8</v>
      </c>
      <c r="F19" s="150">
        <f t="shared" ref="F19:F50" si="0">C19*D19*$K$6*DOCF*E19</f>
        <v>2.1508473355775999E-2</v>
      </c>
      <c r="G19" s="85">
        <f t="shared" ref="G19:G82" si="1">F19*$K$12</f>
        <v>2.1508473355775999E-2</v>
      </c>
      <c r="H19" s="85">
        <f t="shared" ref="H19:H82" si="2">F19*(1-$K$12)</f>
        <v>0</v>
      </c>
      <c r="I19" s="85">
        <f t="shared" ref="I19:I82" si="3">G19+I18*$K$10</f>
        <v>2.1508473355775999E-2</v>
      </c>
      <c r="J19" s="85">
        <f t="shared" ref="J19:J82" si="4">I18*(1-$K$10)+H19</f>
        <v>0</v>
      </c>
      <c r="K19" s="86">
        <f>J19*CH4_fraction*conv</f>
        <v>0</v>
      </c>
      <c r="O19" s="115">
        <f>Amnt_Deposited!B14</f>
        <v>2000</v>
      </c>
      <c r="P19" s="118">
        <f>Amnt_Deposited!H14</f>
        <v>0.24553051775999998</v>
      </c>
      <c r="Q19" s="318">
        <f>MCF!R18</f>
        <v>0.8</v>
      </c>
      <c r="R19" s="150">
        <f t="shared" ref="R19:R50" si="5">P19*$W$6*DOCF*Q19</f>
        <v>2.3570929704959998E-2</v>
      </c>
      <c r="S19" s="85">
        <f>R19*$W$12</f>
        <v>2.3570929704959998E-2</v>
      </c>
      <c r="T19" s="85">
        <f>R19*(1-$W$12)</f>
        <v>0</v>
      </c>
      <c r="U19" s="85">
        <f>S19+U18*$W$10</f>
        <v>2.3570929704959998E-2</v>
      </c>
      <c r="V19" s="85">
        <f>U18*(1-$W$10)+T19</f>
        <v>0</v>
      </c>
      <c r="W19" s="86">
        <f>V19*CH4_fraction*conv</f>
        <v>0</v>
      </c>
    </row>
    <row r="20" spans="2:23">
      <c r="B20" s="116">
        <f>Amnt_Deposited!B15</f>
        <v>2001</v>
      </c>
      <c r="C20" s="119">
        <f>Amnt_Deposited!H15</f>
        <v>0.25269237932400002</v>
      </c>
      <c r="D20" s="453">
        <f>Dry_Matter_Content!H7</f>
        <v>0.73</v>
      </c>
      <c r="E20" s="319">
        <f>MCF!R19</f>
        <v>0.8</v>
      </c>
      <c r="F20" s="87">
        <f t="shared" si="0"/>
        <v>2.2135852428782403E-2</v>
      </c>
      <c r="G20" s="87">
        <f t="shared" si="1"/>
        <v>2.2135852428782403E-2</v>
      </c>
      <c r="H20" s="87">
        <f t="shared" si="2"/>
        <v>0</v>
      </c>
      <c r="I20" s="87">
        <f t="shared" si="3"/>
        <v>4.21902200613197E-2</v>
      </c>
      <c r="J20" s="87">
        <f t="shared" si="4"/>
        <v>1.4541057232387053E-3</v>
      </c>
      <c r="K20" s="120">
        <f>J20*CH4_fraction*conv</f>
        <v>9.6940381549247018E-4</v>
      </c>
      <c r="M20" s="428"/>
      <c r="O20" s="116">
        <f>Amnt_Deposited!B15</f>
        <v>2001</v>
      </c>
      <c r="P20" s="119">
        <f>Amnt_Deposited!H15</f>
        <v>0.25269237932400002</v>
      </c>
      <c r="Q20" s="319">
        <f>MCF!R19</f>
        <v>0.8</v>
      </c>
      <c r="R20" s="87">
        <f t="shared" si="5"/>
        <v>2.4258468415104002E-2</v>
      </c>
      <c r="S20" s="87">
        <f>R20*$W$12</f>
        <v>2.4258468415104002E-2</v>
      </c>
      <c r="T20" s="87">
        <f>R20*(1-$W$12)</f>
        <v>0</v>
      </c>
      <c r="U20" s="87">
        <f>S20+U19*$W$10</f>
        <v>4.6235857601446238E-2</v>
      </c>
      <c r="V20" s="87">
        <f>U19*(1-$W$10)+T20</f>
        <v>1.593540518617759E-3</v>
      </c>
      <c r="W20" s="120">
        <f>V20*CH4_fraction*conv</f>
        <v>1.0623603457451725E-3</v>
      </c>
    </row>
    <row r="21" spans="2:23">
      <c r="B21" s="116">
        <f>Amnt_Deposited!B16</f>
        <v>2002</v>
      </c>
      <c r="C21" s="119">
        <f>Amnt_Deposited!H16</f>
        <v>0.26393864903999997</v>
      </c>
      <c r="D21" s="453">
        <f>Dry_Matter_Content!H8</f>
        <v>0.73</v>
      </c>
      <c r="E21" s="319">
        <f>MCF!R20</f>
        <v>0.8</v>
      </c>
      <c r="F21" s="87">
        <f t="shared" si="0"/>
        <v>2.3121025655903998E-2</v>
      </c>
      <c r="G21" s="87">
        <f t="shared" si="1"/>
        <v>2.3121025655903998E-2</v>
      </c>
      <c r="H21" s="87">
        <f t="shared" si="2"/>
        <v>0</v>
      </c>
      <c r="I21" s="87">
        <f t="shared" si="3"/>
        <v>6.2458926101550447E-2</v>
      </c>
      <c r="J21" s="87">
        <f t="shared" si="4"/>
        <v>2.8523196156732536E-3</v>
      </c>
      <c r="K21" s="120">
        <f t="shared" ref="K21:K84" si="6">J21*CH4_fraction*conv</f>
        <v>1.9015464104488356E-3</v>
      </c>
      <c r="O21" s="116">
        <f>Amnt_Deposited!B16</f>
        <v>2002</v>
      </c>
      <c r="P21" s="119">
        <f>Amnt_Deposited!H16</f>
        <v>0.26393864903999997</v>
      </c>
      <c r="Q21" s="319">
        <f>MCF!R20</f>
        <v>0.8</v>
      </c>
      <c r="R21" s="87">
        <f t="shared" si="5"/>
        <v>2.5338110307839997E-2</v>
      </c>
      <c r="S21" s="87">
        <f t="shared" ref="S21:S84" si="7">R21*$W$12</f>
        <v>2.5338110307839997E-2</v>
      </c>
      <c r="T21" s="87">
        <f t="shared" ref="T21:T84" si="8">R21*(1-$W$12)</f>
        <v>0</v>
      </c>
      <c r="U21" s="87">
        <f t="shared" ref="U21:U84" si="9">S21+U20*$W$10</f>
        <v>6.8448138193479932E-2</v>
      </c>
      <c r="V21" s="87">
        <f t="shared" ref="V21:V84" si="10">U20*(1-$W$10)+T21</f>
        <v>3.125829715806305E-3</v>
      </c>
      <c r="W21" s="120">
        <f t="shared" ref="W21:W84" si="11">V21*CH4_fraction*conv</f>
        <v>2.0838864772042033E-3</v>
      </c>
    </row>
    <row r="22" spans="2:23">
      <c r="B22" s="116">
        <f>Amnt_Deposited!B17</f>
        <v>2003</v>
      </c>
      <c r="C22" s="119">
        <f>Amnt_Deposited!H17</f>
        <v>0.27220899301199997</v>
      </c>
      <c r="D22" s="453">
        <f>Dry_Matter_Content!H9</f>
        <v>0.73</v>
      </c>
      <c r="E22" s="319">
        <f>MCF!R21</f>
        <v>0.8</v>
      </c>
      <c r="F22" s="87">
        <f t="shared" si="0"/>
        <v>2.3845507787851196E-2</v>
      </c>
      <c r="G22" s="87">
        <f t="shared" si="1"/>
        <v>2.3845507787851196E-2</v>
      </c>
      <c r="H22" s="87">
        <f t="shared" si="2"/>
        <v>0</v>
      </c>
      <c r="I22" s="87">
        <f t="shared" si="3"/>
        <v>8.2081824482899163E-2</v>
      </c>
      <c r="J22" s="87">
        <f t="shared" si="4"/>
        <v>4.2226094065024875E-3</v>
      </c>
      <c r="K22" s="120">
        <f t="shared" si="6"/>
        <v>2.815072937668325E-3</v>
      </c>
      <c r="N22" s="290"/>
      <c r="O22" s="116">
        <f>Amnt_Deposited!B17</f>
        <v>2003</v>
      </c>
      <c r="P22" s="119">
        <f>Amnt_Deposited!H17</f>
        <v>0.27220899301199997</v>
      </c>
      <c r="Q22" s="319">
        <f>MCF!R21</f>
        <v>0.8</v>
      </c>
      <c r="R22" s="87">
        <f t="shared" si="5"/>
        <v>2.6132063329151994E-2</v>
      </c>
      <c r="S22" s="87">
        <f t="shared" si="7"/>
        <v>2.6132063329151994E-2</v>
      </c>
      <c r="T22" s="87">
        <f t="shared" si="8"/>
        <v>0</v>
      </c>
      <c r="U22" s="87">
        <f t="shared" si="9"/>
        <v>8.9952684364820984E-2</v>
      </c>
      <c r="V22" s="87">
        <f t="shared" si="10"/>
        <v>4.6275171578109443E-3</v>
      </c>
      <c r="W22" s="120">
        <f t="shared" si="11"/>
        <v>3.0850114385406295E-3</v>
      </c>
    </row>
    <row r="23" spans="2:23">
      <c r="B23" s="116">
        <f>Amnt_Deposited!B18</f>
        <v>2004</v>
      </c>
      <c r="C23" s="119">
        <f>Amnt_Deposited!H18</f>
        <v>0.28015145254800006</v>
      </c>
      <c r="D23" s="453">
        <f>Dry_Matter_Content!H10</f>
        <v>0.73</v>
      </c>
      <c r="E23" s="319">
        <f>MCF!R22</f>
        <v>0.8</v>
      </c>
      <c r="F23" s="87">
        <f t="shared" si="0"/>
        <v>2.4541267243204806E-2</v>
      </c>
      <c r="G23" s="87">
        <f t="shared" si="1"/>
        <v>2.4541267243204806E-2</v>
      </c>
      <c r="H23" s="87">
        <f t="shared" si="2"/>
        <v>0</v>
      </c>
      <c r="I23" s="87">
        <f t="shared" si="3"/>
        <v>0.10107385311766474</v>
      </c>
      <c r="J23" s="87">
        <f t="shared" si="4"/>
        <v>5.549238608439225E-3</v>
      </c>
      <c r="K23" s="120">
        <f t="shared" si="6"/>
        <v>3.6994924056261498E-3</v>
      </c>
      <c r="N23" s="290"/>
      <c r="O23" s="116">
        <f>Amnt_Deposited!B18</f>
        <v>2004</v>
      </c>
      <c r="P23" s="119">
        <f>Amnt_Deposited!H18</f>
        <v>0.28015145254800006</v>
      </c>
      <c r="Q23" s="319">
        <f>MCF!R22</f>
        <v>0.8</v>
      </c>
      <c r="R23" s="87">
        <f t="shared" si="5"/>
        <v>2.6894539444608009E-2</v>
      </c>
      <c r="S23" s="87">
        <f t="shared" si="7"/>
        <v>2.6894539444608009E-2</v>
      </c>
      <c r="T23" s="87">
        <f t="shared" si="8"/>
        <v>0</v>
      </c>
      <c r="U23" s="87">
        <f t="shared" si="9"/>
        <v>0.11076586643031752</v>
      </c>
      <c r="V23" s="87">
        <f t="shared" si="10"/>
        <v>6.0813573791114782E-3</v>
      </c>
      <c r="W23" s="120">
        <f t="shared" si="11"/>
        <v>4.0542382527409852E-3</v>
      </c>
    </row>
    <row r="24" spans="2:23">
      <c r="B24" s="116">
        <f>Amnt_Deposited!B19</f>
        <v>2005</v>
      </c>
      <c r="C24" s="119">
        <f>Amnt_Deposited!H19</f>
        <v>0.29434701779999994</v>
      </c>
      <c r="D24" s="453">
        <f>Dry_Matter_Content!H11</f>
        <v>0.73</v>
      </c>
      <c r="E24" s="319">
        <f>MCF!R23</f>
        <v>0.8</v>
      </c>
      <c r="F24" s="87">
        <f t="shared" si="0"/>
        <v>2.5784798759279994E-2</v>
      </c>
      <c r="G24" s="87">
        <f t="shared" si="1"/>
        <v>2.5784798759279994E-2</v>
      </c>
      <c r="H24" s="87">
        <f t="shared" si="2"/>
        <v>0</v>
      </c>
      <c r="I24" s="87">
        <f t="shared" si="3"/>
        <v>0.12002543476027216</v>
      </c>
      <c r="J24" s="87">
        <f t="shared" si="4"/>
        <v>6.8332171166725743E-3</v>
      </c>
      <c r="K24" s="120">
        <f t="shared" si="6"/>
        <v>4.5554780777817159E-3</v>
      </c>
      <c r="N24" s="290"/>
      <c r="O24" s="116">
        <f>Amnt_Deposited!B19</f>
        <v>2005</v>
      </c>
      <c r="P24" s="119">
        <f>Amnt_Deposited!H19</f>
        <v>0.29434701779999994</v>
      </c>
      <c r="Q24" s="319">
        <f>MCF!R23</f>
        <v>0.8</v>
      </c>
      <c r="R24" s="87">
        <f t="shared" si="5"/>
        <v>2.8257313708799994E-2</v>
      </c>
      <c r="S24" s="87">
        <f t="shared" si="7"/>
        <v>2.8257313708799994E-2</v>
      </c>
      <c r="T24" s="87">
        <f t="shared" si="8"/>
        <v>0</v>
      </c>
      <c r="U24" s="87">
        <f t="shared" si="9"/>
        <v>0.13153472302495578</v>
      </c>
      <c r="V24" s="87">
        <f t="shared" si="10"/>
        <v>7.4884571141617248E-3</v>
      </c>
      <c r="W24" s="120">
        <f t="shared" si="11"/>
        <v>4.9923047427744829E-3</v>
      </c>
    </row>
    <row r="25" spans="2:23">
      <c r="B25" s="116">
        <f>Amnt_Deposited!B20</f>
        <v>2006</v>
      </c>
      <c r="C25" s="119">
        <f>Amnt_Deposited!H20</f>
        <v>0.30251749849200005</v>
      </c>
      <c r="D25" s="453">
        <f>Dry_Matter_Content!H12</f>
        <v>0.73</v>
      </c>
      <c r="E25" s="319">
        <f>MCF!R24</f>
        <v>0.8</v>
      </c>
      <c r="F25" s="87">
        <f t="shared" si="0"/>
        <v>2.6500532867899204E-2</v>
      </c>
      <c r="G25" s="87">
        <f t="shared" si="1"/>
        <v>2.6500532867899204E-2</v>
      </c>
      <c r="H25" s="87">
        <f t="shared" si="2"/>
        <v>0</v>
      </c>
      <c r="I25" s="87">
        <f t="shared" si="3"/>
        <v>0.13841150646990155</v>
      </c>
      <c r="J25" s="87">
        <f t="shared" si="4"/>
        <v>8.1144611582698156E-3</v>
      </c>
      <c r="K25" s="120">
        <f t="shared" si="6"/>
        <v>5.4096407721798767E-3</v>
      </c>
      <c r="N25" s="290"/>
      <c r="O25" s="116">
        <f>Amnt_Deposited!B20</f>
        <v>2006</v>
      </c>
      <c r="P25" s="119">
        <f>Amnt_Deposited!H20</f>
        <v>0.30251749849200005</v>
      </c>
      <c r="Q25" s="319">
        <f>MCF!R24</f>
        <v>0.8</v>
      </c>
      <c r="R25" s="87">
        <f t="shared" si="5"/>
        <v>2.9041679855232008E-2</v>
      </c>
      <c r="S25" s="87">
        <f t="shared" si="7"/>
        <v>2.9041679855232008E-2</v>
      </c>
      <c r="T25" s="87">
        <f t="shared" si="8"/>
        <v>0</v>
      </c>
      <c r="U25" s="87">
        <f t="shared" si="9"/>
        <v>0.1516838427067414</v>
      </c>
      <c r="V25" s="87">
        <f t="shared" si="10"/>
        <v>8.8925601734463726E-3</v>
      </c>
      <c r="W25" s="120">
        <f t="shared" si="11"/>
        <v>5.9283734489642484E-3</v>
      </c>
    </row>
    <row r="26" spans="2:23">
      <c r="B26" s="116">
        <f>Amnt_Deposited!B21</f>
        <v>2007</v>
      </c>
      <c r="C26" s="119">
        <f>Amnt_Deposited!H21</f>
        <v>0.31078451368799997</v>
      </c>
      <c r="D26" s="453">
        <f>Dry_Matter_Content!H13</f>
        <v>0.73</v>
      </c>
      <c r="E26" s="319">
        <f>MCF!R25</f>
        <v>0.8</v>
      </c>
      <c r="F26" s="87">
        <f t="shared" si="0"/>
        <v>2.7224723399068798E-2</v>
      </c>
      <c r="G26" s="87">
        <f t="shared" si="1"/>
        <v>2.7224723399068798E-2</v>
      </c>
      <c r="H26" s="87">
        <f t="shared" si="2"/>
        <v>0</v>
      </c>
      <c r="I26" s="87">
        <f t="shared" si="3"/>
        <v>0.15627875663547719</v>
      </c>
      <c r="J26" s="87">
        <f t="shared" si="4"/>
        <v>9.3574732334931708E-3</v>
      </c>
      <c r="K26" s="120">
        <f t="shared" si="6"/>
        <v>6.2383154889954469E-3</v>
      </c>
      <c r="N26" s="290"/>
      <c r="O26" s="116">
        <f>Amnt_Deposited!B21</f>
        <v>2007</v>
      </c>
      <c r="P26" s="119">
        <f>Amnt_Deposited!H21</f>
        <v>0.31078451368799997</v>
      </c>
      <c r="Q26" s="319">
        <f>MCF!R25</f>
        <v>0.8</v>
      </c>
      <c r="R26" s="87">
        <f t="shared" si="5"/>
        <v>2.9835313314047998E-2</v>
      </c>
      <c r="S26" s="87">
        <f t="shared" si="7"/>
        <v>2.9835313314047998E-2</v>
      </c>
      <c r="T26" s="87">
        <f t="shared" si="8"/>
        <v>0</v>
      </c>
      <c r="U26" s="87">
        <f t="shared" si="9"/>
        <v>0.17126439083339962</v>
      </c>
      <c r="V26" s="87">
        <f t="shared" si="10"/>
        <v>1.0254765187389773E-2</v>
      </c>
      <c r="W26" s="120">
        <f t="shared" si="11"/>
        <v>6.8365101249265149E-3</v>
      </c>
    </row>
    <row r="27" spans="2:23">
      <c r="B27" s="116">
        <f>Amnt_Deposited!B22</f>
        <v>2008</v>
      </c>
      <c r="C27" s="119">
        <f>Amnt_Deposited!H22</f>
        <v>0.31910978246400001</v>
      </c>
      <c r="D27" s="453">
        <f>Dry_Matter_Content!H14</f>
        <v>0.73</v>
      </c>
      <c r="E27" s="319">
        <f>MCF!R26</f>
        <v>0.8</v>
      </c>
      <c r="F27" s="87">
        <f t="shared" si="0"/>
        <v>2.7954016943846402E-2</v>
      </c>
      <c r="G27" s="87">
        <f t="shared" si="1"/>
        <v>2.7954016943846402E-2</v>
      </c>
      <c r="H27" s="87">
        <f t="shared" si="2"/>
        <v>0</v>
      </c>
      <c r="I27" s="87">
        <f t="shared" si="3"/>
        <v>0.17366736381335102</v>
      </c>
      <c r="J27" s="87">
        <f t="shared" si="4"/>
        <v>1.0565409765972552E-2</v>
      </c>
      <c r="K27" s="120">
        <f t="shared" si="6"/>
        <v>7.0436065106483682E-3</v>
      </c>
      <c r="N27" s="290"/>
      <c r="O27" s="116">
        <f>Amnt_Deposited!B22</f>
        <v>2008</v>
      </c>
      <c r="P27" s="119">
        <f>Amnt_Deposited!H22</f>
        <v>0.31910978246400001</v>
      </c>
      <c r="Q27" s="319">
        <f>MCF!R26</f>
        <v>0.8</v>
      </c>
      <c r="R27" s="87">
        <f t="shared" si="5"/>
        <v>3.0634539116544002E-2</v>
      </c>
      <c r="S27" s="87">
        <f t="shared" si="7"/>
        <v>3.0634539116544002E-2</v>
      </c>
      <c r="T27" s="87">
        <f t="shared" si="8"/>
        <v>0</v>
      </c>
      <c r="U27" s="87">
        <f t="shared" si="9"/>
        <v>0.19032039869956274</v>
      </c>
      <c r="V27" s="87">
        <f t="shared" si="10"/>
        <v>1.1578531250380875E-2</v>
      </c>
      <c r="W27" s="120">
        <f t="shared" si="11"/>
        <v>7.7190208335872496E-3</v>
      </c>
    </row>
    <row r="28" spans="2:23">
      <c r="B28" s="116">
        <f>Amnt_Deposited!B23</f>
        <v>2009</v>
      </c>
      <c r="C28" s="119">
        <f>Amnt_Deposited!H23</f>
        <v>0.32744836634399999</v>
      </c>
      <c r="D28" s="453">
        <f>Dry_Matter_Content!H15</f>
        <v>0.73</v>
      </c>
      <c r="E28" s="319">
        <f>MCF!R27</f>
        <v>0.8</v>
      </c>
      <c r="F28" s="87">
        <f t="shared" si="0"/>
        <v>2.8684476891734395E-2</v>
      </c>
      <c r="G28" s="87">
        <f t="shared" si="1"/>
        <v>2.8684476891734395E-2</v>
      </c>
      <c r="H28" s="87">
        <f t="shared" si="2"/>
        <v>0</v>
      </c>
      <c r="I28" s="87">
        <f t="shared" si="3"/>
        <v>0.1906108536306608</v>
      </c>
      <c r="J28" s="87">
        <f t="shared" si="4"/>
        <v>1.174098707442461E-2</v>
      </c>
      <c r="K28" s="120">
        <f t="shared" si="6"/>
        <v>7.8273247162830729E-3</v>
      </c>
      <c r="N28" s="290"/>
      <c r="O28" s="116">
        <f>Amnt_Deposited!B23</f>
        <v>2009</v>
      </c>
      <c r="P28" s="119">
        <f>Amnt_Deposited!H23</f>
        <v>0.32744836634399999</v>
      </c>
      <c r="Q28" s="319">
        <f>MCF!R27</f>
        <v>0.8</v>
      </c>
      <c r="R28" s="87">
        <f t="shared" si="5"/>
        <v>3.1435043169023999E-2</v>
      </c>
      <c r="S28" s="87">
        <f t="shared" si="7"/>
        <v>3.1435043169023999E-2</v>
      </c>
      <c r="T28" s="87">
        <f t="shared" si="8"/>
        <v>0</v>
      </c>
      <c r="U28" s="87">
        <f t="shared" si="9"/>
        <v>0.20888860671853238</v>
      </c>
      <c r="V28" s="87">
        <f t="shared" si="10"/>
        <v>1.2866835150054367E-2</v>
      </c>
      <c r="W28" s="120">
        <f t="shared" si="11"/>
        <v>8.5778901000362444E-3</v>
      </c>
    </row>
    <row r="29" spans="2:23">
      <c r="B29" s="116">
        <f>Amnt_Deposited!B24</f>
        <v>2010</v>
      </c>
      <c r="C29" s="119">
        <f>Amnt_Deposited!H24</f>
        <v>0.42547915515599999</v>
      </c>
      <c r="D29" s="453">
        <f>Dry_Matter_Content!H16</f>
        <v>0.73</v>
      </c>
      <c r="E29" s="319">
        <f>MCF!R28</f>
        <v>0.8</v>
      </c>
      <c r="F29" s="87">
        <f t="shared" si="0"/>
        <v>3.7271973991665597E-2</v>
      </c>
      <c r="G29" s="87">
        <f t="shared" si="1"/>
        <v>3.7271973991665597E-2</v>
      </c>
      <c r="H29" s="87">
        <f t="shared" si="2"/>
        <v>0</v>
      </c>
      <c r="I29" s="87">
        <f t="shared" si="3"/>
        <v>0.21499635592389102</v>
      </c>
      <c r="J29" s="87">
        <f t="shared" si="4"/>
        <v>1.2886471698435388E-2</v>
      </c>
      <c r="K29" s="120">
        <f t="shared" si="6"/>
        <v>8.5909811322902579E-3</v>
      </c>
      <c r="O29" s="116">
        <f>Amnt_Deposited!B24</f>
        <v>2010</v>
      </c>
      <c r="P29" s="119">
        <f>Amnt_Deposited!H24</f>
        <v>0.42547915515599999</v>
      </c>
      <c r="Q29" s="319">
        <f>MCF!R28</f>
        <v>0.8</v>
      </c>
      <c r="R29" s="87">
        <f t="shared" si="5"/>
        <v>4.0845998894976004E-2</v>
      </c>
      <c r="S29" s="87">
        <f t="shared" si="7"/>
        <v>4.0845998894976004E-2</v>
      </c>
      <c r="T29" s="87">
        <f t="shared" si="8"/>
        <v>0</v>
      </c>
      <c r="U29" s="87">
        <f t="shared" si="9"/>
        <v>0.23561244484809973</v>
      </c>
      <c r="V29" s="87">
        <f t="shared" si="10"/>
        <v>1.4122160765408643E-2</v>
      </c>
      <c r="W29" s="120">
        <f t="shared" si="11"/>
        <v>9.4147738436057612E-3</v>
      </c>
    </row>
    <row r="30" spans="2:23">
      <c r="B30" s="116">
        <f>Amnt_Deposited!B25</f>
        <v>2011</v>
      </c>
      <c r="C30" s="119">
        <f>Amnt_Deposited!H25</f>
        <v>0.40758592500000002</v>
      </c>
      <c r="D30" s="453">
        <f>Dry_Matter_Content!H17</f>
        <v>0.73</v>
      </c>
      <c r="E30" s="319">
        <f>MCF!R29</f>
        <v>0.8</v>
      </c>
      <c r="F30" s="87">
        <f t="shared" si="0"/>
        <v>3.5704527030000002E-2</v>
      </c>
      <c r="G30" s="87">
        <f t="shared" si="1"/>
        <v>3.5704527030000002E-2</v>
      </c>
      <c r="H30" s="87">
        <f t="shared" si="2"/>
        <v>0</v>
      </c>
      <c r="I30" s="87">
        <f t="shared" si="3"/>
        <v>0.23616580059573561</v>
      </c>
      <c r="J30" s="87">
        <f t="shared" si="4"/>
        <v>1.4535082358155422E-2</v>
      </c>
      <c r="K30" s="120">
        <f t="shared" si="6"/>
        <v>9.6900549054369477E-3</v>
      </c>
      <c r="O30" s="116">
        <f>Amnt_Deposited!B25</f>
        <v>2011</v>
      </c>
      <c r="P30" s="119">
        <f>Amnt_Deposited!H25</f>
        <v>0.40758592500000002</v>
      </c>
      <c r="Q30" s="319">
        <f>MCF!R29</f>
        <v>0.8</v>
      </c>
      <c r="R30" s="87">
        <f t="shared" si="5"/>
        <v>3.9128248800000001E-2</v>
      </c>
      <c r="S30" s="87">
        <f t="shared" si="7"/>
        <v>3.9128248800000001E-2</v>
      </c>
      <c r="T30" s="87">
        <f t="shared" si="8"/>
        <v>0</v>
      </c>
      <c r="U30" s="87">
        <f t="shared" si="9"/>
        <v>0.25881183626929927</v>
      </c>
      <c r="V30" s="87">
        <f t="shared" si="10"/>
        <v>1.5928857378800461E-2</v>
      </c>
      <c r="W30" s="120">
        <f t="shared" si="11"/>
        <v>1.0619238252533639E-2</v>
      </c>
    </row>
    <row r="31" spans="2:23">
      <c r="B31" s="116">
        <f>Amnt_Deposited!B26</f>
        <v>2012</v>
      </c>
      <c r="C31" s="119">
        <f>Amnt_Deposited!H26</f>
        <v>0.42607424952000006</v>
      </c>
      <c r="D31" s="453">
        <f>Dry_Matter_Content!H18</f>
        <v>0.73</v>
      </c>
      <c r="E31" s="319">
        <f>MCF!R30</f>
        <v>0.8</v>
      </c>
      <c r="F31" s="87">
        <f t="shared" si="0"/>
        <v>3.7324104257952004E-2</v>
      </c>
      <c r="G31" s="87">
        <f t="shared" si="1"/>
        <v>3.7324104257952004E-2</v>
      </c>
      <c r="H31" s="87">
        <f t="shared" si="2"/>
        <v>0</v>
      </c>
      <c r="I31" s="87">
        <f t="shared" si="3"/>
        <v>0.25752363720655641</v>
      </c>
      <c r="J31" s="87">
        <f t="shared" si="4"/>
        <v>1.5966267647131209E-2</v>
      </c>
      <c r="K31" s="120">
        <f t="shared" si="6"/>
        <v>1.0644178431420806E-2</v>
      </c>
      <c r="O31" s="116">
        <f>Amnt_Deposited!B26</f>
        <v>2012</v>
      </c>
      <c r="P31" s="119">
        <f>Amnt_Deposited!H26</f>
        <v>0.42607424952000006</v>
      </c>
      <c r="Q31" s="319">
        <f>MCF!R30</f>
        <v>0.8</v>
      </c>
      <c r="R31" s="87">
        <f t="shared" si="5"/>
        <v>4.090312795392001E-2</v>
      </c>
      <c r="S31" s="87">
        <f t="shared" si="7"/>
        <v>4.090312795392001E-2</v>
      </c>
      <c r="T31" s="87">
        <f t="shared" si="8"/>
        <v>0</v>
      </c>
      <c r="U31" s="87">
        <f t="shared" si="9"/>
        <v>0.2822176846099248</v>
      </c>
      <c r="V31" s="87">
        <f t="shared" si="10"/>
        <v>1.7497279613294475E-2</v>
      </c>
      <c r="W31" s="120">
        <f t="shared" si="11"/>
        <v>1.166485307552965E-2</v>
      </c>
    </row>
    <row r="32" spans="2:23">
      <c r="B32" s="116">
        <f>Amnt_Deposited!B27</f>
        <v>2013</v>
      </c>
      <c r="C32" s="119">
        <f>Amnt_Deposited!H27</f>
        <v>0.44517234528000005</v>
      </c>
      <c r="D32" s="453">
        <f>Dry_Matter_Content!H19</f>
        <v>0.73</v>
      </c>
      <c r="E32" s="319">
        <f>MCF!R31</f>
        <v>0.8</v>
      </c>
      <c r="F32" s="87">
        <f t="shared" si="0"/>
        <v>3.8997097446528003E-2</v>
      </c>
      <c r="G32" s="87">
        <f t="shared" si="1"/>
        <v>3.8997097446528003E-2</v>
      </c>
      <c r="H32" s="87">
        <f t="shared" si="2"/>
        <v>0</v>
      </c>
      <c r="I32" s="87">
        <f t="shared" si="3"/>
        <v>0.27911054525762274</v>
      </c>
      <c r="J32" s="87">
        <f t="shared" si="4"/>
        <v>1.7410189395461694E-2</v>
      </c>
      <c r="K32" s="120">
        <f t="shared" si="6"/>
        <v>1.1606792930307796E-2</v>
      </c>
      <c r="O32" s="116">
        <f>Amnt_Deposited!B27</f>
        <v>2013</v>
      </c>
      <c r="P32" s="119">
        <f>Amnt_Deposited!H27</f>
        <v>0.44517234528000005</v>
      </c>
      <c r="Q32" s="319">
        <f>MCF!R31</f>
        <v>0.8</v>
      </c>
      <c r="R32" s="87">
        <f t="shared" si="5"/>
        <v>4.2736545146880002E-2</v>
      </c>
      <c r="S32" s="87">
        <f t="shared" si="7"/>
        <v>4.2736545146880002E-2</v>
      </c>
      <c r="T32" s="87">
        <f t="shared" si="8"/>
        <v>0</v>
      </c>
      <c r="U32" s="87">
        <f t="shared" si="9"/>
        <v>0.30587457014533997</v>
      </c>
      <c r="V32" s="87">
        <f t="shared" si="10"/>
        <v>1.9079659611464867E-2</v>
      </c>
      <c r="W32" s="120">
        <f t="shared" si="11"/>
        <v>1.2719773074309911E-2</v>
      </c>
    </row>
    <row r="33" spans="2:23">
      <c r="B33" s="116">
        <f>Amnt_Deposited!B28</f>
        <v>2014</v>
      </c>
      <c r="C33" s="119">
        <f>Amnt_Deposited!H28</f>
        <v>0.46447621992000004</v>
      </c>
      <c r="D33" s="453">
        <f>Dry_Matter_Content!H20</f>
        <v>0.73</v>
      </c>
      <c r="E33" s="319">
        <f>MCF!R32</f>
        <v>0.8</v>
      </c>
      <c r="F33" s="87">
        <f t="shared" si="0"/>
        <v>4.0688116864992005E-2</v>
      </c>
      <c r="G33" s="87">
        <f t="shared" si="1"/>
        <v>4.0688116864992005E-2</v>
      </c>
      <c r="H33" s="87">
        <f t="shared" si="2"/>
        <v>0</v>
      </c>
      <c r="I33" s="87">
        <f t="shared" si="3"/>
        <v>0.30092906433377892</v>
      </c>
      <c r="J33" s="87">
        <f t="shared" si="4"/>
        <v>1.8869597788835818E-2</v>
      </c>
      <c r="K33" s="120">
        <f t="shared" si="6"/>
        <v>1.2579731859223878E-2</v>
      </c>
      <c r="O33" s="116">
        <f>Amnt_Deposited!B28</f>
        <v>2014</v>
      </c>
      <c r="P33" s="119">
        <f>Amnt_Deposited!H28</f>
        <v>0.46447621992000004</v>
      </c>
      <c r="Q33" s="319">
        <f>MCF!R32</f>
        <v>0.8</v>
      </c>
      <c r="R33" s="87">
        <f t="shared" si="5"/>
        <v>4.4589717112320008E-2</v>
      </c>
      <c r="S33" s="87">
        <f t="shared" si="7"/>
        <v>4.4589717112320008E-2</v>
      </c>
      <c r="T33" s="87">
        <f t="shared" si="8"/>
        <v>0</v>
      </c>
      <c r="U33" s="87">
        <f t="shared" si="9"/>
        <v>0.32978527598222346</v>
      </c>
      <c r="V33" s="87">
        <f t="shared" si="10"/>
        <v>2.0679011275436511E-2</v>
      </c>
      <c r="W33" s="120">
        <f t="shared" si="11"/>
        <v>1.3786007516957674E-2</v>
      </c>
    </row>
    <row r="34" spans="2:23">
      <c r="B34" s="116">
        <f>Amnt_Deposited!B29</f>
        <v>2015</v>
      </c>
      <c r="C34" s="119">
        <f>Amnt_Deposited!H29</f>
        <v>0.48435960419999996</v>
      </c>
      <c r="D34" s="453">
        <f>Dry_Matter_Content!H21</f>
        <v>0.73</v>
      </c>
      <c r="E34" s="319">
        <f>MCF!R33</f>
        <v>0.8</v>
      </c>
      <c r="F34" s="87">
        <f t="shared" si="0"/>
        <v>4.2429901327919996E-2</v>
      </c>
      <c r="G34" s="87">
        <f t="shared" si="1"/>
        <v>4.2429901327919996E-2</v>
      </c>
      <c r="H34" s="87">
        <f t="shared" si="2"/>
        <v>0</v>
      </c>
      <c r="I34" s="87">
        <f t="shared" si="3"/>
        <v>0.32301430114281499</v>
      </c>
      <c r="J34" s="87">
        <f t="shared" si="4"/>
        <v>2.0344664518883934E-2</v>
      </c>
      <c r="K34" s="120">
        <f t="shared" si="6"/>
        <v>1.3563109679255956E-2</v>
      </c>
      <c r="O34" s="116">
        <f>Amnt_Deposited!B29</f>
        <v>2015</v>
      </c>
      <c r="P34" s="119">
        <f>Amnt_Deposited!H29</f>
        <v>0.48435960419999996</v>
      </c>
      <c r="Q34" s="319">
        <f>MCF!R33</f>
        <v>0.8</v>
      </c>
      <c r="R34" s="87">
        <f t="shared" si="5"/>
        <v>4.6498522003199996E-2</v>
      </c>
      <c r="S34" s="87">
        <f t="shared" si="7"/>
        <v>4.6498522003199996E-2</v>
      </c>
      <c r="T34" s="87">
        <f t="shared" si="8"/>
        <v>0</v>
      </c>
      <c r="U34" s="87">
        <f t="shared" si="9"/>
        <v>0.3539882752250027</v>
      </c>
      <c r="V34" s="87">
        <f t="shared" si="10"/>
        <v>2.2295522760420749E-2</v>
      </c>
      <c r="W34" s="120">
        <f t="shared" si="11"/>
        <v>1.4863681840280498E-2</v>
      </c>
    </row>
    <row r="35" spans="2:23">
      <c r="B35" s="116">
        <f>Amnt_Deposited!B30</f>
        <v>2016</v>
      </c>
      <c r="C35" s="119">
        <f>Amnt_Deposited!H30</f>
        <v>0.50474987027999996</v>
      </c>
      <c r="D35" s="453">
        <f>Dry_Matter_Content!H22</f>
        <v>0.73</v>
      </c>
      <c r="E35" s="319">
        <f>MCF!R34</f>
        <v>0.8</v>
      </c>
      <c r="F35" s="87">
        <f t="shared" si="0"/>
        <v>4.4216088636527998E-2</v>
      </c>
      <c r="G35" s="87">
        <f t="shared" si="1"/>
        <v>4.4216088636527998E-2</v>
      </c>
      <c r="H35" s="87">
        <f t="shared" si="2"/>
        <v>0</v>
      </c>
      <c r="I35" s="87">
        <f t="shared" si="3"/>
        <v>0.34539262676332755</v>
      </c>
      <c r="J35" s="87">
        <f t="shared" si="4"/>
        <v>2.1837763016015407E-2</v>
      </c>
      <c r="K35" s="120">
        <f t="shared" si="6"/>
        <v>1.4558508677343604E-2</v>
      </c>
      <c r="O35" s="116">
        <f>Amnt_Deposited!B30</f>
        <v>2016</v>
      </c>
      <c r="P35" s="119">
        <f>Amnt_Deposited!H30</f>
        <v>0.50474987027999996</v>
      </c>
      <c r="Q35" s="319">
        <f>MCF!R34</f>
        <v>0.8</v>
      </c>
      <c r="R35" s="87">
        <f t="shared" si="5"/>
        <v>4.8455987546879992E-2</v>
      </c>
      <c r="S35" s="87">
        <f t="shared" si="7"/>
        <v>4.8455987546879992E-2</v>
      </c>
      <c r="T35" s="87">
        <f t="shared" si="8"/>
        <v>0</v>
      </c>
      <c r="U35" s="87">
        <f t="shared" si="9"/>
        <v>0.37851246768583846</v>
      </c>
      <c r="V35" s="87">
        <f t="shared" si="10"/>
        <v>2.3931795086044282E-2</v>
      </c>
      <c r="W35" s="120">
        <f t="shared" si="11"/>
        <v>1.5954530057362852E-2</v>
      </c>
    </row>
    <row r="36" spans="2:23">
      <c r="B36" s="116">
        <f>Amnt_Deposited!B31</f>
        <v>2017</v>
      </c>
      <c r="C36" s="119">
        <f>Amnt_Deposited!H31</f>
        <v>0.50707244807999996</v>
      </c>
      <c r="D36" s="453">
        <f>Dry_Matter_Content!H23</f>
        <v>0.73</v>
      </c>
      <c r="E36" s="319">
        <f>MCF!R35</f>
        <v>0.8</v>
      </c>
      <c r="F36" s="87">
        <f t="shared" si="0"/>
        <v>4.4419546451807998E-2</v>
      </c>
      <c r="G36" s="87">
        <f t="shared" si="1"/>
        <v>4.4419546451807998E-2</v>
      </c>
      <c r="H36" s="87">
        <f t="shared" si="2"/>
        <v>0</v>
      </c>
      <c r="I36" s="87">
        <f t="shared" si="3"/>
        <v>0.36646149708701647</v>
      </c>
      <c r="J36" s="87">
        <f t="shared" si="4"/>
        <v>2.3350676128119113E-2</v>
      </c>
      <c r="K36" s="120">
        <f t="shared" si="6"/>
        <v>1.5567117418746074E-2</v>
      </c>
      <c r="O36" s="116">
        <f>Amnt_Deposited!B31</f>
        <v>2017</v>
      </c>
      <c r="P36" s="119">
        <f>Amnt_Deposited!H31</f>
        <v>0.50707244807999996</v>
      </c>
      <c r="Q36" s="319">
        <f>MCF!R35</f>
        <v>0.8</v>
      </c>
      <c r="R36" s="87">
        <f t="shared" si="5"/>
        <v>4.8678955015679995E-2</v>
      </c>
      <c r="S36" s="87">
        <f t="shared" si="7"/>
        <v>4.8678955015679995E-2</v>
      </c>
      <c r="T36" s="87">
        <f t="shared" si="8"/>
        <v>0</v>
      </c>
      <c r="U36" s="87">
        <f t="shared" si="9"/>
        <v>0.40160164064330572</v>
      </c>
      <c r="V36" s="87">
        <f t="shared" si="10"/>
        <v>2.5589782058212728E-2</v>
      </c>
      <c r="W36" s="120">
        <f t="shared" si="11"/>
        <v>1.705985470547515E-2</v>
      </c>
    </row>
    <row r="37" spans="2:23">
      <c r="B37" s="116">
        <f>Amnt_Deposited!B32</f>
        <v>2018</v>
      </c>
      <c r="C37" s="119">
        <f>Amnt_Deposited!H32</f>
        <v>0.52598140884000011</v>
      </c>
      <c r="D37" s="453">
        <f>Dry_Matter_Content!H24</f>
        <v>0.73</v>
      </c>
      <c r="E37" s="319">
        <f>MCF!R36</f>
        <v>0.8</v>
      </c>
      <c r="F37" s="87">
        <f t="shared" si="0"/>
        <v>4.6075971414384007E-2</v>
      </c>
      <c r="G37" s="87">
        <f t="shared" si="1"/>
        <v>4.6075971414384007E-2</v>
      </c>
      <c r="H37" s="87">
        <f t="shared" si="2"/>
        <v>0</v>
      </c>
      <c r="I37" s="87">
        <f t="shared" si="3"/>
        <v>0.38776240653179983</v>
      </c>
      <c r="J37" s="87">
        <f t="shared" si="4"/>
        <v>2.4775061969600647E-2</v>
      </c>
      <c r="K37" s="120">
        <f t="shared" si="6"/>
        <v>1.6516707979733765E-2</v>
      </c>
      <c r="O37" s="116">
        <f>Amnt_Deposited!B32</f>
        <v>2018</v>
      </c>
      <c r="P37" s="119">
        <f>Amnt_Deposited!H32</f>
        <v>0.52598140884000011</v>
      </c>
      <c r="Q37" s="319">
        <f>MCF!R36</f>
        <v>0.8</v>
      </c>
      <c r="R37" s="87">
        <f t="shared" si="5"/>
        <v>5.0494215248640006E-2</v>
      </c>
      <c r="S37" s="87">
        <f t="shared" si="7"/>
        <v>5.0494215248640006E-2</v>
      </c>
      <c r="T37" s="87">
        <f t="shared" si="8"/>
        <v>0</v>
      </c>
      <c r="U37" s="87">
        <f t="shared" si="9"/>
        <v>0.42494510304854777</v>
      </c>
      <c r="V37" s="87">
        <f t="shared" si="10"/>
        <v>2.715075284339797E-2</v>
      </c>
      <c r="W37" s="120">
        <f t="shared" si="11"/>
        <v>1.8100501895598645E-2</v>
      </c>
    </row>
    <row r="38" spans="2:23">
      <c r="B38" s="116">
        <f>Amnt_Deposited!B33</f>
        <v>2019</v>
      </c>
      <c r="C38" s="119">
        <f>Amnt_Deposited!H33</f>
        <v>0.54489036959999992</v>
      </c>
      <c r="D38" s="453">
        <f>Dry_Matter_Content!H25</f>
        <v>0.73</v>
      </c>
      <c r="E38" s="319">
        <f>MCF!R37</f>
        <v>0.8</v>
      </c>
      <c r="F38" s="87">
        <f t="shared" si="0"/>
        <v>4.7732396376959994E-2</v>
      </c>
      <c r="G38" s="87">
        <f t="shared" si="1"/>
        <v>4.7732396376959994E-2</v>
      </c>
      <c r="H38" s="87">
        <f t="shared" si="2"/>
        <v>0</v>
      </c>
      <c r="I38" s="87">
        <f t="shared" si="3"/>
        <v>0.40927966781906805</v>
      </c>
      <c r="J38" s="87">
        <f t="shared" si="4"/>
        <v>2.6215135089691758E-2</v>
      </c>
      <c r="K38" s="120">
        <f t="shared" si="6"/>
        <v>1.7476756726461172E-2</v>
      </c>
      <c r="O38" s="116">
        <f>Amnt_Deposited!B33</f>
        <v>2019</v>
      </c>
      <c r="P38" s="119">
        <f>Amnt_Deposited!H33</f>
        <v>0.54489036959999992</v>
      </c>
      <c r="Q38" s="319">
        <f>MCF!R37</f>
        <v>0.8</v>
      </c>
      <c r="R38" s="87">
        <f t="shared" si="5"/>
        <v>5.230947548159999E-2</v>
      </c>
      <c r="S38" s="87">
        <f t="shared" si="7"/>
        <v>5.230947548159999E-2</v>
      </c>
      <c r="T38" s="87">
        <f t="shared" si="8"/>
        <v>0</v>
      </c>
      <c r="U38" s="87">
        <f t="shared" si="9"/>
        <v>0.44852566336336225</v>
      </c>
      <c r="V38" s="87">
        <f t="shared" si="10"/>
        <v>2.8728915166785489E-2</v>
      </c>
      <c r="W38" s="120">
        <f t="shared" si="11"/>
        <v>1.9152610111190325E-2</v>
      </c>
    </row>
    <row r="39" spans="2:23">
      <c r="B39" s="116">
        <f>Amnt_Deposited!B34</f>
        <v>2020</v>
      </c>
      <c r="C39" s="119">
        <f>Amnt_Deposited!H34</f>
        <v>0.56379933036000007</v>
      </c>
      <c r="D39" s="453">
        <f>Dry_Matter_Content!H26</f>
        <v>0.73</v>
      </c>
      <c r="E39" s="319">
        <f>MCF!R38</f>
        <v>0.8</v>
      </c>
      <c r="F39" s="87">
        <f t="shared" si="0"/>
        <v>4.938882133953601E-2</v>
      </c>
      <c r="G39" s="87">
        <f t="shared" si="1"/>
        <v>4.938882133953601E-2</v>
      </c>
      <c r="H39" s="87">
        <f t="shared" si="2"/>
        <v>0</v>
      </c>
      <c r="I39" s="87">
        <f t="shared" si="3"/>
        <v>0.43099865422719452</v>
      </c>
      <c r="J39" s="87">
        <f t="shared" si="4"/>
        <v>2.7669834931409582E-2</v>
      </c>
      <c r="K39" s="120">
        <f t="shared" si="6"/>
        <v>1.8446556620939719E-2</v>
      </c>
      <c r="O39" s="116">
        <f>Amnt_Deposited!B34</f>
        <v>2020</v>
      </c>
      <c r="P39" s="119">
        <f>Amnt_Deposited!H34</f>
        <v>0.56379933036000007</v>
      </c>
      <c r="Q39" s="319">
        <f>MCF!R38</f>
        <v>0.8</v>
      </c>
      <c r="R39" s="87">
        <f t="shared" si="5"/>
        <v>5.4124735714560002E-2</v>
      </c>
      <c r="S39" s="87">
        <f t="shared" si="7"/>
        <v>5.4124735714560002E-2</v>
      </c>
      <c r="T39" s="87">
        <f t="shared" si="8"/>
        <v>0</v>
      </c>
      <c r="U39" s="87">
        <f t="shared" si="9"/>
        <v>0.47232729230377474</v>
      </c>
      <c r="V39" s="87">
        <f t="shared" si="10"/>
        <v>3.0323106774147488E-2</v>
      </c>
      <c r="W39" s="120">
        <f t="shared" si="11"/>
        <v>2.0215404516098323E-2</v>
      </c>
    </row>
    <row r="40" spans="2:23">
      <c r="B40" s="116">
        <f>Amnt_Deposited!B35</f>
        <v>2021</v>
      </c>
      <c r="C40" s="119">
        <f>Amnt_Deposited!H35</f>
        <v>0.58270829112</v>
      </c>
      <c r="D40" s="453">
        <f>Dry_Matter_Content!H27</f>
        <v>0.73</v>
      </c>
      <c r="E40" s="319">
        <f>MCF!R39</f>
        <v>0.8</v>
      </c>
      <c r="F40" s="87">
        <f t="shared" si="0"/>
        <v>5.1045246302112005E-2</v>
      </c>
      <c r="G40" s="87">
        <f t="shared" si="1"/>
        <v>5.1045246302112005E-2</v>
      </c>
      <c r="H40" s="87">
        <f t="shared" si="2"/>
        <v>0</v>
      </c>
      <c r="I40" s="87">
        <f t="shared" si="3"/>
        <v>0.45290572789132888</v>
      </c>
      <c r="J40" s="87">
        <f t="shared" si="4"/>
        <v>2.913817263797764E-2</v>
      </c>
      <c r="K40" s="120">
        <f t="shared" si="6"/>
        <v>1.9425448425318424E-2</v>
      </c>
      <c r="O40" s="116">
        <f>Amnt_Deposited!B35</f>
        <v>2021</v>
      </c>
      <c r="P40" s="119">
        <f>Amnt_Deposited!H35</f>
        <v>0.58270829112</v>
      </c>
      <c r="Q40" s="319">
        <f>MCF!R39</f>
        <v>0.8</v>
      </c>
      <c r="R40" s="87">
        <f t="shared" si="5"/>
        <v>5.5939995947519999E-2</v>
      </c>
      <c r="S40" s="87">
        <f t="shared" si="7"/>
        <v>5.5939995947519999E-2</v>
      </c>
      <c r="T40" s="87">
        <f t="shared" si="8"/>
        <v>0</v>
      </c>
      <c r="U40" s="87">
        <f t="shared" si="9"/>
        <v>0.49633504426446995</v>
      </c>
      <c r="V40" s="87">
        <f t="shared" si="10"/>
        <v>3.1932243986824808E-2</v>
      </c>
      <c r="W40" s="120">
        <f t="shared" si="11"/>
        <v>2.1288162657883206E-2</v>
      </c>
    </row>
    <row r="41" spans="2:23">
      <c r="B41" s="116">
        <f>Amnt_Deposited!B36</f>
        <v>2022</v>
      </c>
      <c r="C41" s="119">
        <f>Amnt_Deposited!H36</f>
        <v>0.60161725188000004</v>
      </c>
      <c r="D41" s="453">
        <f>Dry_Matter_Content!H28</f>
        <v>0.73</v>
      </c>
      <c r="E41" s="319">
        <f>MCF!R40</f>
        <v>0.8</v>
      </c>
      <c r="F41" s="87">
        <f t="shared" si="0"/>
        <v>5.2701671264687999E-2</v>
      </c>
      <c r="G41" s="87">
        <f t="shared" si="1"/>
        <v>5.2701671264687999E-2</v>
      </c>
      <c r="H41" s="87">
        <f t="shared" si="2"/>
        <v>0</v>
      </c>
      <c r="I41" s="87">
        <f t="shared" si="3"/>
        <v>0.47498817295056811</v>
      </c>
      <c r="J41" s="87">
        <f t="shared" si="4"/>
        <v>3.0619226205448765E-2</v>
      </c>
      <c r="K41" s="120">
        <f t="shared" si="6"/>
        <v>2.0412817470299174E-2</v>
      </c>
      <c r="O41" s="116">
        <f>Amnt_Deposited!B36</f>
        <v>2022</v>
      </c>
      <c r="P41" s="119">
        <f>Amnt_Deposited!H36</f>
        <v>0.60161725188000004</v>
      </c>
      <c r="Q41" s="319">
        <f>MCF!R40</f>
        <v>0.8</v>
      </c>
      <c r="R41" s="87">
        <f t="shared" si="5"/>
        <v>5.7755256180479997E-2</v>
      </c>
      <c r="S41" s="87">
        <f t="shared" si="7"/>
        <v>5.7755256180479997E-2</v>
      </c>
      <c r="T41" s="87">
        <f t="shared" si="8"/>
        <v>0</v>
      </c>
      <c r="U41" s="87">
        <f t="shared" si="9"/>
        <v>0.52053498405541698</v>
      </c>
      <c r="V41" s="87">
        <f t="shared" si="10"/>
        <v>3.3555316389532894E-2</v>
      </c>
      <c r="W41" s="120">
        <f t="shared" si="11"/>
        <v>2.2370210926355261E-2</v>
      </c>
    </row>
    <row r="42" spans="2:23">
      <c r="B42" s="116">
        <f>Amnt_Deposited!B37</f>
        <v>2023</v>
      </c>
      <c r="C42" s="119">
        <f>Amnt_Deposited!H37</f>
        <v>0.62052621264000007</v>
      </c>
      <c r="D42" s="453">
        <f>Dry_Matter_Content!H29</f>
        <v>0.73</v>
      </c>
      <c r="E42" s="319">
        <f>MCF!R41</f>
        <v>0.8</v>
      </c>
      <c r="F42" s="87">
        <f t="shared" si="0"/>
        <v>5.4358096227264008E-2</v>
      </c>
      <c r="G42" s="87">
        <f t="shared" si="1"/>
        <v>5.4358096227264008E-2</v>
      </c>
      <c r="H42" s="87">
        <f t="shared" si="2"/>
        <v>0</v>
      </c>
      <c r="I42" s="87">
        <f t="shared" si="3"/>
        <v>0.49723413321479143</v>
      </c>
      <c r="J42" s="87">
        <f t="shared" si="4"/>
        <v>3.2112135963040696E-2</v>
      </c>
      <c r="K42" s="120">
        <f t="shared" si="6"/>
        <v>2.1408090642027131E-2</v>
      </c>
      <c r="O42" s="116">
        <f>Amnt_Deposited!B37</f>
        <v>2023</v>
      </c>
      <c r="P42" s="119">
        <f>Amnt_Deposited!H37</f>
        <v>0.62052621264000007</v>
      </c>
      <c r="Q42" s="319">
        <f>MCF!R41</f>
        <v>0.8</v>
      </c>
      <c r="R42" s="87">
        <f t="shared" si="5"/>
        <v>5.9570516413440001E-2</v>
      </c>
      <c r="S42" s="87">
        <f t="shared" si="7"/>
        <v>5.9570516413440001E-2</v>
      </c>
      <c r="T42" s="87">
        <f t="shared" si="8"/>
        <v>0</v>
      </c>
      <c r="U42" s="87">
        <f t="shared" si="9"/>
        <v>0.54491411859155214</v>
      </c>
      <c r="V42" s="87">
        <f t="shared" si="10"/>
        <v>3.5191381877304861E-2</v>
      </c>
      <c r="W42" s="120">
        <f t="shared" si="11"/>
        <v>2.3460921251536572E-2</v>
      </c>
    </row>
    <row r="43" spans="2:23">
      <c r="B43" s="116">
        <f>Amnt_Deposited!B38</f>
        <v>2024</v>
      </c>
      <c r="C43" s="119">
        <f>Amnt_Deposited!H38</f>
        <v>0.6394351734</v>
      </c>
      <c r="D43" s="453">
        <f>Dry_Matter_Content!H30</f>
        <v>0.73</v>
      </c>
      <c r="E43" s="319">
        <f>MCF!R42</f>
        <v>0.8</v>
      </c>
      <c r="F43" s="87">
        <f t="shared" si="0"/>
        <v>5.6014521189839996E-2</v>
      </c>
      <c r="G43" s="87">
        <f t="shared" si="1"/>
        <v>5.6014521189839996E-2</v>
      </c>
      <c r="H43" s="87">
        <f t="shared" si="2"/>
        <v>0</v>
      </c>
      <c r="I43" s="87">
        <f t="shared" si="3"/>
        <v>0.51963255404560249</v>
      </c>
      <c r="J43" s="87">
        <f t="shared" si="4"/>
        <v>3.36161003590289E-2</v>
      </c>
      <c r="K43" s="120">
        <f t="shared" si="6"/>
        <v>2.2410733572685932E-2</v>
      </c>
      <c r="O43" s="116">
        <f>Amnt_Deposited!B38</f>
        <v>2024</v>
      </c>
      <c r="P43" s="119">
        <f>Amnt_Deposited!H38</f>
        <v>0.6394351734</v>
      </c>
      <c r="Q43" s="319">
        <f>MCF!R42</f>
        <v>0.8</v>
      </c>
      <c r="R43" s="87">
        <f t="shared" si="5"/>
        <v>6.1385776646400006E-2</v>
      </c>
      <c r="S43" s="87">
        <f t="shared" si="7"/>
        <v>6.1385776646400006E-2</v>
      </c>
      <c r="T43" s="87">
        <f t="shared" si="8"/>
        <v>0</v>
      </c>
      <c r="U43" s="87">
        <f t="shared" si="9"/>
        <v>0.56946033320066025</v>
      </c>
      <c r="V43" s="87">
        <f t="shared" si="10"/>
        <v>3.6839562037291933E-2</v>
      </c>
      <c r="W43" s="120">
        <f t="shared" si="11"/>
        <v>2.4559708024861286E-2</v>
      </c>
    </row>
    <row r="44" spans="2:23">
      <c r="B44" s="116">
        <f>Amnt_Deposited!B39</f>
        <v>2025</v>
      </c>
      <c r="C44" s="119">
        <f>Amnt_Deposited!H39</f>
        <v>0.65834413416000015</v>
      </c>
      <c r="D44" s="453">
        <f>Dry_Matter_Content!H31</f>
        <v>0.73</v>
      </c>
      <c r="E44" s="319">
        <f>MCF!R43</f>
        <v>0.8</v>
      </c>
      <c r="F44" s="87">
        <f t="shared" si="0"/>
        <v>5.7670946152416018E-2</v>
      </c>
      <c r="G44" s="87">
        <f t="shared" si="1"/>
        <v>5.7670946152416018E-2</v>
      </c>
      <c r="H44" s="87">
        <f t="shared" si="2"/>
        <v>0</v>
      </c>
      <c r="I44" s="87">
        <f t="shared" si="3"/>
        <v>0.54217312816647945</v>
      </c>
      <c r="J44" s="87">
        <f t="shared" si="4"/>
        <v>3.513037203153907E-2</v>
      </c>
      <c r="K44" s="120">
        <f t="shared" si="6"/>
        <v>2.3420248021026047E-2</v>
      </c>
      <c r="O44" s="116">
        <f>Amnt_Deposited!B39</f>
        <v>2025</v>
      </c>
      <c r="P44" s="119">
        <f>Amnt_Deposited!H39</f>
        <v>0.65834413416000015</v>
      </c>
      <c r="Q44" s="319">
        <f>MCF!R43</f>
        <v>0.8</v>
      </c>
      <c r="R44" s="87">
        <f t="shared" si="5"/>
        <v>6.3201036879360017E-2</v>
      </c>
      <c r="S44" s="87">
        <f t="shared" si="7"/>
        <v>6.3201036879360017E-2</v>
      </c>
      <c r="T44" s="87">
        <f t="shared" si="8"/>
        <v>0</v>
      </c>
      <c r="U44" s="87">
        <f t="shared" si="9"/>
        <v>0.5941623322372378</v>
      </c>
      <c r="V44" s="87">
        <f t="shared" si="10"/>
        <v>3.8499037842782538E-2</v>
      </c>
      <c r="W44" s="120">
        <f t="shared" si="11"/>
        <v>2.566602522852169E-2</v>
      </c>
    </row>
    <row r="45" spans="2:23">
      <c r="B45" s="116">
        <f>Amnt_Deposited!B40</f>
        <v>2026</v>
      </c>
      <c r="C45" s="119">
        <f>Amnt_Deposited!H40</f>
        <v>0.67725309491999997</v>
      </c>
      <c r="D45" s="453">
        <f>Dry_Matter_Content!H32</f>
        <v>0.73</v>
      </c>
      <c r="E45" s="319">
        <f>MCF!R44</f>
        <v>0.8</v>
      </c>
      <c r="F45" s="87">
        <f t="shared" si="0"/>
        <v>5.9327371114992006E-2</v>
      </c>
      <c r="G45" s="87">
        <f t="shared" si="1"/>
        <v>5.9327371114992006E-2</v>
      </c>
      <c r="H45" s="87">
        <f t="shared" si="2"/>
        <v>0</v>
      </c>
      <c r="I45" s="87">
        <f t="shared" si="3"/>
        <v>0.56484624513649306</v>
      </c>
      <c r="J45" s="87">
        <f t="shared" si="4"/>
        <v>3.6654254144978402E-2</v>
      </c>
      <c r="K45" s="120">
        <f t="shared" si="6"/>
        <v>2.44361694299856E-2</v>
      </c>
      <c r="O45" s="116">
        <f>Amnt_Deposited!B40</f>
        <v>2026</v>
      </c>
      <c r="P45" s="119">
        <f>Amnt_Deposited!H40</f>
        <v>0.67725309491999997</v>
      </c>
      <c r="Q45" s="319">
        <f>MCF!R44</f>
        <v>0.8</v>
      </c>
      <c r="R45" s="87">
        <f t="shared" si="5"/>
        <v>6.5016297112320001E-2</v>
      </c>
      <c r="S45" s="87">
        <f t="shared" si="7"/>
        <v>6.5016297112320001E-2</v>
      </c>
      <c r="T45" s="87">
        <f t="shared" si="8"/>
        <v>0</v>
      </c>
      <c r="U45" s="87">
        <f t="shared" si="9"/>
        <v>0.61900958371122539</v>
      </c>
      <c r="V45" s="87">
        <f t="shared" si="10"/>
        <v>4.0169045638332491E-2</v>
      </c>
      <c r="W45" s="120">
        <f t="shared" si="11"/>
        <v>2.6779363758888328E-2</v>
      </c>
    </row>
    <row r="46" spans="2:23">
      <c r="B46" s="116">
        <f>Amnt_Deposited!B41</f>
        <v>2027</v>
      </c>
      <c r="C46" s="119">
        <f>Amnt_Deposited!H41</f>
        <v>0.69616205568000011</v>
      </c>
      <c r="D46" s="453">
        <f>Dry_Matter_Content!H33</f>
        <v>0.73</v>
      </c>
      <c r="E46" s="319">
        <f>MCF!R45</f>
        <v>0.8</v>
      </c>
      <c r="F46" s="87">
        <f t="shared" si="0"/>
        <v>6.0983796077568E-2</v>
      </c>
      <c r="G46" s="87">
        <f t="shared" si="1"/>
        <v>6.0983796077568E-2</v>
      </c>
      <c r="H46" s="87">
        <f t="shared" si="2"/>
        <v>0</v>
      </c>
      <c r="I46" s="87">
        <f t="shared" si="3"/>
        <v>0.58764294423991437</v>
      </c>
      <c r="J46" s="87">
        <f t="shared" si="4"/>
        <v>3.8187096974146642E-2</v>
      </c>
      <c r="K46" s="120">
        <f t="shared" si="6"/>
        <v>2.5458064649431095E-2</v>
      </c>
      <c r="O46" s="116">
        <f>Amnt_Deposited!B41</f>
        <v>2027</v>
      </c>
      <c r="P46" s="119">
        <f>Amnt_Deposited!H41</f>
        <v>0.69616205568000011</v>
      </c>
      <c r="Q46" s="319">
        <f>MCF!R45</f>
        <v>0.8</v>
      </c>
      <c r="R46" s="87">
        <f t="shared" si="5"/>
        <v>6.6831557345280013E-2</v>
      </c>
      <c r="S46" s="87">
        <f t="shared" si="7"/>
        <v>6.6831557345280013E-2</v>
      </c>
      <c r="T46" s="87">
        <f t="shared" si="8"/>
        <v>0</v>
      </c>
      <c r="U46" s="87">
        <f t="shared" si="9"/>
        <v>0.64399226766018036</v>
      </c>
      <c r="V46" s="87">
        <f t="shared" si="10"/>
        <v>4.1848873396325093E-2</v>
      </c>
      <c r="W46" s="120">
        <f t="shared" si="11"/>
        <v>2.7899248930883393E-2</v>
      </c>
    </row>
    <row r="47" spans="2:23">
      <c r="B47" s="116">
        <f>Amnt_Deposited!B42</f>
        <v>2028</v>
      </c>
      <c r="C47" s="119">
        <f>Amnt_Deposited!H42</f>
        <v>0.71507101644000004</v>
      </c>
      <c r="D47" s="453">
        <f>Dry_Matter_Content!H34</f>
        <v>0.73</v>
      </c>
      <c r="E47" s="319">
        <f>MCF!R46</f>
        <v>0.8</v>
      </c>
      <c r="F47" s="87">
        <f t="shared" si="0"/>
        <v>6.2640221040144009E-2</v>
      </c>
      <c r="G47" s="87">
        <f t="shared" si="1"/>
        <v>6.2640221040144009E-2</v>
      </c>
      <c r="H47" s="87">
        <f t="shared" si="2"/>
        <v>0</v>
      </c>
      <c r="I47" s="87">
        <f t="shared" si="3"/>
        <v>0.61055487056077595</v>
      </c>
      <c r="J47" s="87">
        <f t="shared" si="4"/>
        <v>3.972829471928245E-2</v>
      </c>
      <c r="K47" s="120">
        <f t="shared" si="6"/>
        <v>2.6485529812854965E-2</v>
      </c>
      <c r="O47" s="116">
        <f>Amnt_Deposited!B42</f>
        <v>2028</v>
      </c>
      <c r="P47" s="119">
        <f>Amnt_Deposited!H42</f>
        <v>0.71507101644000004</v>
      </c>
      <c r="Q47" s="319">
        <f>MCF!R46</f>
        <v>0.8</v>
      </c>
      <c r="R47" s="87">
        <f t="shared" si="5"/>
        <v>6.864681757824001E-2</v>
      </c>
      <c r="S47" s="87">
        <f t="shared" si="7"/>
        <v>6.864681757824001E-2</v>
      </c>
      <c r="T47" s="87">
        <f t="shared" si="8"/>
        <v>0</v>
      </c>
      <c r="U47" s="87">
        <f t="shared" si="9"/>
        <v>0.66910122801180938</v>
      </c>
      <c r="V47" s="87">
        <f t="shared" si="10"/>
        <v>4.3537857226610917E-2</v>
      </c>
      <c r="W47" s="120">
        <f t="shared" si="11"/>
        <v>2.9025238151073943E-2</v>
      </c>
    </row>
    <row r="48" spans="2:23">
      <c r="B48" s="116">
        <f>Amnt_Deposited!B43</f>
        <v>2029</v>
      </c>
      <c r="C48" s="119">
        <f>Amnt_Deposited!H43</f>
        <v>0.73397997720000008</v>
      </c>
      <c r="D48" s="453">
        <f>Dry_Matter_Content!H35</f>
        <v>0.73</v>
      </c>
      <c r="E48" s="319">
        <f>MCF!R47</f>
        <v>0.8</v>
      </c>
      <c r="F48" s="87">
        <f t="shared" si="0"/>
        <v>6.4296646002720004E-2</v>
      </c>
      <c r="G48" s="87">
        <f t="shared" si="1"/>
        <v>6.4296646002720004E-2</v>
      </c>
      <c r="H48" s="87">
        <f t="shared" si="2"/>
        <v>0</v>
      </c>
      <c r="I48" s="87">
        <f t="shared" si="3"/>
        <v>0.6335742340270637</v>
      </c>
      <c r="J48" s="87">
        <f t="shared" si="4"/>
        <v>4.1277282536432258E-2</v>
      </c>
      <c r="K48" s="120">
        <f t="shared" si="6"/>
        <v>2.7518188357621504E-2</v>
      </c>
      <c r="O48" s="116">
        <f>Amnt_Deposited!B43</f>
        <v>2029</v>
      </c>
      <c r="P48" s="119">
        <f>Amnt_Deposited!H43</f>
        <v>0.73397997720000008</v>
      </c>
      <c r="Q48" s="319">
        <f>MCF!R47</f>
        <v>0.8</v>
      </c>
      <c r="R48" s="87">
        <f t="shared" si="5"/>
        <v>7.0462077811200008E-2</v>
      </c>
      <c r="S48" s="87">
        <f t="shared" si="7"/>
        <v>7.0462077811200008E-2</v>
      </c>
      <c r="T48" s="87">
        <f t="shared" si="8"/>
        <v>0</v>
      </c>
      <c r="U48" s="87">
        <f t="shared" si="9"/>
        <v>0.6943279277008918</v>
      </c>
      <c r="V48" s="87">
        <f t="shared" si="10"/>
        <v>4.5235378122117552E-2</v>
      </c>
      <c r="W48" s="120">
        <f t="shared" si="11"/>
        <v>3.0156918748078368E-2</v>
      </c>
    </row>
    <row r="49" spans="2:23">
      <c r="B49" s="116">
        <f>Amnt_Deposited!B44</f>
        <v>2030</v>
      </c>
      <c r="C49" s="119">
        <f>Amnt_Deposited!H44</f>
        <v>0.75288893796</v>
      </c>
      <c r="D49" s="453">
        <f>Dry_Matter_Content!H36</f>
        <v>0.73</v>
      </c>
      <c r="E49" s="319">
        <f>MCF!R48</f>
        <v>0.8</v>
      </c>
      <c r="F49" s="87">
        <f t="shared" si="0"/>
        <v>6.5953070965295998E-2</v>
      </c>
      <c r="G49" s="87">
        <f t="shared" si="1"/>
        <v>6.5953070965295998E-2</v>
      </c>
      <c r="H49" s="87">
        <f t="shared" si="2"/>
        <v>0</v>
      </c>
      <c r="I49" s="87">
        <f t="shared" si="3"/>
        <v>0.65669377122377515</v>
      </c>
      <c r="J49" s="87">
        <f t="shared" si="4"/>
        <v>4.2833533768584543E-2</v>
      </c>
      <c r="K49" s="120">
        <f t="shared" si="6"/>
        <v>2.8555689179056362E-2</v>
      </c>
      <c r="O49" s="116">
        <f>Amnt_Deposited!B44</f>
        <v>2030</v>
      </c>
      <c r="P49" s="119">
        <f>Amnt_Deposited!H44</f>
        <v>0.75288893796</v>
      </c>
      <c r="Q49" s="319">
        <f>MCF!R48</f>
        <v>0.8</v>
      </c>
      <c r="R49" s="87">
        <f t="shared" si="5"/>
        <v>7.2277338044160006E-2</v>
      </c>
      <c r="S49" s="87">
        <f t="shared" si="7"/>
        <v>7.2277338044160006E-2</v>
      </c>
      <c r="T49" s="87">
        <f t="shared" si="8"/>
        <v>0</v>
      </c>
      <c r="U49" s="87">
        <f t="shared" si="9"/>
        <v>0.71966440682057564</v>
      </c>
      <c r="V49" s="87">
        <f t="shared" si="10"/>
        <v>4.694085892447622E-2</v>
      </c>
      <c r="W49" s="120">
        <f t="shared" si="11"/>
        <v>3.1293905949650813E-2</v>
      </c>
    </row>
    <row r="50" spans="2:23">
      <c r="B50" s="116">
        <f>Amnt_Deposited!B45</f>
        <v>2031</v>
      </c>
      <c r="C50" s="119">
        <f>Amnt_Deposited!H45</f>
        <v>0</v>
      </c>
      <c r="D50" s="453">
        <f>Dry_Matter_Content!H37</f>
        <v>0.73</v>
      </c>
      <c r="E50" s="319">
        <f>MCF!R49</f>
        <v>0.8</v>
      </c>
      <c r="F50" s="87">
        <f t="shared" si="0"/>
        <v>0</v>
      </c>
      <c r="G50" s="87">
        <f t="shared" si="1"/>
        <v>0</v>
      </c>
      <c r="H50" s="87">
        <f t="shared" si="2"/>
        <v>0</v>
      </c>
      <c r="I50" s="87">
        <f t="shared" si="3"/>
        <v>0.61229721385977864</v>
      </c>
      <c r="J50" s="87">
        <f t="shared" si="4"/>
        <v>4.4396557363996544E-2</v>
      </c>
      <c r="K50" s="120">
        <f t="shared" si="6"/>
        <v>2.959770490933103E-2</v>
      </c>
      <c r="O50" s="116">
        <f>Amnt_Deposited!B45</f>
        <v>2031</v>
      </c>
      <c r="P50" s="119">
        <f>Amnt_Deposited!H45</f>
        <v>0</v>
      </c>
      <c r="Q50" s="319">
        <f>MCF!R49</f>
        <v>0.8</v>
      </c>
      <c r="R50" s="87">
        <f t="shared" si="5"/>
        <v>0</v>
      </c>
      <c r="S50" s="87">
        <f t="shared" si="7"/>
        <v>0</v>
      </c>
      <c r="T50" s="87">
        <f t="shared" si="8"/>
        <v>0</v>
      </c>
      <c r="U50" s="87">
        <f t="shared" si="9"/>
        <v>0.67101064532578492</v>
      </c>
      <c r="V50" s="87">
        <f t="shared" si="10"/>
        <v>4.8653761494790747E-2</v>
      </c>
      <c r="W50" s="120">
        <f t="shared" si="11"/>
        <v>3.243584099652716E-2</v>
      </c>
    </row>
    <row r="51" spans="2:23">
      <c r="B51" s="116">
        <f>Amnt_Deposited!B46</f>
        <v>2032</v>
      </c>
      <c r="C51" s="119">
        <f>Amnt_Deposited!H46</f>
        <v>0</v>
      </c>
      <c r="D51" s="453">
        <f>Dry_Matter_Content!H38</f>
        <v>0.73</v>
      </c>
      <c r="E51" s="319">
        <f>MCF!R50</f>
        <v>0.8</v>
      </c>
      <c r="F51" s="87">
        <f t="shared" ref="F51:F82" si="12">C51*D51*$K$6*DOCF*E51</f>
        <v>0</v>
      </c>
      <c r="G51" s="87">
        <f t="shared" si="1"/>
        <v>0</v>
      </c>
      <c r="H51" s="87">
        <f t="shared" si="2"/>
        <v>0</v>
      </c>
      <c r="I51" s="87">
        <f t="shared" si="3"/>
        <v>0.57090213814848834</v>
      </c>
      <c r="J51" s="87">
        <f t="shared" si="4"/>
        <v>4.1395075711290301E-2</v>
      </c>
      <c r="K51" s="120">
        <f t="shared" si="6"/>
        <v>2.7596717140860198E-2</v>
      </c>
      <c r="O51" s="116">
        <f>Amnt_Deposited!B46</f>
        <v>2032</v>
      </c>
      <c r="P51" s="119">
        <f>Amnt_Deposited!H46</f>
        <v>0</v>
      </c>
      <c r="Q51" s="319">
        <f>MCF!R50</f>
        <v>0.8</v>
      </c>
      <c r="R51" s="87">
        <f t="shared" ref="R51:R82" si="13">P51*$W$6*DOCF*Q51</f>
        <v>0</v>
      </c>
      <c r="S51" s="87">
        <f t="shared" si="7"/>
        <v>0</v>
      </c>
      <c r="T51" s="87">
        <f t="shared" si="8"/>
        <v>0</v>
      </c>
      <c r="U51" s="87">
        <f t="shared" si="9"/>
        <v>0.62564617879286399</v>
      </c>
      <c r="V51" s="87">
        <f t="shared" si="10"/>
        <v>4.536446653292088E-2</v>
      </c>
      <c r="W51" s="120">
        <f t="shared" si="11"/>
        <v>3.024297768861392E-2</v>
      </c>
    </row>
    <row r="52" spans="2:23">
      <c r="B52" s="116">
        <f>Amnt_Deposited!B47</f>
        <v>2033</v>
      </c>
      <c r="C52" s="119">
        <f>Amnt_Deposited!H47</f>
        <v>0</v>
      </c>
      <c r="D52" s="453">
        <f>Dry_Matter_Content!H39</f>
        <v>0.73</v>
      </c>
      <c r="E52" s="319">
        <f>MCF!R51</f>
        <v>0.8</v>
      </c>
      <c r="F52" s="87">
        <f t="shared" si="12"/>
        <v>0</v>
      </c>
      <c r="G52" s="87">
        <f t="shared" si="1"/>
        <v>0</v>
      </c>
      <c r="H52" s="87">
        <f t="shared" si="2"/>
        <v>0</v>
      </c>
      <c r="I52" s="87">
        <f t="shared" si="3"/>
        <v>0.53230562538074244</v>
      </c>
      <c r="J52" s="87">
        <f t="shared" si="4"/>
        <v>3.8596512767745901E-2</v>
      </c>
      <c r="K52" s="120">
        <f t="shared" si="6"/>
        <v>2.5731008511830598E-2</v>
      </c>
      <c r="O52" s="116">
        <f>Amnt_Deposited!B47</f>
        <v>2033</v>
      </c>
      <c r="P52" s="119">
        <f>Amnt_Deposited!H47</f>
        <v>0</v>
      </c>
      <c r="Q52" s="319">
        <f>MCF!R51</f>
        <v>0.8</v>
      </c>
      <c r="R52" s="87">
        <f t="shared" si="13"/>
        <v>0</v>
      </c>
      <c r="S52" s="87">
        <f t="shared" si="7"/>
        <v>0</v>
      </c>
      <c r="T52" s="87">
        <f t="shared" si="8"/>
        <v>0</v>
      </c>
      <c r="U52" s="87">
        <f t="shared" si="9"/>
        <v>0.58334863055423836</v>
      </c>
      <c r="V52" s="87">
        <f t="shared" si="10"/>
        <v>4.2297548238625651E-2</v>
      </c>
      <c r="W52" s="120">
        <f t="shared" si="11"/>
        <v>2.81983654924171E-2</v>
      </c>
    </row>
    <row r="53" spans="2:23">
      <c r="B53" s="116">
        <f>Amnt_Deposited!B48</f>
        <v>2034</v>
      </c>
      <c r="C53" s="119">
        <f>Amnt_Deposited!H48</f>
        <v>0</v>
      </c>
      <c r="D53" s="453">
        <f>Dry_Matter_Content!H40</f>
        <v>0.73</v>
      </c>
      <c r="E53" s="319">
        <f>MCF!R52</f>
        <v>0.8</v>
      </c>
      <c r="F53" s="87">
        <f t="shared" si="12"/>
        <v>0</v>
      </c>
      <c r="G53" s="87">
        <f t="shared" si="1"/>
        <v>0</v>
      </c>
      <c r="H53" s="87">
        <f t="shared" si="2"/>
        <v>0</v>
      </c>
      <c r="I53" s="87">
        <f t="shared" si="3"/>
        <v>0.49631847540617513</v>
      </c>
      <c r="J53" s="87">
        <f t="shared" si="4"/>
        <v>3.5987149974567305E-2</v>
      </c>
      <c r="K53" s="120">
        <f t="shared" si="6"/>
        <v>2.3991433316378201E-2</v>
      </c>
      <c r="O53" s="116">
        <f>Amnt_Deposited!B48</f>
        <v>2034</v>
      </c>
      <c r="P53" s="119">
        <f>Amnt_Deposited!H48</f>
        <v>0</v>
      </c>
      <c r="Q53" s="319">
        <f>MCF!R52</f>
        <v>0.8</v>
      </c>
      <c r="R53" s="87">
        <f t="shared" si="13"/>
        <v>0</v>
      </c>
      <c r="S53" s="87">
        <f t="shared" si="7"/>
        <v>0</v>
      </c>
      <c r="T53" s="87">
        <f t="shared" si="8"/>
        <v>0</v>
      </c>
      <c r="U53" s="87">
        <f t="shared" si="9"/>
        <v>0.5439106579793701</v>
      </c>
      <c r="V53" s="87">
        <f t="shared" si="10"/>
        <v>3.9437972574868287E-2</v>
      </c>
      <c r="W53" s="120">
        <f t="shared" si="11"/>
        <v>2.6291981716578858E-2</v>
      </c>
    </row>
    <row r="54" spans="2:23">
      <c r="B54" s="116">
        <f>Amnt_Deposited!B49</f>
        <v>2035</v>
      </c>
      <c r="C54" s="119">
        <f>Amnt_Deposited!H49</f>
        <v>0</v>
      </c>
      <c r="D54" s="453">
        <f>Dry_Matter_Content!H41</f>
        <v>0.73</v>
      </c>
      <c r="E54" s="319">
        <f>MCF!R53</f>
        <v>0.8</v>
      </c>
      <c r="F54" s="87">
        <f t="shared" si="12"/>
        <v>0</v>
      </c>
      <c r="G54" s="87">
        <f t="shared" si="1"/>
        <v>0</v>
      </c>
      <c r="H54" s="87">
        <f t="shared" si="2"/>
        <v>0</v>
      </c>
      <c r="I54" s="87">
        <f t="shared" si="3"/>
        <v>0.46276427917386009</v>
      </c>
      <c r="J54" s="87">
        <f t="shared" si="4"/>
        <v>3.3554196232315057E-2</v>
      </c>
      <c r="K54" s="120">
        <f t="shared" si="6"/>
        <v>2.2369464154876704E-2</v>
      </c>
      <c r="O54" s="116">
        <f>Amnt_Deposited!B49</f>
        <v>2035</v>
      </c>
      <c r="P54" s="119">
        <f>Amnt_Deposited!H49</f>
        <v>0</v>
      </c>
      <c r="Q54" s="319">
        <f>MCF!R53</f>
        <v>0.8</v>
      </c>
      <c r="R54" s="87">
        <f t="shared" si="13"/>
        <v>0</v>
      </c>
      <c r="S54" s="87">
        <f t="shared" si="7"/>
        <v>0</v>
      </c>
      <c r="T54" s="87">
        <f t="shared" si="8"/>
        <v>0</v>
      </c>
      <c r="U54" s="87">
        <f t="shared" si="9"/>
        <v>0.50713893608094263</v>
      </c>
      <c r="V54" s="87">
        <f t="shared" si="10"/>
        <v>3.6771721898427465E-2</v>
      </c>
      <c r="W54" s="120">
        <f t="shared" si="11"/>
        <v>2.451448126561831E-2</v>
      </c>
    </row>
    <row r="55" spans="2:23">
      <c r="B55" s="116">
        <f>Amnt_Deposited!B50</f>
        <v>2036</v>
      </c>
      <c r="C55" s="119">
        <f>Amnt_Deposited!H50</f>
        <v>0</v>
      </c>
      <c r="D55" s="453">
        <f>Dry_Matter_Content!H42</f>
        <v>0.73</v>
      </c>
      <c r="E55" s="319">
        <f>MCF!R54</f>
        <v>0.8</v>
      </c>
      <c r="F55" s="87">
        <f t="shared" si="12"/>
        <v>0</v>
      </c>
      <c r="G55" s="87">
        <f t="shared" si="1"/>
        <v>0</v>
      </c>
      <c r="H55" s="87">
        <f t="shared" si="2"/>
        <v>0</v>
      </c>
      <c r="I55" s="87">
        <f t="shared" si="3"/>
        <v>0.43147855397493806</v>
      </c>
      <c r="J55" s="87">
        <f t="shared" si="4"/>
        <v>3.1285725198922018E-2</v>
      </c>
      <c r="K55" s="120">
        <f t="shared" si="6"/>
        <v>2.0857150132614678E-2</v>
      </c>
      <c r="O55" s="116">
        <f>Amnt_Deposited!B50</f>
        <v>2036</v>
      </c>
      <c r="P55" s="119">
        <f>Amnt_Deposited!H50</f>
        <v>0</v>
      </c>
      <c r="Q55" s="319">
        <f>MCF!R54</f>
        <v>0.8</v>
      </c>
      <c r="R55" s="87">
        <f t="shared" si="13"/>
        <v>0</v>
      </c>
      <c r="S55" s="87">
        <f t="shared" si="7"/>
        <v>0</v>
      </c>
      <c r="T55" s="87">
        <f t="shared" si="8"/>
        <v>0</v>
      </c>
      <c r="U55" s="87">
        <f t="shared" si="9"/>
        <v>0.47285320983554863</v>
      </c>
      <c r="V55" s="87">
        <f t="shared" si="10"/>
        <v>3.4285726245393992E-2</v>
      </c>
      <c r="W55" s="120">
        <f t="shared" si="11"/>
        <v>2.285715083026266E-2</v>
      </c>
    </row>
    <row r="56" spans="2:23">
      <c r="B56" s="116">
        <f>Amnt_Deposited!B51</f>
        <v>2037</v>
      </c>
      <c r="C56" s="119">
        <f>Amnt_Deposited!H51</f>
        <v>0</v>
      </c>
      <c r="D56" s="453">
        <f>Dry_Matter_Content!H43</f>
        <v>0.73</v>
      </c>
      <c r="E56" s="319">
        <f>MCF!R55</f>
        <v>0.8</v>
      </c>
      <c r="F56" s="87">
        <f t="shared" si="12"/>
        <v>0</v>
      </c>
      <c r="G56" s="87">
        <f t="shared" si="1"/>
        <v>0</v>
      </c>
      <c r="H56" s="87">
        <f t="shared" si="2"/>
        <v>0</v>
      </c>
      <c r="I56" s="87">
        <f t="shared" si="3"/>
        <v>0.40230793714818736</v>
      </c>
      <c r="J56" s="87">
        <f t="shared" si="4"/>
        <v>2.9170616826750682E-2</v>
      </c>
      <c r="K56" s="120">
        <f t="shared" si="6"/>
        <v>1.9447077884500452E-2</v>
      </c>
      <c r="O56" s="116">
        <f>Amnt_Deposited!B51</f>
        <v>2037</v>
      </c>
      <c r="P56" s="119">
        <f>Amnt_Deposited!H51</f>
        <v>0</v>
      </c>
      <c r="Q56" s="319">
        <f>MCF!R55</f>
        <v>0.8</v>
      </c>
      <c r="R56" s="87">
        <f t="shared" si="13"/>
        <v>0</v>
      </c>
      <c r="S56" s="87">
        <f t="shared" si="7"/>
        <v>0</v>
      </c>
      <c r="T56" s="87">
        <f t="shared" si="8"/>
        <v>0</v>
      </c>
      <c r="U56" s="87">
        <f t="shared" si="9"/>
        <v>0.44088541057335612</v>
      </c>
      <c r="V56" s="87">
        <f t="shared" si="10"/>
        <v>3.196779926219253E-2</v>
      </c>
      <c r="W56" s="120">
        <f t="shared" si="11"/>
        <v>2.1311866174795017E-2</v>
      </c>
    </row>
    <row r="57" spans="2:23">
      <c r="B57" s="116">
        <f>Amnt_Deposited!B52</f>
        <v>2038</v>
      </c>
      <c r="C57" s="119">
        <f>Amnt_Deposited!H52</f>
        <v>0</v>
      </c>
      <c r="D57" s="453">
        <f>Dry_Matter_Content!H44</f>
        <v>0.73</v>
      </c>
      <c r="E57" s="319">
        <f>MCF!R56</f>
        <v>0.8</v>
      </c>
      <c r="F57" s="87">
        <f t="shared" si="12"/>
        <v>0</v>
      </c>
      <c r="G57" s="87">
        <f t="shared" si="1"/>
        <v>0</v>
      </c>
      <c r="H57" s="87">
        <f t="shared" si="2"/>
        <v>0</v>
      </c>
      <c r="I57" s="87">
        <f t="shared" si="3"/>
        <v>0.37510943429608057</v>
      </c>
      <c r="J57" s="87">
        <f t="shared" si="4"/>
        <v>2.7198502852106798E-2</v>
      </c>
      <c r="K57" s="120">
        <f t="shared" si="6"/>
        <v>1.8132335234737864E-2</v>
      </c>
      <c r="O57" s="116">
        <f>Amnt_Deposited!B52</f>
        <v>2038</v>
      </c>
      <c r="P57" s="119">
        <f>Amnt_Deposited!H52</f>
        <v>0</v>
      </c>
      <c r="Q57" s="319">
        <f>MCF!R56</f>
        <v>0.8</v>
      </c>
      <c r="R57" s="87">
        <f t="shared" si="13"/>
        <v>0</v>
      </c>
      <c r="S57" s="87">
        <f t="shared" si="7"/>
        <v>0</v>
      </c>
      <c r="T57" s="87">
        <f t="shared" si="8"/>
        <v>0</v>
      </c>
      <c r="U57" s="87">
        <f t="shared" si="9"/>
        <v>0.41107883210529389</v>
      </c>
      <c r="V57" s="87">
        <f t="shared" si="10"/>
        <v>2.9806578468062252E-2</v>
      </c>
      <c r="W57" s="120">
        <f t="shared" si="11"/>
        <v>1.98710523120415E-2</v>
      </c>
    </row>
    <row r="58" spans="2:23">
      <c r="B58" s="116">
        <f>Amnt_Deposited!B53</f>
        <v>2039</v>
      </c>
      <c r="C58" s="119">
        <f>Amnt_Deposited!H53</f>
        <v>0</v>
      </c>
      <c r="D58" s="453">
        <f>Dry_Matter_Content!H45</f>
        <v>0.73</v>
      </c>
      <c r="E58" s="319">
        <f>MCF!R57</f>
        <v>0.8</v>
      </c>
      <c r="F58" s="87">
        <f t="shared" si="12"/>
        <v>0</v>
      </c>
      <c r="G58" s="87">
        <f t="shared" si="1"/>
        <v>0</v>
      </c>
      <c r="H58" s="87">
        <f t="shared" si="2"/>
        <v>0</v>
      </c>
      <c r="I58" s="87">
        <f t="shared" si="3"/>
        <v>0.34974971832608187</v>
      </c>
      <c r="J58" s="87">
        <f t="shared" si="4"/>
        <v>2.5359715969998687E-2</v>
      </c>
      <c r="K58" s="120">
        <f t="shared" si="6"/>
        <v>1.6906477313332457E-2</v>
      </c>
      <c r="O58" s="116">
        <f>Amnt_Deposited!B53</f>
        <v>2039</v>
      </c>
      <c r="P58" s="119">
        <f>Amnt_Deposited!H53</f>
        <v>0</v>
      </c>
      <c r="Q58" s="319">
        <f>MCF!R57</f>
        <v>0.8</v>
      </c>
      <c r="R58" s="87">
        <f t="shared" si="13"/>
        <v>0</v>
      </c>
      <c r="S58" s="87">
        <f t="shared" si="7"/>
        <v>0</v>
      </c>
      <c r="T58" s="87">
        <f t="shared" si="8"/>
        <v>0</v>
      </c>
      <c r="U58" s="87">
        <f t="shared" si="9"/>
        <v>0.38328736254913093</v>
      </c>
      <c r="V58" s="87">
        <f t="shared" si="10"/>
        <v>2.7791469556162952E-2</v>
      </c>
      <c r="W58" s="120">
        <f t="shared" si="11"/>
        <v>1.8527646370775301E-2</v>
      </c>
    </row>
    <row r="59" spans="2:23">
      <c r="B59" s="116">
        <f>Amnt_Deposited!B54</f>
        <v>2040</v>
      </c>
      <c r="C59" s="119">
        <f>Amnt_Deposited!H54</f>
        <v>0</v>
      </c>
      <c r="D59" s="453">
        <f>Dry_Matter_Content!H46</f>
        <v>0.73</v>
      </c>
      <c r="E59" s="319">
        <f>MCF!R58</f>
        <v>0.8</v>
      </c>
      <c r="F59" s="87">
        <f t="shared" si="12"/>
        <v>0</v>
      </c>
      <c r="G59" s="87">
        <f t="shared" si="1"/>
        <v>0</v>
      </c>
      <c r="H59" s="87">
        <f t="shared" si="2"/>
        <v>0</v>
      </c>
      <c r="I59" s="87">
        <f t="shared" si="3"/>
        <v>0.32610447588108493</v>
      </c>
      <c r="J59" s="87">
        <f t="shared" si="4"/>
        <v>2.3645242444996953E-2</v>
      </c>
      <c r="K59" s="120">
        <f t="shared" si="6"/>
        <v>1.57634949633313E-2</v>
      </c>
      <c r="O59" s="116">
        <f>Amnt_Deposited!B54</f>
        <v>2040</v>
      </c>
      <c r="P59" s="119">
        <f>Amnt_Deposited!H54</f>
        <v>0</v>
      </c>
      <c r="Q59" s="319">
        <f>MCF!R58</f>
        <v>0.8</v>
      </c>
      <c r="R59" s="87">
        <f t="shared" si="13"/>
        <v>0</v>
      </c>
      <c r="S59" s="87">
        <f t="shared" si="7"/>
        <v>0</v>
      </c>
      <c r="T59" s="87">
        <f t="shared" si="8"/>
        <v>0</v>
      </c>
      <c r="U59" s="87">
        <f t="shared" si="9"/>
        <v>0.35737476808886026</v>
      </c>
      <c r="V59" s="87">
        <f t="shared" si="10"/>
        <v>2.5912594460270642E-2</v>
      </c>
      <c r="W59" s="120">
        <f t="shared" si="11"/>
        <v>1.727506297351376E-2</v>
      </c>
    </row>
    <row r="60" spans="2:23">
      <c r="B60" s="116">
        <f>Amnt_Deposited!B55</f>
        <v>2041</v>
      </c>
      <c r="C60" s="119">
        <f>Amnt_Deposited!H55</f>
        <v>0</v>
      </c>
      <c r="D60" s="453">
        <f>Dry_Matter_Content!H47</f>
        <v>0.73</v>
      </c>
      <c r="E60" s="319">
        <f>MCF!R59</f>
        <v>0.8</v>
      </c>
      <c r="F60" s="87">
        <f t="shared" si="12"/>
        <v>0</v>
      </c>
      <c r="G60" s="87">
        <f t="shared" si="1"/>
        <v>0</v>
      </c>
      <c r="H60" s="87">
        <f t="shared" si="2"/>
        <v>0</v>
      </c>
      <c r="I60" s="87">
        <f t="shared" si="3"/>
        <v>0.30405779795519194</v>
      </c>
      <c r="J60" s="87">
        <f t="shared" si="4"/>
        <v>2.2046677925892974E-2</v>
      </c>
      <c r="K60" s="120">
        <f t="shared" si="6"/>
        <v>1.4697785283928649E-2</v>
      </c>
      <c r="O60" s="116">
        <f>Amnt_Deposited!B55</f>
        <v>2041</v>
      </c>
      <c r="P60" s="119">
        <f>Amnt_Deposited!H55</f>
        <v>0</v>
      </c>
      <c r="Q60" s="319">
        <f>MCF!R59</f>
        <v>0.8</v>
      </c>
      <c r="R60" s="87">
        <f t="shared" si="13"/>
        <v>0</v>
      </c>
      <c r="S60" s="87">
        <f t="shared" si="7"/>
        <v>0</v>
      </c>
      <c r="T60" s="87">
        <f t="shared" si="8"/>
        <v>0</v>
      </c>
      <c r="U60" s="87">
        <f t="shared" si="9"/>
        <v>0.33321402515637483</v>
      </c>
      <c r="V60" s="87">
        <f t="shared" si="10"/>
        <v>2.4160742932485456E-2</v>
      </c>
      <c r="W60" s="120">
        <f t="shared" si="11"/>
        <v>1.6107161954990304E-2</v>
      </c>
    </row>
    <row r="61" spans="2:23">
      <c r="B61" s="116">
        <f>Amnt_Deposited!B56</f>
        <v>2042</v>
      </c>
      <c r="C61" s="119">
        <f>Amnt_Deposited!H56</f>
        <v>0</v>
      </c>
      <c r="D61" s="453">
        <f>Dry_Matter_Content!H48</f>
        <v>0.73</v>
      </c>
      <c r="E61" s="319">
        <f>MCF!R60</f>
        <v>0.8</v>
      </c>
      <c r="F61" s="87">
        <f t="shared" si="12"/>
        <v>0</v>
      </c>
      <c r="G61" s="87">
        <f t="shared" si="1"/>
        <v>0</v>
      </c>
      <c r="H61" s="87">
        <f t="shared" si="2"/>
        <v>0</v>
      </c>
      <c r="I61" s="87">
        <f t="shared" si="3"/>
        <v>0.28350161170763244</v>
      </c>
      <c r="J61" s="87">
        <f t="shared" si="4"/>
        <v>2.0556186247559498E-2</v>
      </c>
      <c r="K61" s="120">
        <f t="shared" si="6"/>
        <v>1.3704124165039664E-2</v>
      </c>
      <c r="O61" s="116">
        <f>Amnt_Deposited!B56</f>
        <v>2042</v>
      </c>
      <c r="P61" s="119">
        <f>Amnt_Deposited!H56</f>
        <v>0</v>
      </c>
      <c r="Q61" s="319">
        <f>MCF!R60</f>
        <v>0.8</v>
      </c>
      <c r="R61" s="87">
        <f t="shared" si="13"/>
        <v>0</v>
      </c>
      <c r="S61" s="87">
        <f t="shared" si="7"/>
        <v>0</v>
      </c>
      <c r="T61" s="87">
        <f t="shared" si="8"/>
        <v>0</v>
      </c>
      <c r="U61" s="87">
        <f t="shared" si="9"/>
        <v>0.31068669776178909</v>
      </c>
      <c r="V61" s="87">
        <f t="shared" si="10"/>
        <v>2.252732739458576E-2</v>
      </c>
      <c r="W61" s="120">
        <f t="shared" si="11"/>
        <v>1.5018218263057173E-2</v>
      </c>
    </row>
    <row r="62" spans="2:23">
      <c r="B62" s="116">
        <f>Amnt_Deposited!B57</f>
        <v>2043</v>
      </c>
      <c r="C62" s="119">
        <f>Amnt_Deposited!H57</f>
        <v>0</v>
      </c>
      <c r="D62" s="453">
        <f>Dry_Matter_Content!H49</f>
        <v>0.73</v>
      </c>
      <c r="E62" s="319">
        <f>MCF!R61</f>
        <v>0.8</v>
      </c>
      <c r="F62" s="87">
        <f t="shared" si="12"/>
        <v>0</v>
      </c>
      <c r="G62" s="87">
        <f t="shared" si="1"/>
        <v>0</v>
      </c>
      <c r="H62" s="87">
        <f t="shared" si="2"/>
        <v>0</v>
      </c>
      <c r="I62" s="87">
        <f t="shared" si="3"/>
        <v>0.26433515068957231</v>
      </c>
      <c r="J62" s="87">
        <f t="shared" si="4"/>
        <v>1.9166461018060122E-2</v>
      </c>
      <c r="K62" s="120">
        <f t="shared" si="6"/>
        <v>1.2777640678706747E-2</v>
      </c>
      <c r="O62" s="116">
        <f>Amnt_Deposited!B57</f>
        <v>2043</v>
      </c>
      <c r="P62" s="119">
        <f>Amnt_Deposited!H57</f>
        <v>0</v>
      </c>
      <c r="Q62" s="319">
        <f>MCF!R61</f>
        <v>0.8</v>
      </c>
      <c r="R62" s="87">
        <f t="shared" si="13"/>
        <v>0</v>
      </c>
      <c r="S62" s="87">
        <f t="shared" si="7"/>
        <v>0</v>
      </c>
      <c r="T62" s="87">
        <f t="shared" si="8"/>
        <v>0</v>
      </c>
      <c r="U62" s="87">
        <f t="shared" si="9"/>
        <v>0.28968235692007938</v>
      </c>
      <c r="V62" s="87">
        <f t="shared" si="10"/>
        <v>2.100434084170973E-2</v>
      </c>
      <c r="W62" s="120">
        <f t="shared" si="11"/>
        <v>1.4002893894473152E-2</v>
      </c>
    </row>
    <row r="63" spans="2:23">
      <c r="B63" s="116">
        <f>Amnt_Deposited!B58</f>
        <v>2044</v>
      </c>
      <c r="C63" s="119">
        <f>Amnt_Deposited!H58</f>
        <v>0</v>
      </c>
      <c r="D63" s="453">
        <f>Dry_Matter_Content!H50</f>
        <v>0.73</v>
      </c>
      <c r="E63" s="319">
        <f>MCF!R62</f>
        <v>0.8</v>
      </c>
      <c r="F63" s="87">
        <f t="shared" si="12"/>
        <v>0</v>
      </c>
      <c r="G63" s="87">
        <f t="shared" si="1"/>
        <v>0</v>
      </c>
      <c r="H63" s="87">
        <f t="shared" si="2"/>
        <v>0</v>
      </c>
      <c r="I63" s="87">
        <f t="shared" si="3"/>
        <v>0.24646446088686477</v>
      </c>
      <c r="J63" s="87">
        <f t="shared" si="4"/>
        <v>1.7870689802707528E-2</v>
      </c>
      <c r="K63" s="120">
        <f t="shared" si="6"/>
        <v>1.1913793201805018E-2</v>
      </c>
      <c r="O63" s="116">
        <f>Amnt_Deposited!B58</f>
        <v>2044</v>
      </c>
      <c r="P63" s="119">
        <f>Amnt_Deposited!H58</f>
        <v>0</v>
      </c>
      <c r="Q63" s="319">
        <f>MCF!R62</f>
        <v>0.8</v>
      </c>
      <c r="R63" s="87">
        <f t="shared" si="13"/>
        <v>0</v>
      </c>
      <c r="S63" s="87">
        <f t="shared" si="7"/>
        <v>0</v>
      </c>
      <c r="T63" s="87">
        <f t="shared" si="8"/>
        <v>0</v>
      </c>
      <c r="U63" s="87">
        <f t="shared" si="9"/>
        <v>0.27009803932807114</v>
      </c>
      <c r="V63" s="87">
        <f t="shared" si="10"/>
        <v>1.9584317592008259E-2</v>
      </c>
      <c r="W63" s="120">
        <f t="shared" si="11"/>
        <v>1.3056211728005505E-2</v>
      </c>
    </row>
    <row r="64" spans="2:23">
      <c r="B64" s="116">
        <f>Amnt_Deposited!B59</f>
        <v>2045</v>
      </c>
      <c r="C64" s="119">
        <f>Amnt_Deposited!H59</f>
        <v>0</v>
      </c>
      <c r="D64" s="453">
        <f>Dry_Matter_Content!H51</f>
        <v>0.73</v>
      </c>
      <c r="E64" s="319">
        <f>MCF!R63</f>
        <v>0.8</v>
      </c>
      <c r="F64" s="87">
        <f t="shared" si="12"/>
        <v>0</v>
      </c>
      <c r="G64" s="87">
        <f t="shared" si="1"/>
        <v>0</v>
      </c>
      <c r="H64" s="87">
        <f t="shared" si="2"/>
        <v>0</v>
      </c>
      <c r="I64" s="87">
        <f t="shared" si="3"/>
        <v>0.22980194015736402</v>
      </c>
      <c r="J64" s="87">
        <f t="shared" si="4"/>
        <v>1.6662520729500748E-2</v>
      </c>
      <c r="K64" s="120">
        <f t="shared" si="6"/>
        <v>1.1108347153000499E-2</v>
      </c>
      <c r="O64" s="116">
        <f>Amnt_Deposited!B59</f>
        <v>2045</v>
      </c>
      <c r="P64" s="119">
        <f>Amnt_Deposited!H59</f>
        <v>0</v>
      </c>
      <c r="Q64" s="319">
        <f>MCF!R63</f>
        <v>0.8</v>
      </c>
      <c r="R64" s="87">
        <f t="shared" si="13"/>
        <v>0</v>
      </c>
      <c r="S64" s="87">
        <f t="shared" si="7"/>
        <v>0</v>
      </c>
      <c r="T64" s="87">
        <f t="shared" si="8"/>
        <v>0</v>
      </c>
      <c r="U64" s="87">
        <f t="shared" si="9"/>
        <v>0.2518377426382073</v>
      </c>
      <c r="V64" s="87">
        <f t="shared" si="10"/>
        <v>1.8260296689863842E-2</v>
      </c>
      <c r="W64" s="120">
        <f t="shared" si="11"/>
        <v>1.2173531126575893E-2</v>
      </c>
    </row>
    <row r="65" spans="2:23">
      <c r="B65" s="116">
        <f>Amnt_Deposited!B60</f>
        <v>2046</v>
      </c>
      <c r="C65" s="119">
        <f>Amnt_Deposited!H60</f>
        <v>0</v>
      </c>
      <c r="D65" s="453">
        <f>Dry_Matter_Content!H52</f>
        <v>0.73</v>
      </c>
      <c r="E65" s="319">
        <f>MCF!R64</f>
        <v>0.8</v>
      </c>
      <c r="F65" s="87">
        <f t="shared" si="12"/>
        <v>0</v>
      </c>
      <c r="G65" s="87">
        <f t="shared" si="1"/>
        <v>0</v>
      </c>
      <c r="H65" s="87">
        <f t="shared" si="2"/>
        <v>0</v>
      </c>
      <c r="I65" s="87">
        <f t="shared" si="3"/>
        <v>0.21426590880512278</v>
      </c>
      <c r="J65" s="87">
        <f t="shared" si="4"/>
        <v>1.5536031352241249E-2</v>
      </c>
      <c r="K65" s="120">
        <f t="shared" si="6"/>
        <v>1.0357354234827499E-2</v>
      </c>
      <c r="O65" s="116">
        <f>Amnt_Deposited!B60</f>
        <v>2046</v>
      </c>
      <c r="P65" s="119">
        <f>Amnt_Deposited!H60</f>
        <v>0</v>
      </c>
      <c r="Q65" s="319">
        <f>MCF!R64</f>
        <v>0.8</v>
      </c>
      <c r="R65" s="87">
        <f t="shared" si="13"/>
        <v>0</v>
      </c>
      <c r="S65" s="87">
        <f t="shared" si="7"/>
        <v>0</v>
      </c>
      <c r="T65" s="87">
        <f t="shared" si="8"/>
        <v>0</v>
      </c>
      <c r="U65" s="87">
        <f t="shared" si="9"/>
        <v>0.2348119548549292</v>
      </c>
      <c r="V65" s="87">
        <f t="shared" si="10"/>
        <v>1.7025787783278092E-2</v>
      </c>
      <c r="W65" s="120">
        <f t="shared" si="11"/>
        <v>1.1350525188852061E-2</v>
      </c>
    </row>
    <row r="66" spans="2:23">
      <c r="B66" s="116">
        <f>Amnt_Deposited!B61</f>
        <v>2047</v>
      </c>
      <c r="C66" s="119">
        <f>Amnt_Deposited!H61</f>
        <v>0</v>
      </c>
      <c r="D66" s="453">
        <f>Dry_Matter_Content!H53</f>
        <v>0.73</v>
      </c>
      <c r="E66" s="319">
        <f>MCF!R65</f>
        <v>0.8</v>
      </c>
      <c r="F66" s="87">
        <f t="shared" si="12"/>
        <v>0</v>
      </c>
      <c r="G66" s="87">
        <f t="shared" si="1"/>
        <v>0</v>
      </c>
      <c r="H66" s="87">
        <f t="shared" si="2"/>
        <v>0</v>
      </c>
      <c r="I66" s="87">
        <f t="shared" si="3"/>
        <v>0.199780209186428</v>
      </c>
      <c r="J66" s="87">
        <f t="shared" si="4"/>
        <v>1.4485699618694794E-2</v>
      </c>
      <c r="K66" s="120">
        <f t="shared" si="6"/>
        <v>9.6571330791298624E-3</v>
      </c>
      <c r="O66" s="116">
        <f>Amnt_Deposited!B61</f>
        <v>2047</v>
      </c>
      <c r="P66" s="119">
        <f>Amnt_Deposited!H61</f>
        <v>0</v>
      </c>
      <c r="Q66" s="319">
        <f>MCF!R65</f>
        <v>0.8</v>
      </c>
      <c r="R66" s="87">
        <f t="shared" si="13"/>
        <v>0</v>
      </c>
      <c r="S66" s="87">
        <f t="shared" si="7"/>
        <v>0</v>
      </c>
      <c r="T66" s="87">
        <f t="shared" si="8"/>
        <v>0</v>
      </c>
      <c r="U66" s="87">
        <f t="shared" si="9"/>
        <v>0.21893721554677051</v>
      </c>
      <c r="V66" s="87">
        <f t="shared" si="10"/>
        <v>1.5874739308158688E-2</v>
      </c>
      <c r="W66" s="120">
        <f t="shared" si="11"/>
        <v>1.0583159538772459E-2</v>
      </c>
    </row>
    <row r="67" spans="2:23">
      <c r="B67" s="116">
        <f>Amnt_Deposited!B62</f>
        <v>2048</v>
      </c>
      <c r="C67" s="119">
        <f>Amnt_Deposited!H62</f>
        <v>0</v>
      </c>
      <c r="D67" s="453">
        <f>Dry_Matter_Content!H54</f>
        <v>0.73</v>
      </c>
      <c r="E67" s="319">
        <f>MCF!R66</f>
        <v>0.8</v>
      </c>
      <c r="F67" s="87">
        <f t="shared" si="12"/>
        <v>0</v>
      </c>
      <c r="G67" s="87">
        <f t="shared" si="1"/>
        <v>0</v>
      </c>
      <c r="H67" s="87">
        <f t="shared" si="2"/>
        <v>0</v>
      </c>
      <c r="I67" s="87">
        <f t="shared" si="3"/>
        <v>0.18627383238494302</v>
      </c>
      <c r="J67" s="87">
        <f t="shared" si="4"/>
        <v>1.3506376801484978E-2</v>
      </c>
      <c r="K67" s="120">
        <f t="shared" si="6"/>
        <v>9.0042512009899846E-3</v>
      </c>
      <c r="O67" s="116">
        <f>Amnt_Deposited!B62</f>
        <v>2048</v>
      </c>
      <c r="P67" s="119">
        <f>Amnt_Deposited!H62</f>
        <v>0</v>
      </c>
      <c r="Q67" s="319">
        <f>MCF!R66</f>
        <v>0.8</v>
      </c>
      <c r="R67" s="87">
        <f t="shared" si="13"/>
        <v>0</v>
      </c>
      <c r="S67" s="87">
        <f t="shared" si="7"/>
        <v>0</v>
      </c>
      <c r="T67" s="87">
        <f t="shared" si="8"/>
        <v>0</v>
      </c>
      <c r="U67" s="87">
        <f t="shared" si="9"/>
        <v>0.20413570672322531</v>
      </c>
      <c r="V67" s="87">
        <f t="shared" si="10"/>
        <v>1.4801508823545188E-2</v>
      </c>
      <c r="W67" s="120">
        <f t="shared" si="11"/>
        <v>9.8676725490301244E-3</v>
      </c>
    </row>
    <row r="68" spans="2:23">
      <c r="B68" s="116">
        <f>Amnt_Deposited!B63</f>
        <v>2049</v>
      </c>
      <c r="C68" s="119">
        <f>Amnt_Deposited!H63</f>
        <v>0</v>
      </c>
      <c r="D68" s="453">
        <f>Dry_Matter_Content!H55</f>
        <v>0.73</v>
      </c>
      <c r="E68" s="319">
        <f>MCF!R67</f>
        <v>0.8</v>
      </c>
      <c r="F68" s="87">
        <f t="shared" si="12"/>
        <v>0</v>
      </c>
      <c r="G68" s="87">
        <f t="shared" si="1"/>
        <v>0</v>
      </c>
      <c r="H68" s="87">
        <f t="shared" si="2"/>
        <v>0</v>
      </c>
      <c r="I68" s="87">
        <f t="shared" si="3"/>
        <v>0.17368057012591737</v>
      </c>
      <c r="J68" s="87">
        <f t="shared" si="4"/>
        <v>1.2593262259025663E-2</v>
      </c>
      <c r="K68" s="120">
        <f t="shared" si="6"/>
        <v>8.3955081726837747E-3</v>
      </c>
      <c r="O68" s="116">
        <f>Amnt_Deposited!B63</f>
        <v>2049</v>
      </c>
      <c r="P68" s="119">
        <f>Amnt_Deposited!H63</f>
        <v>0</v>
      </c>
      <c r="Q68" s="319">
        <f>MCF!R67</f>
        <v>0.8</v>
      </c>
      <c r="R68" s="87">
        <f t="shared" si="13"/>
        <v>0</v>
      </c>
      <c r="S68" s="87">
        <f t="shared" si="7"/>
        <v>0</v>
      </c>
      <c r="T68" s="87">
        <f t="shared" si="8"/>
        <v>0</v>
      </c>
      <c r="U68" s="87">
        <f t="shared" si="9"/>
        <v>0.19033487137086841</v>
      </c>
      <c r="V68" s="87">
        <f t="shared" si="10"/>
        <v>1.3800835352356896E-2</v>
      </c>
      <c r="W68" s="120">
        <f t="shared" si="11"/>
        <v>9.2005569015712642E-3</v>
      </c>
    </row>
    <row r="69" spans="2:23">
      <c r="B69" s="116">
        <f>Amnt_Deposited!B64</f>
        <v>2050</v>
      </c>
      <c r="C69" s="119">
        <f>Amnt_Deposited!H64</f>
        <v>0</v>
      </c>
      <c r="D69" s="453">
        <f>Dry_Matter_Content!H56</f>
        <v>0.73</v>
      </c>
      <c r="E69" s="319">
        <f>MCF!R68</f>
        <v>0.8</v>
      </c>
      <c r="F69" s="87">
        <f t="shared" si="12"/>
        <v>0</v>
      </c>
      <c r="G69" s="87">
        <f t="shared" si="1"/>
        <v>0</v>
      </c>
      <c r="H69" s="87">
        <f t="shared" si="2"/>
        <v>0</v>
      </c>
      <c r="I69" s="87">
        <f t="shared" si="3"/>
        <v>0.16193869022314702</v>
      </c>
      <c r="J69" s="87">
        <f t="shared" si="4"/>
        <v>1.174187990277035E-2</v>
      </c>
      <c r="K69" s="120">
        <f t="shared" si="6"/>
        <v>7.8279199351802328E-3</v>
      </c>
      <c r="O69" s="116">
        <f>Amnt_Deposited!B64</f>
        <v>2050</v>
      </c>
      <c r="P69" s="119">
        <f>Amnt_Deposited!H64</f>
        <v>0</v>
      </c>
      <c r="Q69" s="319">
        <f>MCF!R68</f>
        <v>0.8</v>
      </c>
      <c r="R69" s="87">
        <f t="shared" si="13"/>
        <v>0</v>
      </c>
      <c r="S69" s="87">
        <f t="shared" si="7"/>
        <v>0</v>
      </c>
      <c r="T69" s="87">
        <f t="shared" si="8"/>
        <v>0</v>
      </c>
      <c r="U69" s="87">
        <f t="shared" si="9"/>
        <v>0.17746705777879132</v>
      </c>
      <c r="V69" s="87">
        <f t="shared" si="10"/>
        <v>1.28678135920771E-2</v>
      </c>
      <c r="W69" s="120">
        <f t="shared" si="11"/>
        <v>8.5785423947180653E-3</v>
      </c>
    </row>
    <row r="70" spans="2:23">
      <c r="B70" s="116">
        <f>Amnt_Deposited!B65</f>
        <v>2051</v>
      </c>
      <c r="C70" s="119">
        <f>Amnt_Deposited!H65</f>
        <v>0</v>
      </c>
      <c r="D70" s="453">
        <f>Dry_Matter_Content!H57</f>
        <v>0.73</v>
      </c>
      <c r="E70" s="319">
        <f>MCF!R69</f>
        <v>0.8</v>
      </c>
      <c r="F70" s="87">
        <f t="shared" si="12"/>
        <v>0</v>
      </c>
      <c r="G70" s="87">
        <f t="shared" si="1"/>
        <v>0</v>
      </c>
      <c r="H70" s="87">
        <f t="shared" si="2"/>
        <v>0</v>
      </c>
      <c r="I70" s="87">
        <f t="shared" si="3"/>
        <v>0.15099063396772611</v>
      </c>
      <c r="J70" s="87">
        <f t="shared" si="4"/>
        <v>1.0948056255420932E-2</v>
      </c>
      <c r="K70" s="120">
        <f t="shared" si="6"/>
        <v>7.2987041702806208E-3</v>
      </c>
      <c r="O70" s="116">
        <f>Amnt_Deposited!B65</f>
        <v>2051</v>
      </c>
      <c r="P70" s="119">
        <f>Amnt_Deposited!H65</f>
        <v>0</v>
      </c>
      <c r="Q70" s="319">
        <f>MCF!R69</f>
        <v>0.8</v>
      </c>
      <c r="R70" s="87">
        <f t="shared" si="13"/>
        <v>0</v>
      </c>
      <c r="S70" s="87">
        <f t="shared" si="7"/>
        <v>0</v>
      </c>
      <c r="T70" s="87">
        <f t="shared" si="8"/>
        <v>0</v>
      </c>
      <c r="U70" s="87">
        <f t="shared" si="9"/>
        <v>0.16546918790983686</v>
      </c>
      <c r="V70" s="87">
        <f t="shared" si="10"/>
        <v>1.199786986895445E-2</v>
      </c>
      <c r="W70" s="120">
        <f t="shared" si="11"/>
        <v>7.9985799126362986E-3</v>
      </c>
    </row>
    <row r="71" spans="2:23">
      <c r="B71" s="116">
        <f>Amnt_Deposited!B66</f>
        <v>2052</v>
      </c>
      <c r="C71" s="119">
        <f>Amnt_Deposited!H66</f>
        <v>0</v>
      </c>
      <c r="D71" s="453">
        <f>Dry_Matter_Content!H58</f>
        <v>0.73</v>
      </c>
      <c r="E71" s="319">
        <f>MCF!R70</f>
        <v>0.8</v>
      </c>
      <c r="F71" s="87">
        <f t="shared" si="12"/>
        <v>0</v>
      </c>
      <c r="G71" s="87">
        <f t="shared" si="1"/>
        <v>0</v>
      </c>
      <c r="H71" s="87">
        <f t="shared" si="2"/>
        <v>0</v>
      </c>
      <c r="I71" s="87">
        <f t="shared" si="3"/>
        <v>0.14078273397518898</v>
      </c>
      <c r="J71" s="87">
        <f t="shared" si="4"/>
        <v>1.0207899992537135E-2</v>
      </c>
      <c r="K71" s="120">
        <f t="shared" si="6"/>
        <v>6.8052666616914229E-3</v>
      </c>
      <c r="O71" s="116">
        <f>Amnt_Deposited!B66</f>
        <v>2052</v>
      </c>
      <c r="P71" s="119">
        <f>Amnt_Deposited!H66</f>
        <v>0</v>
      </c>
      <c r="Q71" s="319">
        <f>MCF!R70</f>
        <v>0.8</v>
      </c>
      <c r="R71" s="87">
        <f t="shared" si="13"/>
        <v>0</v>
      </c>
      <c r="S71" s="87">
        <f t="shared" si="7"/>
        <v>0</v>
      </c>
      <c r="T71" s="87">
        <f t="shared" si="8"/>
        <v>0</v>
      </c>
      <c r="U71" s="87">
        <f t="shared" si="9"/>
        <v>0.15428244819198794</v>
      </c>
      <c r="V71" s="87">
        <f t="shared" si="10"/>
        <v>1.1186739717848917E-2</v>
      </c>
      <c r="W71" s="120">
        <f t="shared" si="11"/>
        <v>7.4578264785659446E-3</v>
      </c>
    </row>
    <row r="72" spans="2:23">
      <c r="B72" s="116">
        <f>Amnt_Deposited!B67</f>
        <v>2053</v>
      </c>
      <c r="C72" s="119">
        <f>Amnt_Deposited!H67</f>
        <v>0</v>
      </c>
      <c r="D72" s="453">
        <f>Dry_Matter_Content!H59</f>
        <v>0.73</v>
      </c>
      <c r="E72" s="319">
        <f>MCF!R71</f>
        <v>0.8</v>
      </c>
      <c r="F72" s="87">
        <f t="shared" si="12"/>
        <v>0</v>
      </c>
      <c r="G72" s="87">
        <f t="shared" si="1"/>
        <v>0</v>
      </c>
      <c r="H72" s="87">
        <f t="shared" si="2"/>
        <v>0</v>
      </c>
      <c r="I72" s="87">
        <f t="shared" si="3"/>
        <v>0.13126495110792938</v>
      </c>
      <c r="J72" s="87">
        <f t="shared" si="4"/>
        <v>9.5177828672596016E-3</v>
      </c>
      <c r="K72" s="120">
        <f t="shared" si="6"/>
        <v>6.3451885781730675E-3</v>
      </c>
      <c r="O72" s="116">
        <f>Amnt_Deposited!B67</f>
        <v>2053</v>
      </c>
      <c r="P72" s="119">
        <f>Amnt_Deposited!H67</f>
        <v>0</v>
      </c>
      <c r="Q72" s="319">
        <f>MCF!R71</f>
        <v>0.8</v>
      </c>
      <c r="R72" s="87">
        <f t="shared" si="13"/>
        <v>0</v>
      </c>
      <c r="S72" s="87">
        <f t="shared" si="7"/>
        <v>0</v>
      </c>
      <c r="T72" s="87">
        <f t="shared" si="8"/>
        <v>0</v>
      </c>
      <c r="U72" s="87">
        <f t="shared" si="9"/>
        <v>0.14385200121416919</v>
      </c>
      <c r="V72" s="87">
        <f t="shared" si="10"/>
        <v>1.0430446977818742E-2</v>
      </c>
      <c r="W72" s="120">
        <f t="shared" si="11"/>
        <v>6.9536313185458278E-3</v>
      </c>
    </row>
    <row r="73" spans="2:23">
      <c r="B73" s="116">
        <f>Amnt_Deposited!B68</f>
        <v>2054</v>
      </c>
      <c r="C73" s="119">
        <f>Amnt_Deposited!H68</f>
        <v>0</v>
      </c>
      <c r="D73" s="453">
        <f>Dry_Matter_Content!H60</f>
        <v>0.73</v>
      </c>
      <c r="E73" s="319">
        <f>MCF!R72</f>
        <v>0.8</v>
      </c>
      <c r="F73" s="87">
        <f t="shared" si="12"/>
        <v>0</v>
      </c>
      <c r="G73" s="87">
        <f t="shared" si="1"/>
        <v>0</v>
      </c>
      <c r="H73" s="87">
        <f t="shared" si="2"/>
        <v>0</v>
      </c>
      <c r="I73" s="87">
        <f t="shared" si="3"/>
        <v>0.12239062918328981</v>
      </c>
      <c r="J73" s="87">
        <f t="shared" si="4"/>
        <v>8.874321924639569E-3</v>
      </c>
      <c r="K73" s="120">
        <f t="shared" si="6"/>
        <v>5.9162146164263791E-3</v>
      </c>
      <c r="O73" s="116">
        <f>Amnt_Deposited!B68</f>
        <v>2054</v>
      </c>
      <c r="P73" s="119">
        <f>Amnt_Deposited!H68</f>
        <v>0</v>
      </c>
      <c r="Q73" s="319">
        <f>MCF!R72</f>
        <v>0.8</v>
      </c>
      <c r="R73" s="87">
        <f t="shared" si="13"/>
        <v>0</v>
      </c>
      <c r="S73" s="87">
        <f t="shared" si="7"/>
        <v>0</v>
      </c>
      <c r="T73" s="87">
        <f t="shared" si="8"/>
        <v>0</v>
      </c>
      <c r="U73" s="87">
        <f t="shared" si="9"/>
        <v>0.13412671691319433</v>
      </c>
      <c r="V73" s="87">
        <f t="shared" si="10"/>
        <v>9.725284300974869E-3</v>
      </c>
      <c r="W73" s="120">
        <f t="shared" si="11"/>
        <v>6.483522867316579E-3</v>
      </c>
    </row>
    <row r="74" spans="2:23">
      <c r="B74" s="116">
        <f>Amnt_Deposited!B69</f>
        <v>2055</v>
      </c>
      <c r="C74" s="119">
        <f>Amnt_Deposited!H69</f>
        <v>0</v>
      </c>
      <c r="D74" s="453">
        <f>Dry_Matter_Content!H61</f>
        <v>0.73</v>
      </c>
      <c r="E74" s="319">
        <f>MCF!R73</f>
        <v>0.8</v>
      </c>
      <c r="F74" s="87">
        <f t="shared" si="12"/>
        <v>0</v>
      </c>
      <c r="G74" s="87">
        <f t="shared" si="1"/>
        <v>0</v>
      </c>
      <c r="H74" s="87">
        <f t="shared" si="2"/>
        <v>0</v>
      </c>
      <c r="I74" s="87">
        <f t="shared" si="3"/>
        <v>0.11411626626490003</v>
      </c>
      <c r="J74" s="87">
        <f t="shared" si="4"/>
        <v>8.2743629183897934E-3</v>
      </c>
      <c r="K74" s="120">
        <f t="shared" si="6"/>
        <v>5.5162419455931956E-3</v>
      </c>
      <c r="O74" s="116">
        <f>Amnt_Deposited!B69</f>
        <v>2055</v>
      </c>
      <c r="P74" s="119">
        <f>Amnt_Deposited!H69</f>
        <v>0</v>
      </c>
      <c r="Q74" s="319">
        <f>MCF!R73</f>
        <v>0.8</v>
      </c>
      <c r="R74" s="87">
        <f t="shared" si="13"/>
        <v>0</v>
      </c>
      <c r="S74" s="87">
        <f t="shared" si="7"/>
        <v>0</v>
      </c>
      <c r="T74" s="87">
        <f t="shared" si="8"/>
        <v>0</v>
      </c>
      <c r="U74" s="87">
        <f t="shared" si="9"/>
        <v>0.12505892193413704</v>
      </c>
      <c r="V74" s="87">
        <f t="shared" si="10"/>
        <v>9.0677949790573097E-3</v>
      </c>
      <c r="W74" s="120">
        <f t="shared" si="11"/>
        <v>6.0451966527048729E-3</v>
      </c>
    </row>
    <row r="75" spans="2:23">
      <c r="B75" s="116">
        <f>Amnt_Deposited!B70</f>
        <v>2056</v>
      </c>
      <c r="C75" s="119">
        <f>Amnt_Deposited!H70</f>
        <v>0</v>
      </c>
      <c r="D75" s="453">
        <f>Dry_Matter_Content!H62</f>
        <v>0.73</v>
      </c>
      <c r="E75" s="319">
        <f>MCF!R74</f>
        <v>0.8</v>
      </c>
      <c r="F75" s="87">
        <f t="shared" si="12"/>
        <v>0</v>
      </c>
      <c r="G75" s="87">
        <f t="shared" si="1"/>
        <v>0</v>
      </c>
      <c r="H75" s="87">
        <f t="shared" si="2"/>
        <v>0</v>
      </c>
      <c r="I75" s="87">
        <f t="shared" si="3"/>
        <v>0.10640130141613444</v>
      </c>
      <c r="J75" s="87">
        <f t="shared" si="4"/>
        <v>7.7149648487655912E-3</v>
      </c>
      <c r="K75" s="120">
        <f t="shared" si="6"/>
        <v>5.1433098991770605E-3</v>
      </c>
      <c r="O75" s="116">
        <f>Amnt_Deposited!B70</f>
        <v>2056</v>
      </c>
      <c r="P75" s="119">
        <f>Amnt_Deposited!H70</f>
        <v>0</v>
      </c>
      <c r="Q75" s="319">
        <f>MCF!R74</f>
        <v>0.8</v>
      </c>
      <c r="R75" s="87">
        <f t="shared" si="13"/>
        <v>0</v>
      </c>
      <c r="S75" s="87">
        <f t="shared" si="7"/>
        <v>0</v>
      </c>
      <c r="T75" s="87">
        <f t="shared" si="8"/>
        <v>0</v>
      </c>
      <c r="U75" s="87">
        <f t="shared" si="9"/>
        <v>0.11660416593548981</v>
      </c>
      <c r="V75" s="87">
        <f t="shared" si="10"/>
        <v>8.4547559986472235E-3</v>
      </c>
      <c r="W75" s="120">
        <f t="shared" si="11"/>
        <v>5.636503999098149E-3</v>
      </c>
    </row>
    <row r="76" spans="2:23">
      <c r="B76" s="116">
        <f>Amnt_Deposited!B71</f>
        <v>2057</v>
      </c>
      <c r="C76" s="119">
        <f>Amnt_Deposited!H71</f>
        <v>0</v>
      </c>
      <c r="D76" s="453">
        <f>Dry_Matter_Content!H63</f>
        <v>0.73</v>
      </c>
      <c r="E76" s="319">
        <f>MCF!R75</f>
        <v>0.8</v>
      </c>
      <c r="F76" s="87">
        <f t="shared" si="12"/>
        <v>0</v>
      </c>
      <c r="G76" s="87">
        <f t="shared" si="1"/>
        <v>0</v>
      </c>
      <c r="H76" s="87">
        <f t="shared" si="2"/>
        <v>0</v>
      </c>
      <c r="I76" s="87">
        <f t="shared" si="3"/>
        <v>9.9207915870353769E-2</v>
      </c>
      <c r="J76" s="87">
        <f t="shared" si="4"/>
        <v>7.1933855457806655E-3</v>
      </c>
      <c r="K76" s="120">
        <f t="shared" si="6"/>
        <v>4.7955903638537767E-3</v>
      </c>
      <c r="O76" s="116">
        <f>Amnt_Deposited!B71</f>
        <v>2057</v>
      </c>
      <c r="P76" s="119">
        <f>Amnt_Deposited!H71</f>
        <v>0</v>
      </c>
      <c r="Q76" s="319">
        <f>MCF!R75</f>
        <v>0.8</v>
      </c>
      <c r="R76" s="87">
        <f t="shared" si="13"/>
        <v>0</v>
      </c>
      <c r="S76" s="87">
        <f t="shared" si="7"/>
        <v>0</v>
      </c>
      <c r="T76" s="87">
        <f t="shared" si="8"/>
        <v>0</v>
      </c>
      <c r="U76" s="87">
        <f t="shared" si="9"/>
        <v>0.10872100369353839</v>
      </c>
      <c r="V76" s="87">
        <f t="shared" si="10"/>
        <v>7.8831622419514146E-3</v>
      </c>
      <c r="W76" s="120">
        <f t="shared" si="11"/>
        <v>5.2554414946342758E-3</v>
      </c>
    </row>
    <row r="77" spans="2:23">
      <c r="B77" s="116">
        <f>Amnt_Deposited!B72</f>
        <v>2058</v>
      </c>
      <c r="C77" s="119">
        <f>Amnt_Deposited!H72</f>
        <v>0</v>
      </c>
      <c r="D77" s="453">
        <f>Dry_Matter_Content!H64</f>
        <v>0.73</v>
      </c>
      <c r="E77" s="319">
        <f>MCF!R76</f>
        <v>0.8</v>
      </c>
      <c r="F77" s="87">
        <f t="shared" si="12"/>
        <v>0</v>
      </c>
      <c r="G77" s="87">
        <f t="shared" si="1"/>
        <v>0</v>
      </c>
      <c r="H77" s="87">
        <f t="shared" si="2"/>
        <v>0</v>
      </c>
      <c r="I77" s="87">
        <f t="shared" si="3"/>
        <v>9.2500847643267103E-2</v>
      </c>
      <c r="J77" s="87">
        <f t="shared" si="4"/>
        <v>6.707068227086669E-3</v>
      </c>
      <c r="K77" s="120">
        <f t="shared" si="6"/>
        <v>4.4713788180577793E-3</v>
      </c>
      <c r="O77" s="116">
        <f>Amnt_Deposited!B72</f>
        <v>2058</v>
      </c>
      <c r="P77" s="119">
        <f>Amnt_Deposited!H72</f>
        <v>0</v>
      </c>
      <c r="Q77" s="319">
        <f>MCF!R76</f>
        <v>0.8</v>
      </c>
      <c r="R77" s="87">
        <f t="shared" si="13"/>
        <v>0</v>
      </c>
      <c r="S77" s="87">
        <f t="shared" si="7"/>
        <v>0</v>
      </c>
      <c r="T77" s="87">
        <f t="shared" si="8"/>
        <v>0</v>
      </c>
      <c r="U77" s="87">
        <f t="shared" si="9"/>
        <v>0.10137079193782697</v>
      </c>
      <c r="V77" s="87">
        <f t="shared" si="10"/>
        <v>7.3502117557114194E-3</v>
      </c>
      <c r="W77" s="120">
        <f t="shared" si="11"/>
        <v>4.900141170474279E-3</v>
      </c>
    </row>
    <row r="78" spans="2:23">
      <c r="B78" s="116">
        <f>Amnt_Deposited!B73</f>
        <v>2059</v>
      </c>
      <c r="C78" s="119">
        <f>Amnt_Deposited!H73</f>
        <v>0</v>
      </c>
      <c r="D78" s="453">
        <f>Dry_Matter_Content!H65</f>
        <v>0.73</v>
      </c>
      <c r="E78" s="319">
        <f>MCF!R77</f>
        <v>0.8</v>
      </c>
      <c r="F78" s="87">
        <f t="shared" si="12"/>
        <v>0</v>
      </c>
      <c r="G78" s="87">
        <f t="shared" si="1"/>
        <v>0</v>
      </c>
      <c r="H78" s="87">
        <f t="shared" si="2"/>
        <v>0</v>
      </c>
      <c r="I78" s="87">
        <f t="shared" si="3"/>
        <v>8.6247218678643947E-2</v>
      </c>
      <c r="J78" s="87">
        <f t="shared" si="4"/>
        <v>6.2536289646231563E-3</v>
      </c>
      <c r="K78" s="120">
        <f t="shared" si="6"/>
        <v>4.1690859764154375E-3</v>
      </c>
      <c r="O78" s="116">
        <f>Amnt_Deposited!B73</f>
        <v>2059</v>
      </c>
      <c r="P78" s="119">
        <f>Amnt_Deposited!H73</f>
        <v>0</v>
      </c>
      <c r="Q78" s="319">
        <f>MCF!R77</f>
        <v>0.8</v>
      </c>
      <c r="R78" s="87">
        <f t="shared" si="13"/>
        <v>0</v>
      </c>
      <c r="S78" s="87">
        <f t="shared" si="7"/>
        <v>0</v>
      </c>
      <c r="T78" s="87">
        <f t="shared" si="8"/>
        <v>0</v>
      </c>
      <c r="U78" s="87">
        <f t="shared" si="9"/>
        <v>9.4517499921801598E-2</v>
      </c>
      <c r="V78" s="87">
        <f t="shared" si="10"/>
        <v>6.8532920160253767E-3</v>
      </c>
      <c r="W78" s="120">
        <f t="shared" si="11"/>
        <v>4.5688613440169178E-3</v>
      </c>
    </row>
    <row r="79" spans="2:23">
      <c r="B79" s="116">
        <f>Amnt_Deposited!B74</f>
        <v>2060</v>
      </c>
      <c r="C79" s="119">
        <f>Amnt_Deposited!H74</f>
        <v>0</v>
      </c>
      <c r="D79" s="453">
        <f>Dry_Matter_Content!H66</f>
        <v>0.73</v>
      </c>
      <c r="E79" s="319">
        <f>MCF!R78</f>
        <v>0.8</v>
      </c>
      <c r="F79" s="87">
        <f t="shared" si="12"/>
        <v>0</v>
      </c>
      <c r="G79" s="87">
        <f t="shared" si="1"/>
        <v>0</v>
      </c>
      <c r="H79" s="87">
        <f t="shared" si="2"/>
        <v>0</v>
      </c>
      <c r="I79" s="87">
        <f t="shared" si="3"/>
        <v>8.0416373680044478E-2</v>
      </c>
      <c r="J79" s="87">
        <f t="shared" si="4"/>
        <v>5.8308449985994644E-3</v>
      </c>
      <c r="K79" s="120">
        <f t="shared" si="6"/>
        <v>3.8872299990663096E-3</v>
      </c>
      <c r="O79" s="116">
        <f>Amnt_Deposited!B74</f>
        <v>2060</v>
      </c>
      <c r="P79" s="119">
        <f>Amnt_Deposited!H74</f>
        <v>0</v>
      </c>
      <c r="Q79" s="319">
        <f>MCF!R78</f>
        <v>0.8</v>
      </c>
      <c r="R79" s="87">
        <f t="shared" si="13"/>
        <v>0</v>
      </c>
      <c r="S79" s="87">
        <f t="shared" si="7"/>
        <v>0</v>
      </c>
      <c r="T79" s="87">
        <f t="shared" si="8"/>
        <v>0</v>
      </c>
      <c r="U79" s="87">
        <f t="shared" si="9"/>
        <v>8.8127532800048758E-2</v>
      </c>
      <c r="V79" s="87">
        <f t="shared" si="10"/>
        <v>6.3899671217528386E-3</v>
      </c>
      <c r="W79" s="120">
        <f t="shared" si="11"/>
        <v>4.2599780811685591E-3</v>
      </c>
    </row>
    <row r="80" spans="2:23">
      <c r="B80" s="116">
        <f>Amnt_Deposited!B75</f>
        <v>2061</v>
      </c>
      <c r="C80" s="119">
        <f>Amnt_Deposited!H75</f>
        <v>0</v>
      </c>
      <c r="D80" s="453">
        <f>Dry_Matter_Content!H67</f>
        <v>0.73</v>
      </c>
      <c r="E80" s="319">
        <f>MCF!R79</f>
        <v>0.8</v>
      </c>
      <c r="F80" s="87">
        <f t="shared" si="12"/>
        <v>0</v>
      </c>
      <c r="G80" s="87">
        <f t="shared" si="1"/>
        <v>0</v>
      </c>
      <c r="H80" s="87">
        <f t="shared" si="2"/>
        <v>0</v>
      </c>
      <c r="I80" s="87">
        <f t="shared" si="3"/>
        <v>7.4979729838520831E-2</v>
      </c>
      <c r="J80" s="87">
        <f t="shared" si="4"/>
        <v>5.4366438415236482E-3</v>
      </c>
      <c r="K80" s="120">
        <f t="shared" si="6"/>
        <v>3.6244292276824321E-3</v>
      </c>
      <c r="O80" s="116">
        <f>Amnt_Deposited!B75</f>
        <v>2061</v>
      </c>
      <c r="P80" s="119">
        <f>Amnt_Deposited!H75</f>
        <v>0</v>
      </c>
      <c r="Q80" s="319">
        <f>MCF!R79</f>
        <v>0.8</v>
      </c>
      <c r="R80" s="87">
        <f t="shared" si="13"/>
        <v>0</v>
      </c>
      <c r="S80" s="87">
        <f t="shared" si="7"/>
        <v>0</v>
      </c>
      <c r="T80" s="87">
        <f t="shared" si="8"/>
        <v>0</v>
      </c>
      <c r="U80" s="87">
        <f t="shared" si="9"/>
        <v>8.2169566946324213E-2</v>
      </c>
      <c r="V80" s="87">
        <f t="shared" si="10"/>
        <v>5.9579658537245467E-3</v>
      </c>
      <c r="W80" s="120">
        <f t="shared" si="11"/>
        <v>3.9719772358163645E-3</v>
      </c>
    </row>
    <row r="81" spans="2:23">
      <c r="B81" s="116">
        <f>Amnt_Deposited!B76</f>
        <v>2062</v>
      </c>
      <c r="C81" s="119">
        <f>Amnt_Deposited!H76</f>
        <v>0</v>
      </c>
      <c r="D81" s="453">
        <f>Dry_Matter_Content!H68</f>
        <v>0.73</v>
      </c>
      <c r="E81" s="319">
        <f>MCF!R80</f>
        <v>0.8</v>
      </c>
      <c r="F81" s="87">
        <f t="shared" si="12"/>
        <v>0</v>
      </c>
      <c r="G81" s="87">
        <f t="shared" si="1"/>
        <v>0</v>
      </c>
      <c r="H81" s="87">
        <f t="shared" si="2"/>
        <v>0</v>
      </c>
      <c r="I81" s="87">
        <f t="shared" si="3"/>
        <v>6.9910636719654445E-2</v>
      </c>
      <c r="J81" s="87">
        <f t="shared" si="4"/>
        <v>5.0690931188663831E-3</v>
      </c>
      <c r="K81" s="120">
        <f t="shared" si="6"/>
        <v>3.3793954125775887E-3</v>
      </c>
      <c r="O81" s="116">
        <f>Amnt_Deposited!B76</f>
        <v>2062</v>
      </c>
      <c r="P81" s="119">
        <f>Amnt_Deposited!H76</f>
        <v>0</v>
      </c>
      <c r="Q81" s="319">
        <f>MCF!R80</f>
        <v>0.8</v>
      </c>
      <c r="R81" s="87">
        <f t="shared" si="13"/>
        <v>0</v>
      </c>
      <c r="S81" s="87">
        <f t="shared" si="7"/>
        <v>0</v>
      </c>
      <c r="T81" s="87">
        <f t="shared" si="8"/>
        <v>0</v>
      </c>
      <c r="U81" s="87">
        <f t="shared" si="9"/>
        <v>7.6614396405100774E-2</v>
      </c>
      <c r="V81" s="87">
        <f t="shared" si="10"/>
        <v>5.5551705412234349E-3</v>
      </c>
      <c r="W81" s="120">
        <f t="shared" si="11"/>
        <v>3.7034470274822898E-3</v>
      </c>
    </row>
    <row r="82" spans="2:23">
      <c r="B82" s="116">
        <f>Amnt_Deposited!B77</f>
        <v>2063</v>
      </c>
      <c r="C82" s="119">
        <f>Amnt_Deposited!H77</f>
        <v>0</v>
      </c>
      <c r="D82" s="453">
        <f>Dry_Matter_Content!H69</f>
        <v>0.73</v>
      </c>
      <c r="E82" s="319">
        <f>MCF!R81</f>
        <v>0.8</v>
      </c>
      <c r="F82" s="87">
        <f t="shared" si="12"/>
        <v>0</v>
      </c>
      <c r="G82" s="87">
        <f t="shared" si="1"/>
        <v>0</v>
      </c>
      <c r="H82" s="87">
        <f t="shared" si="2"/>
        <v>0</v>
      </c>
      <c r="I82" s="87">
        <f t="shared" si="3"/>
        <v>6.518424562309566E-2</v>
      </c>
      <c r="J82" s="87">
        <f t="shared" si="4"/>
        <v>4.7263910965587843E-3</v>
      </c>
      <c r="K82" s="120">
        <f t="shared" si="6"/>
        <v>3.1509273977058561E-3</v>
      </c>
      <c r="O82" s="116">
        <f>Amnt_Deposited!B77</f>
        <v>2063</v>
      </c>
      <c r="P82" s="119">
        <f>Amnt_Deposited!H77</f>
        <v>0</v>
      </c>
      <c r="Q82" s="319">
        <f>MCF!R81</f>
        <v>0.8</v>
      </c>
      <c r="R82" s="87">
        <f t="shared" si="13"/>
        <v>0</v>
      </c>
      <c r="S82" s="87">
        <f t="shared" si="7"/>
        <v>0</v>
      </c>
      <c r="T82" s="87">
        <f t="shared" si="8"/>
        <v>0</v>
      </c>
      <c r="U82" s="87">
        <f t="shared" si="9"/>
        <v>7.1434789723940462E-2</v>
      </c>
      <c r="V82" s="87">
        <f t="shared" si="10"/>
        <v>5.179606681160312E-3</v>
      </c>
      <c r="W82" s="120">
        <f t="shared" si="11"/>
        <v>3.4530711207735412E-3</v>
      </c>
    </row>
    <row r="83" spans="2:23">
      <c r="B83" s="116">
        <f>Amnt_Deposited!B78</f>
        <v>2064</v>
      </c>
      <c r="C83" s="119">
        <f>Amnt_Deposited!H78</f>
        <v>0</v>
      </c>
      <c r="D83" s="453">
        <f>Dry_Matter_Content!H70</f>
        <v>0.73</v>
      </c>
      <c r="E83" s="319">
        <f>MCF!R82</f>
        <v>0.8</v>
      </c>
      <c r="F83" s="87">
        <f t="shared" ref="F83:F99" si="14">C83*D83*$K$6*DOCF*E83</f>
        <v>0</v>
      </c>
      <c r="G83" s="87">
        <f t="shared" ref="G83:G99" si="15">F83*$K$12</f>
        <v>0</v>
      </c>
      <c r="H83" s="87">
        <f t="shared" ref="H83:H99" si="16">F83*(1-$K$12)</f>
        <v>0</v>
      </c>
      <c r="I83" s="87">
        <f t="shared" ref="I83:I99" si="17">G83+I82*$K$10</f>
        <v>6.077738777420575E-2</v>
      </c>
      <c r="J83" s="87">
        <f t="shared" ref="J83:J99" si="18">I82*(1-$K$10)+H83</f>
        <v>4.4068578488899082E-3</v>
      </c>
      <c r="K83" s="120">
        <f t="shared" si="6"/>
        <v>2.9379052325932721E-3</v>
      </c>
      <c r="O83" s="116">
        <f>Amnt_Deposited!B78</f>
        <v>2064</v>
      </c>
      <c r="P83" s="119">
        <f>Amnt_Deposited!H78</f>
        <v>0</v>
      </c>
      <c r="Q83" s="319">
        <f>MCF!R82</f>
        <v>0.8</v>
      </c>
      <c r="R83" s="87">
        <f t="shared" ref="R83:R99" si="19">P83*$W$6*DOCF*Q83</f>
        <v>0</v>
      </c>
      <c r="S83" s="87">
        <f t="shared" si="7"/>
        <v>0</v>
      </c>
      <c r="T83" s="87">
        <f t="shared" si="8"/>
        <v>0</v>
      </c>
      <c r="U83" s="87">
        <f t="shared" si="9"/>
        <v>6.6605356464883025E-2</v>
      </c>
      <c r="V83" s="87">
        <f t="shared" si="10"/>
        <v>4.8294332590574345E-3</v>
      </c>
      <c r="W83" s="120">
        <f t="shared" si="11"/>
        <v>3.2196221727049563E-3</v>
      </c>
    </row>
    <row r="84" spans="2:23">
      <c r="B84" s="116">
        <f>Amnt_Deposited!B79</f>
        <v>2065</v>
      </c>
      <c r="C84" s="119">
        <f>Amnt_Deposited!H79</f>
        <v>0</v>
      </c>
      <c r="D84" s="453">
        <f>Dry_Matter_Content!H71</f>
        <v>0.73</v>
      </c>
      <c r="E84" s="319">
        <f>MCF!R83</f>
        <v>0.8</v>
      </c>
      <c r="F84" s="87">
        <f t="shared" si="14"/>
        <v>0</v>
      </c>
      <c r="G84" s="87">
        <f t="shared" si="15"/>
        <v>0</v>
      </c>
      <c r="H84" s="87">
        <f t="shared" si="16"/>
        <v>0</v>
      </c>
      <c r="I84" s="87">
        <f t="shared" si="17"/>
        <v>5.6668460750696779E-2</v>
      </c>
      <c r="J84" s="87">
        <f t="shared" si="18"/>
        <v>4.1089270235089717E-3</v>
      </c>
      <c r="K84" s="120">
        <f t="shared" si="6"/>
        <v>2.7392846823393142E-3</v>
      </c>
      <c r="O84" s="116">
        <f>Amnt_Deposited!B79</f>
        <v>2065</v>
      </c>
      <c r="P84" s="119">
        <f>Amnt_Deposited!H79</f>
        <v>0</v>
      </c>
      <c r="Q84" s="319">
        <f>MCF!R83</f>
        <v>0.8</v>
      </c>
      <c r="R84" s="87">
        <f t="shared" si="19"/>
        <v>0</v>
      </c>
      <c r="S84" s="87">
        <f t="shared" si="7"/>
        <v>0</v>
      </c>
      <c r="T84" s="87">
        <f t="shared" si="8"/>
        <v>0</v>
      </c>
      <c r="U84" s="87">
        <f t="shared" si="9"/>
        <v>6.2102422740489632E-2</v>
      </c>
      <c r="V84" s="87">
        <f t="shared" si="10"/>
        <v>4.502933724393394E-3</v>
      </c>
      <c r="W84" s="120">
        <f t="shared" si="11"/>
        <v>3.0019558162622624E-3</v>
      </c>
    </row>
    <row r="85" spans="2:23">
      <c r="B85" s="116">
        <f>Amnt_Deposited!B80</f>
        <v>2066</v>
      </c>
      <c r="C85" s="119">
        <f>Amnt_Deposited!H80</f>
        <v>0</v>
      </c>
      <c r="D85" s="453">
        <f>Dry_Matter_Content!H72</f>
        <v>0.73</v>
      </c>
      <c r="E85" s="319">
        <f>MCF!R84</f>
        <v>0.8</v>
      </c>
      <c r="F85" s="87">
        <f t="shared" si="14"/>
        <v>0</v>
      </c>
      <c r="G85" s="87">
        <f t="shared" si="15"/>
        <v>0</v>
      </c>
      <c r="H85" s="87">
        <f t="shared" si="16"/>
        <v>0</v>
      </c>
      <c r="I85" s="87">
        <f t="shared" si="17"/>
        <v>5.2837322587532473E-2</v>
      </c>
      <c r="J85" s="87">
        <f t="shared" si="18"/>
        <v>3.831138163164308E-3</v>
      </c>
      <c r="K85" s="120">
        <f t="shared" ref="K85:K99" si="20">J85*CH4_fraction*conv</f>
        <v>2.5540921087762051E-3</v>
      </c>
      <c r="O85" s="116">
        <f>Amnt_Deposited!B80</f>
        <v>2066</v>
      </c>
      <c r="P85" s="119">
        <f>Amnt_Deposited!H80</f>
        <v>0</v>
      </c>
      <c r="Q85" s="319">
        <f>MCF!R84</f>
        <v>0.8</v>
      </c>
      <c r="R85" s="87">
        <f t="shared" si="19"/>
        <v>0</v>
      </c>
      <c r="S85" s="87">
        <f t="shared" ref="S85:S98" si="21">R85*$W$12</f>
        <v>0</v>
      </c>
      <c r="T85" s="87">
        <f t="shared" ref="T85:T98" si="22">R85*(1-$W$12)</f>
        <v>0</v>
      </c>
      <c r="U85" s="87">
        <f t="shared" ref="U85:U98" si="23">S85+U84*$W$10</f>
        <v>5.7903915164419159E-2</v>
      </c>
      <c r="V85" s="87">
        <f t="shared" ref="V85:V98" si="24">U84*(1-$W$10)+T85</f>
        <v>4.1985075760704758E-3</v>
      </c>
      <c r="W85" s="120">
        <f t="shared" ref="W85:W99" si="25">V85*CH4_fraction*conv</f>
        <v>2.7990050507136505E-3</v>
      </c>
    </row>
    <row r="86" spans="2:23">
      <c r="B86" s="116">
        <f>Amnt_Deposited!B81</f>
        <v>2067</v>
      </c>
      <c r="C86" s="119">
        <f>Amnt_Deposited!H81</f>
        <v>0</v>
      </c>
      <c r="D86" s="453">
        <f>Dry_Matter_Content!H73</f>
        <v>0.73</v>
      </c>
      <c r="E86" s="319">
        <f>MCF!R85</f>
        <v>0.8</v>
      </c>
      <c r="F86" s="87">
        <f t="shared" si="14"/>
        <v>0</v>
      </c>
      <c r="G86" s="87">
        <f t="shared" si="15"/>
        <v>0</v>
      </c>
      <c r="H86" s="87">
        <f t="shared" si="16"/>
        <v>0</v>
      </c>
      <c r="I86" s="87">
        <f t="shared" si="17"/>
        <v>4.9265193040992243E-2</v>
      </c>
      <c r="J86" s="87">
        <f t="shared" si="18"/>
        <v>3.5721295465402274E-3</v>
      </c>
      <c r="K86" s="120">
        <f t="shared" si="20"/>
        <v>2.3814196976934847E-3</v>
      </c>
      <c r="O86" s="116">
        <f>Amnt_Deposited!B81</f>
        <v>2067</v>
      </c>
      <c r="P86" s="119">
        <f>Amnt_Deposited!H81</f>
        <v>0</v>
      </c>
      <c r="Q86" s="319">
        <f>MCF!R85</f>
        <v>0.8</v>
      </c>
      <c r="R86" s="87">
        <f t="shared" si="19"/>
        <v>0</v>
      </c>
      <c r="S86" s="87">
        <f t="shared" si="21"/>
        <v>0</v>
      </c>
      <c r="T86" s="87">
        <f t="shared" si="22"/>
        <v>0</v>
      </c>
      <c r="U86" s="87">
        <f t="shared" si="23"/>
        <v>5.3989252647662744E-2</v>
      </c>
      <c r="V86" s="87">
        <f t="shared" si="24"/>
        <v>3.9146625167564147E-3</v>
      </c>
      <c r="W86" s="120">
        <f t="shared" si="25"/>
        <v>2.609775011170943E-3</v>
      </c>
    </row>
    <row r="87" spans="2:23">
      <c r="B87" s="116">
        <f>Amnt_Deposited!B82</f>
        <v>2068</v>
      </c>
      <c r="C87" s="119">
        <f>Amnt_Deposited!H82</f>
        <v>0</v>
      </c>
      <c r="D87" s="453">
        <f>Dry_Matter_Content!H74</f>
        <v>0.73</v>
      </c>
      <c r="E87" s="319">
        <f>MCF!R86</f>
        <v>0.8</v>
      </c>
      <c r="F87" s="87">
        <f t="shared" si="14"/>
        <v>0</v>
      </c>
      <c r="G87" s="87">
        <f t="shared" si="15"/>
        <v>0</v>
      </c>
      <c r="H87" s="87">
        <f t="shared" si="16"/>
        <v>0</v>
      </c>
      <c r="I87" s="87">
        <f t="shared" si="17"/>
        <v>4.5934561527894699E-2</v>
      </c>
      <c r="J87" s="87">
        <f t="shared" si="18"/>
        <v>3.3306315130975455E-3</v>
      </c>
      <c r="K87" s="120">
        <f t="shared" si="20"/>
        <v>2.220421008731697E-3</v>
      </c>
      <c r="O87" s="116">
        <f>Amnt_Deposited!B82</f>
        <v>2068</v>
      </c>
      <c r="P87" s="119">
        <f>Amnt_Deposited!H82</f>
        <v>0</v>
      </c>
      <c r="Q87" s="319">
        <f>MCF!R86</f>
        <v>0.8</v>
      </c>
      <c r="R87" s="87">
        <f t="shared" si="19"/>
        <v>0</v>
      </c>
      <c r="S87" s="87">
        <f t="shared" si="21"/>
        <v>0</v>
      </c>
      <c r="T87" s="87">
        <f t="shared" si="22"/>
        <v>0</v>
      </c>
      <c r="U87" s="87">
        <f t="shared" si="23"/>
        <v>5.0339245510021599E-2</v>
      </c>
      <c r="V87" s="87">
        <f t="shared" si="24"/>
        <v>3.6500071376411466E-3</v>
      </c>
      <c r="W87" s="120">
        <f t="shared" si="25"/>
        <v>2.4333380917607641E-3</v>
      </c>
    </row>
    <row r="88" spans="2:23">
      <c r="B88" s="116">
        <f>Amnt_Deposited!B83</f>
        <v>2069</v>
      </c>
      <c r="C88" s="119">
        <f>Amnt_Deposited!H83</f>
        <v>0</v>
      </c>
      <c r="D88" s="453">
        <f>Dry_Matter_Content!H75</f>
        <v>0.73</v>
      </c>
      <c r="E88" s="319">
        <f>MCF!R87</f>
        <v>0.8</v>
      </c>
      <c r="F88" s="87">
        <f t="shared" si="14"/>
        <v>0</v>
      </c>
      <c r="G88" s="87">
        <f t="shared" si="15"/>
        <v>0</v>
      </c>
      <c r="H88" s="87">
        <f t="shared" si="16"/>
        <v>0</v>
      </c>
      <c r="I88" s="87">
        <f t="shared" si="17"/>
        <v>4.2829101288698553E-2</v>
      </c>
      <c r="J88" s="87">
        <f t="shared" si="18"/>
        <v>3.105460239196149E-3</v>
      </c>
      <c r="K88" s="120">
        <f t="shared" si="20"/>
        <v>2.0703068261307658E-3</v>
      </c>
      <c r="O88" s="116">
        <f>Amnt_Deposited!B83</f>
        <v>2069</v>
      </c>
      <c r="P88" s="119">
        <f>Amnt_Deposited!H83</f>
        <v>0</v>
      </c>
      <c r="Q88" s="319">
        <f>MCF!R87</f>
        <v>0.8</v>
      </c>
      <c r="R88" s="87">
        <f t="shared" si="19"/>
        <v>0</v>
      </c>
      <c r="S88" s="87">
        <f t="shared" si="21"/>
        <v>0</v>
      </c>
      <c r="T88" s="87">
        <f t="shared" si="22"/>
        <v>0</v>
      </c>
      <c r="U88" s="87">
        <f t="shared" si="23"/>
        <v>4.6936001412272395E-2</v>
      </c>
      <c r="V88" s="87">
        <f t="shared" si="24"/>
        <v>3.4032440977492051E-3</v>
      </c>
      <c r="W88" s="120">
        <f t="shared" si="25"/>
        <v>2.26882939849947E-3</v>
      </c>
    </row>
    <row r="89" spans="2:23">
      <c r="B89" s="116">
        <f>Amnt_Deposited!B84</f>
        <v>2070</v>
      </c>
      <c r="C89" s="119">
        <f>Amnt_Deposited!H84</f>
        <v>0</v>
      </c>
      <c r="D89" s="453">
        <f>Dry_Matter_Content!H76</f>
        <v>0.73</v>
      </c>
      <c r="E89" s="319">
        <f>MCF!R88</f>
        <v>0.8</v>
      </c>
      <c r="F89" s="87">
        <f t="shared" si="14"/>
        <v>0</v>
      </c>
      <c r="G89" s="87">
        <f t="shared" si="15"/>
        <v>0</v>
      </c>
      <c r="H89" s="87">
        <f t="shared" si="16"/>
        <v>0</v>
      </c>
      <c r="I89" s="87">
        <f t="shared" si="17"/>
        <v>3.9933589353708415E-2</v>
      </c>
      <c r="J89" s="87">
        <f t="shared" si="18"/>
        <v>2.8955119349901373E-3</v>
      </c>
      <c r="K89" s="120">
        <f t="shared" si="20"/>
        <v>1.9303412899934248E-3</v>
      </c>
      <c r="O89" s="116">
        <f>Amnt_Deposited!B84</f>
        <v>2070</v>
      </c>
      <c r="P89" s="119">
        <f>Amnt_Deposited!H84</f>
        <v>0</v>
      </c>
      <c r="Q89" s="319">
        <f>MCF!R88</f>
        <v>0.8</v>
      </c>
      <c r="R89" s="87">
        <f t="shared" si="19"/>
        <v>0</v>
      </c>
      <c r="S89" s="87">
        <f t="shared" si="21"/>
        <v>0</v>
      </c>
      <c r="T89" s="87">
        <f t="shared" si="22"/>
        <v>0</v>
      </c>
      <c r="U89" s="87">
        <f t="shared" si="23"/>
        <v>4.3762837647899643E-2</v>
      </c>
      <c r="V89" s="87">
        <f t="shared" si="24"/>
        <v>3.1731637643727536E-3</v>
      </c>
      <c r="W89" s="120">
        <f t="shared" si="25"/>
        <v>2.1154425095818354E-3</v>
      </c>
    </row>
    <row r="90" spans="2:23">
      <c r="B90" s="116">
        <f>Amnt_Deposited!B85</f>
        <v>2071</v>
      </c>
      <c r="C90" s="119">
        <f>Amnt_Deposited!H85</f>
        <v>0</v>
      </c>
      <c r="D90" s="453">
        <f>Dry_Matter_Content!H77</f>
        <v>0.73</v>
      </c>
      <c r="E90" s="319">
        <f>MCF!R89</f>
        <v>0.8</v>
      </c>
      <c r="F90" s="87">
        <f t="shared" si="14"/>
        <v>0</v>
      </c>
      <c r="G90" s="87">
        <f t="shared" si="15"/>
        <v>0</v>
      </c>
      <c r="H90" s="87">
        <f t="shared" si="16"/>
        <v>0</v>
      </c>
      <c r="I90" s="87">
        <f t="shared" si="17"/>
        <v>3.7233831920059697E-2</v>
      </c>
      <c r="J90" s="87">
        <f t="shared" si="18"/>
        <v>2.6997574336487177E-3</v>
      </c>
      <c r="K90" s="120">
        <f t="shared" si="20"/>
        <v>1.799838289099145E-3</v>
      </c>
      <c r="O90" s="116">
        <f>Amnt_Deposited!B85</f>
        <v>2071</v>
      </c>
      <c r="P90" s="119">
        <f>Amnt_Deposited!H85</f>
        <v>0</v>
      </c>
      <c r="Q90" s="319">
        <f>MCF!R89</f>
        <v>0.8</v>
      </c>
      <c r="R90" s="87">
        <f t="shared" si="19"/>
        <v>0</v>
      </c>
      <c r="S90" s="87">
        <f t="shared" si="21"/>
        <v>0</v>
      </c>
      <c r="T90" s="87">
        <f t="shared" si="22"/>
        <v>0</v>
      </c>
      <c r="U90" s="87">
        <f t="shared" si="23"/>
        <v>4.0804199364448991E-2</v>
      </c>
      <c r="V90" s="87">
        <f t="shared" si="24"/>
        <v>2.9586382834506501E-3</v>
      </c>
      <c r="W90" s="120">
        <f t="shared" si="25"/>
        <v>1.9724255223004332E-3</v>
      </c>
    </row>
    <row r="91" spans="2:23">
      <c r="B91" s="116">
        <f>Amnt_Deposited!B86</f>
        <v>2072</v>
      </c>
      <c r="C91" s="119">
        <f>Amnt_Deposited!H86</f>
        <v>0</v>
      </c>
      <c r="D91" s="453">
        <f>Dry_Matter_Content!H78</f>
        <v>0.73</v>
      </c>
      <c r="E91" s="319">
        <f>MCF!R90</f>
        <v>0.8</v>
      </c>
      <c r="F91" s="87">
        <f t="shared" si="14"/>
        <v>0</v>
      </c>
      <c r="G91" s="87">
        <f t="shared" si="15"/>
        <v>0</v>
      </c>
      <c r="H91" s="87">
        <f t="shared" si="16"/>
        <v>0</v>
      </c>
      <c r="I91" s="87">
        <f t="shared" si="17"/>
        <v>3.4716594773680491E-2</v>
      </c>
      <c r="J91" s="87">
        <f t="shared" si="18"/>
        <v>2.5172371463792077E-3</v>
      </c>
      <c r="K91" s="120">
        <f t="shared" si="20"/>
        <v>1.6781580975861383E-3</v>
      </c>
      <c r="O91" s="116">
        <f>Amnt_Deposited!B86</f>
        <v>2072</v>
      </c>
      <c r="P91" s="119">
        <f>Amnt_Deposited!H86</f>
        <v>0</v>
      </c>
      <c r="Q91" s="319">
        <f>MCF!R90</f>
        <v>0.8</v>
      </c>
      <c r="R91" s="87">
        <f t="shared" si="19"/>
        <v>0</v>
      </c>
      <c r="S91" s="87">
        <f t="shared" si="21"/>
        <v>0</v>
      </c>
      <c r="T91" s="87">
        <f t="shared" si="22"/>
        <v>0</v>
      </c>
      <c r="U91" s="87">
        <f t="shared" si="23"/>
        <v>3.8045583313622462E-2</v>
      </c>
      <c r="V91" s="87">
        <f t="shared" si="24"/>
        <v>2.7586160508265294E-3</v>
      </c>
      <c r="W91" s="120">
        <f t="shared" si="25"/>
        <v>1.8390773672176861E-3</v>
      </c>
    </row>
    <row r="92" spans="2:23">
      <c r="B92" s="116">
        <f>Amnt_Deposited!B87</f>
        <v>2073</v>
      </c>
      <c r="C92" s="119">
        <f>Amnt_Deposited!H87</f>
        <v>0</v>
      </c>
      <c r="D92" s="453">
        <f>Dry_Matter_Content!H79</f>
        <v>0.73</v>
      </c>
      <c r="E92" s="319">
        <f>MCF!R91</f>
        <v>0.8</v>
      </c>
      <c r="F92" s="87">
        <f t="shared" si="14"/>
        <v>0</v>
      </c>
      <c r="G92" s="87">
        <f t="shared" si="15"/>
        <v>0</v>
      </c>
      <c r="H92" s="87">
        <f t="shared" si="16"/>
        <v>0</v>
      </c>
      <c r="I92" s="87">
        <f t="shared" si="17"/>
        <v>3.2369538415158834E-2</v>
      </c>
      <c r="J92" s="87">
        <f t="shared" si="18"/>
        <v>2.3470563585216583E-3</v>
      </c>
      <c r="K92" s="120">
        <f t="shared" si="20"/>
        <v>1.5647042390144388E-3</v>
      </c>
      <c r="O92" s="116">
        <f>Amnt_Deposited!B87</f>
        <v>2073</v>
      </c>
      <c r="P92" s="119">
        <f>Amnt_Deposited!H87</f>
        <v>0</v>
      </c>
      <c r="Q92" s="319">
        <f>MCF!R91</f>
        <v>0.8</v>
      </c>
      <c r="R92" s="87">
        <f t="shared" si="19"/>
        <v>0</v>
      </c>
      <c r="S92" s="87">
        <f t="shared" si="21"/>
        <v>0</v>
      </c>
      <c r="T92" s="87">
        <f t="shared" si="22"/>
        <v>0</v>
      </c>
      <c r="U92" s="87">
        <f t="shared" si="23"/>
        <v>3.5473466756338452E-2</v>
      </c>
      <c r="V92" s="87">
        <f t="shared" si="24"/>
        <v>2.5721165572840095E-3</v>
      </c>
      <c r="W92" s="120">
        <f t="shared" si="25"/>
        <v>1.7147443715226729E-3</v>
      </c>
    </row>
    <row r="93" spans="2:23">
      <c r="B93" s="116">
        <f>Amnt_Deposited!B88</f>
        <v>2074</v>
      </c>
      <c r="C93" s="119">
        <f>Amnt_Deposited!H88</f>
        <v>0</v>
      </c>
      <c r="D93" s="453">
        <f>Dry_Matter_Content!H80</f>
        <v>0.73</v>
      </c>
      <c r="E93" s="319">
        <f>MCF!R92</f>
        <v>0.8</v>
      </c>
      <c r="F93" s="87">
        <f t="shared" si="14"/>
        <v>0</v>
      </c>
      <c r="G93" s="87">
        <f t="shared" si="15"/>
        <v>0</v>
      </c>
      <c r="H93" s="87">
        <f t="shared" si="16"/>
        <v>0</v>
      </c>
      <c r="I93" s="87">
        <f t="shared" si="17"/>
        <v>3.018115757150228E-2</v>
      </c>
      <c r="J93" s="87">
        <f t="shared" si="18"/>
        <v>2.1883808436565537E-3</v>
      </c>
      <c r="K93" s="120">
        <f t="shared" si="20"/>
        <v>1.4589205624377024E-3</v>
      </c>
      <c r="O93" s="116">
        <f>Amnt_Deposited!B88</f>
        <v>2074</v>
      </c>
      <c r="P93" s="119">
        <f>Amnt_Deposited!H88</f>
        <v>0</v>
      </c>
      <c r="Q93" s="319">
        <f>MCF!R92</f>
        <v>0.8</v>
      </c>
      <c r="R93" s="87">
        <f t="shared" si="19"/>
        <v>0</v>
      </c>
      <c r="S93" s="87">
        <f t="shared" si="21"/>
        <v>0</v>
      </c>
      <c r="T93" s="87">
        <f t="shared" si="22"/>
        <v>0</v>
      </c>
      <c r="U93" s="87">
        <f t="shared" si="23"/>
        <v>3.3075241174249079E-2</v>
      </c>
      <c r="V93" s="87">
        <f t="shared" si="24"/>
        <v>2.3982255820893745E-3</v>
      </c>
      <c r="W93" s="120">
        <f t="shared" si="25"/>
        <v>1.5988170547262496E-3</v>
      </c>
    </row>
    <row r="94" spans="2:23">
      <c r="B94" s="116">
        <f>Amnt_Deposited!B89</f>
        <v>2075</v>
      </c>
      <c r="C94" s="119">
        <f>Amnt_Deposited!H89</f>
        <v>0</v>
      </c>
      <c r="D94" s="453">
        <f>Dry_Matter_Content!H81</f>
        <v>0.73</v>
      </c>
      <c r="E94" s="319">
        <f>MCF!R93</f>
        <v>0.8</v>
      </c>
      <c r="F94" s="87">
        <f t="shared" si="14"/>
        <v>0</v>
      </c>
      <c r="G94" s="87">
        <f t="shared" si="15"/>
        <v>0</v>
      </c>
      <c r="H94" s="87">
        <f t="shared" si="16"/>
        <v>0</v>
      </c>
      <c r="I94" s="87">
        <f t="shared" si="17"/>
        <v>2.8140724797276345E-2</v>
      </c>
      <c r="J94" s="87">
        <f t="shared" si="18"/>
        <v>2.040432774225936E-3</v>
      </c>
      <c r="K94" s="120">
        <f t="shared" si="20"/>
        <v>1.3602885161506238E-3</v>
      </c>
      <c r="O94" s="116">
        <f>Amnt_Deposited!B89</f>
        <v>2075</v>
      </c>
      <c r="P94" s="119">
        <f>Amnt_Deposited!H89</f>
        <v>0</v>
      </c>
      <c r="Q94" s="319">
        <f>MCF!R93</f>
        <v>0.8</v>
      </c>
      <c r="R94" s="87">
        <f t="shared" si="19"/>
        <v>0</v>
      </c>
      <c r="S94" s="87">
        <f t="shared" si="21"/>
        <v>0</v>
      </c>
      <c r="T94" s="87">
        <f t="shared" si="22"/>
        <v>0</v>
      </c>
      <c r="U94" s="87">
        <f t="shared" si="23"/>
        <v>3.08391504627686E-2</v>
      </c>
      <c r="V94" s="87">
        <f t="shared" si="24"/>
        <v>2.2360907114804783E-3</v>
      </c>
      <c r="W94" s="120">
        <f t="shared" si="25"/>
        <v>1.4907271409869854E-3</v>
      </c>
    </row>
    <row r="95" spans="2:23">
      <c r="B95" s="116">
        <f>Amnt_Deposited!B90</f>
        <v>2076</v>
      </c>
      <c r="C95" s="119">
        <f>Amnt_Deposited!H90</f>
        <v>0</v>
      </c>
      <c r="D95" s="453">
        <f>Dry_Matter_Content!H82</f>
        <v>0.73</v>
      </c>
      <c r="E95" s="319">
        <f>MCF!R94</f>
        <v>0.8</v>
      </c>
      <c r="F95" s="87">
        <f t="shared" si="14"/>
        <v>0</v>
      </c>
      <c r="G95" s="87">
        <f t="shared" si="15"/>
        <v>0</v>
      </c>
      <c r="H95" s="87">
        <f t="shared" si="16"/>
        <v>0</v>
      </c>
      <c r="I95" s="87">
        <f t="shared" si="17"/>
        <v>2.6238237888654533E-2</v>
      </c>
      <c r="J95" s="87">
        <f t="shared" si="18"/>
        <v>1.9024869086218118E-3</v>
      </c>
      <c r="K95" s="120">
        <f t="shared" si="20"/>
        <v>1.2683246057478745E-3</v>
      </c>
      <c r="O95" s="116">
        <f>Amnt_Deposited!B90</f>
        <v>2076</v>
      </c>
      <c r="P95" s="119">
        <f>Amnt_Deposited!H90</f>
        <v>0</v>
      </c>
      <c r="Q95" s="319">
        <f>MCF!R94</f>
        <v>0.8</v>
      </c>
      <c r="R95" s="87">
        <f t="shared" si="19"/>
        <v>0</v>
      </c>
      <c r="S95" s="87">
        <f t="shared" si="21"/>
        <v>0</v>
      </c>
      <c r="T95" s="87">
        <f t="shared" si="22"/>
        <v>0</v>
      </c>
      <c r="U95" s="87">
        <f t="shared" si="23"/>
        <v>2.8754233302635109E-2</v>
      </c>
      <c r="V95" s="87">
        <f t="shared" si="24"/>
        <v>2.0849171601334928E-3</v>
      </c>
      <c r="W95" s="120">
        <f t="shared" si="25"/>
        <v>1.3899447734223285E-3</v>
      </c>
    </row>
    <row r="96" spans="2:23">
      <c r="B96" s="116">
        <f>Amnt_Deposited!B91</f>
        <v>2077</v>
      </c>
      <c r="C96" s="119">
        <f>Amnt_Deposited!H91</f>
        <v>0</v>
      </c>
      <c r="D96" s="453">
        <f>Dry_Matter_Content!H83</f>
        <v>0.73</v>
      </c>
      <c r="E96" s="319">
        <f>MCF!R95</f>
        <v>0.8</v>
      </c>
      <c r="F96" s="87">
        <f t="shared" si="14"/>
        <v>0</v>
      </c>
      <c r="G96" s="87">
        <f t="shared" si="15"/>
        <v>0</v>
      </c>
      <c r="H96" s="87">
        <f t="shared" si="16"/>
        <v>0</v>
      </c>
      <c r="I96" s="87">
        <f t="shared" si="17"/>
        <v>2.4464370852603584E-2</v>
      </c>
      <c r="J96" s="87">
        <f t="shared" si="18"/>
        <v>1.7738670360509499E-3</v>
      </c>
      <c r="K96" s="120">
        <f t="shared" si="20"/>
        <v>1.1825780240339665E-3</v>
      </c>
      <c r="O96" s="116">
        <f>Amnt_Deposited!B91</f>
        <v>2077</v>
      </c>
      <c r="P96" s="119">
        <f>Amnt_Deposited!H91</f>
        <v>0</v>
      </c>
      <c r="Q96" s="319">
        <f>MCF!R95</f>
        <v>0.8</v>
      </c>
      <c r="R96" s="87">
        <f t="shared" si="19"/>
        <v>0</v>
      </c>
      <c r="S96" s="87">
        <f t="shared" si="21"/>
        <v>0</v>
      </c>
      <c r="T96" s="87">
        <f t="shared" si="22"/>
        <v>0</v>
      </c>
      <c r="U96" s="87">
        <f t="shared" si="23"/>
        <v>2.6810269427510778E-2</v>
      </c>
      <c r="V96" s="87">
        <f t="shared" si="24"/>
        <v>1.9439638751243288E-3</v>
      </c>
      <c r="W96" s="120">
        <f t="shared" si="25"/>
        <v>1.2959759167495526E-3</v>
      </c>
    </row>
    <row r="97" spans="2:23">
      <c r="B97" s="116">
        <f>Amnt_Deposited!B92</f>
        <v>2078</v>
      </c>
      <c r="C97" s="119">
        <f>Amnt_Deposited!H92</f>
        <v>0</v>
      </c>
      <c r="D97" s="453">
        <f>Dry_Matter_Content!H84</f>
        <v>0.73</v>
      </c>
      <c r="E97" s="319">
        <f>MCF!R96</f>
        <v>0.8</v>
      </c>
      <c r="F97" s="87">
        <f t="shared" si="14"/>
        <v>0</v>
      </c>
      <c r="G97" s="87">
        <f t="shared" si="15"/>
        <v>0</v>
      </c>
      <c r="H97" s="87">
        <f t="shared" si="16"/>
        <v>0</v>
      </c>
      <c r="I97" s="87">
        <f t="shared" si="17"/>
        <v>2.2810428190854798E-2</v>
      </c>
      <c r="J97" s="87">
        <f t="shared" si="18"/>
        <v>1.6539426617487878E-3</v>
      </c>
      <c r="K97" s="120">
        <f t="shared" si="20"/>
        <v>1.1026284411658584E-3</v>
      </c>
      <c r="O97" s="116">
        <f>Amnt_Deposited!B92</f>
        <v>2078</v>
      </c>
      <c r="P97" s="119">
        <f>Amnt_Deposited!H92</f>
        <v>0</v>
      </c>
      <c r="Q97" s="319">
        <f>MCF!R96</f>
        <v>0.8</v>
      </c>
      <c r="R97" s="87">
        <f t="shared" si="19"/>
        <v>0</v>
      </c>
      <c r="S97" s="87">
        <f t="shared" si="21"/>
        <v>0</v>
      </c>
      <c r="T97" s="87">
        <f t="shared" si="22"/>
        <v>0</v>
      </c>
      <c r="U97" s="87">
        <f t="shared" si="23"/>
        <v>2.4997729524224434E-2</v>
      </c>
      <c r="V97" s="87">
        <f t="shared" si="24"/>
        <v>1.8125399032863428E-3</v>
      </c>
      <c r="W97" s="120">
        <f t="shared" si="25"/>
        <v>1.2083599355242284E-3</v>
      </c>
    </row>
    <row r="98" spans="2:23">
      <c r="B98" s="116">
        <f>Amnt_Deposited!B93</f>
        <v>2079</v>
      </c>
      <c r="C98" s="119">
        <f>Amnt_Deposited!H93</f>
        <v>0</v>
      </c>
      <c r="D98" s="453">
        <f>Dry_Matter_Content!H85</f>
        <v>0.73</v>
      </c>
      <c r="E98" s="319">
        <f>MCF!R97</f>
        <v>0.8</v>
      </c>
      <c r="F98" s="87">
        <f t="shared" si="14"/>
        <v>0</v>
      </c>
      <c r="G98" s="87">
        <f t="shared" si="15"/>
        <v>0</v>
      </c>
      <c r="H98" s="87">
        <f t="shared" si="16"/>
        <v>0</v>
      </c>
      <c r="I98" s="87">
        <f t="shared" si="17"/>
        <v>2.1268302274561435E-2</v>
      </c>
      <c r="J98" s="87">
        <f t="shared" si="18"/>
        <v>1.542125916293364E-3</v>
      </c>
      <c r="K98" s="120">
        <f t="shared" si="20"/>
        <v>1.0280839441955758E-3</v>
      </c>
      <c r="O98" s="116">
        <f>Amnt_Deposited!B93</f>
        <v>2079</v>
      </c>
      <c r="P98" s="119">
        <f>Amnt_Deposited!H93</f>
        <v>0</v>
      </c>
      <c r="Q98" s="319">
        <f>MCF!R97</f>
        <v>0.8</v>
      </c>
      <c r="R98" s="87">
        <f t="shared" si="19"/>
        <v>0</v>
      </c>
      <c r="S98" s="87">
        <f t="shared" si="21"/>
        <v>0</v>
      </c>
      <c r="T98" s="87">
        <f t="shared" si="22"/>
        <v>0</v>
      </c>
      <c r="U98" s="87">
        <f t="shared" si="23"/>
        <v>2.3307728520067322E-2</v>
      </c>
      <c r="V98" s="87">
        <f t="shared" si="24"/>
        <v>1.6900010041571111E-3</v>
      </c>
      <c r="W98" s="120">
        <f t="shared" si="25"/>
        <v>1.1266673361047406E-3</v>
      </c>
    </row>
    <row r="99" spans="2:23" ht="13.5" thickBot="1">
      <c r="B99" s="117">
        <f>Amnt_Deposited!B94</f>
        <v>2080</v>
      </c>
      <c r="C99" s="121">
        <f>Amnt_Deposited!H94</f>
        <v>0</v>
      </c>
      <c r="D99" s="454">
        <f>Dry_Matter_Content!H86</f>
        <v>0.73</v>
      </c>
      <c r="E99" s="320">
        <f>MCF!R98</f>
        <v>0.8</v>
      </c>
      <c r="F99" s="88">
        <f t="shared" si="14"/>
        <v>0</v>
      </c>
      <c r="G99" s="88">
        <f t="shared" si="15"/>
        <v>0</v>
      </c>
      <c r="H99" s="88">
        <f t="shared" si="16"/>
        <v>0</v>
      </c>
      <c r="I99" s="88">
        <f t="shared" si="17"/>
        <v>1.9830433600692705E-2</v>
      </c>
      <c r="J99" s="88">
        <f t="shared" si="18"/>
        <v>1.4378686738687305E-3</v>
      </c>
      <c r="K99" s="122">
        <f t="shared" si="20"/>
        <v>9.5857911591248695E-4</v>
      </c>
      <c r="O99" s="117">
        <f>Amnt_Deposited!B94</f>
        <v>2080</v>
      </c>
      <c r="P99" s="121">
        <f>Amnt_Deposited!H94</f>
        <v>0</v>
      </c>
      <c r="Q99" s="320">
        <f>MCF!R98</f>
        <v>0.8</v>
      </c>
      <c r="R99" s="88">
        <f t="shared" si="19"/>
        <v>0</v>
      </c>
      <c r="S99" s="88">
        <f>R99*$W$12</f>
        <v>0</v>
      </c>
      <c r="T99" s="88">
        <f>R99*(1-$W$12)</f>
        <v>0</v>
      </c>
      <c r="U99" s="88">
        <f>S99+U98*$W$10</f>
        <v>2.1731982028156384E-2</v>
      </c>
      <c r="V99" s="88">
        <f>U98*(1-$W$10)+T99</f>
        <v>1.5757464919109372E-3</v>
      </c>
      <c r="W99" s="122">
        <f t="shared" si="25"/>
        <v>1.050497661273958E-3</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65" t="s">
        <v>310</v>
      </c>
      <c r="C2" s="251"/>
      <c r="D2" s="251"/>
      <c r="E2" s="252"/>
      <c r="F2" s="253"/>
      <c r="G2" s="253"/>
      <c r="H2" s="253"/>
      <c r="I2" s="253"/>
      <c r="J2" s="253"/>
      <c r="K2" s="253"/>
    </row>
    <row r="3" spans="1:23" ht="15">
      <c r="B3" s="275"/>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293">
        <f>Parameters!O27</f>
        <v>0</v>
      </c>
      <c r="O6" s="257"/>
      <c r="P6" s="258"/>
      <c r="Q6" s="249"/>
      <c r="R6" s="128" t="s">
        <v>9</v>
      </c>
      <c r="S6" s="129"/>
      <c r="T6" s="129"/>
      <c r="U6" s="133"/>
      <c r="V6" s="140" t="s">
        <v>9</v>
      </c>
      <c r="W6" s="293">
        <f>Parameters!R27</f>
        <v>0.05</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Parameters!O46</f>
        <v>0.4</v>
      </c>
      <c r="O8" s="67"/>
      <c r="P8" s="67"/>
      <c r="Q8" s="249"/>
      <c r="R8" s="128" t="s">
        <v>192</v>
      </c>
      <c r="S8" s="129"/>
      <c r="T8" s="129"/>
      <c r="U8" s="133"/>
      <c r="V8" s="140" t="s">
        <v>188</v>
      </c>
      <c r="W8" s="134">
        <f>Parameters!O46</f>
        <v>0.4</v>
      </c>
    </row>
    <row r="9" spans="1:23" ht="15.75">
      <c r="F9" s="279" t="s">
        <v>190</v>
      </c>
      <c r="G9" s="280"/>
      <c r="H9" s="280"/>
      <c r="I9" s="281"/>
      <c r="J9" s="282" t="s">
        <v>189</v>
      </c>
      <c r="K9" s="288">
        <f>LN(2)/$K$8</f>
        <v>1.732867951399863</v>
      </c>
      <c r="O9" s="67"/>
      <c r="P9" s="67"/>
      <c r="Q9" s="249"/>
      <c r="R9" s="279" t="s">
        <v>190</v>
      </c>
      <c r="S9" s="280"/>
      <c r="T9" s="280"/>
      <c r="U9" s="281"/>
      <c r="V9" s="282" t="s">
        <v>189</v>
      </c>
      <c r="W9" s="288">
        <f>LN(2)/$W$8</f>
        <v>1.732867951399863</v>
      </c>
    </row>
    <row r="10" spans="1:23">
      <c r="F10" s="130" t="s">
        <v>84</v>
      </c>
      <c r="G10" s="131"/>
      <c r="H10" s="131"/>
      <c r="I10" s="132"/>
      <c r="J10" s="141" t="s">
        <v>148</v>
      </c>
      <c r="K10" s="69">
        <f>EXP(-$K$8)</f>
        <v>0.67032004603563933</v>
      </c>
      <c r="O10" s="67"/>
      <c r="P10" s="67"/>
      <c r="Q10" s="249"/>
      <c r="R10" s="130" t="s">
        <v>84</v>
      </c>
      <c r="S10" s="131"/>
      <c r="T10" s="131"/>
      <c r="U10" s="132"/>
      <c r="V10" s="141" t="s">
        <v>148</v>
      </c>
      <c r="W10" s="69">
        <f>EXP(-$W$8)</f>
        <v>0.67032004603563933</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Amnt_Deposited!N14</f>
        <v>0</v>
      </c>
      <c r="D19" s="451">
        <f>Dry_Matter_Content!N6</f>
        <v>0</v>
      </c>
      <c r="E19" s="318">
        <f>MCF!R18</f>
        <v>0.8</v>
      </c>
      <c r="F19" s="150">
        <f t="shared" ref="F19:F82" si="0">C19*D19*$K$6*DOCF*E19</f>
        <v>0</v>
      </c>
      <c r="G19" s="85">
        <f t="shared" ref="G19:G82" si="1">F19*$K$12</f>
        <v>0</v>
      </c>
      <c r="H19" s="85">
        <f t="shared" ref="H19:H82" si="2">F19*(1-$K$12)</f>
        <v>0</v>
      </c>
      <c r="I19" s="85">
        <f t="shared" ref="I19:I82" si="3">G19+I18*$K$10</f>
        <v>0</v>
      </c>
      <c r="J19" s="85">
        <f t="shared" ref="J19:J82" si="4">I18*(1-$K$10)+H19</f>
        <v>0</v>
      </c>
      <c r="K19" s="86">
        <f>J19*CH4_fraction*conv</f>
        <v>0</v>
      </c>
      <c r="O19" s="115">
        <f>Amnt_Deposited!B14</f>
        <v>2000</v>
      </c>
      <c r="P19" s="118">
        <f>Amnt_Deposited!N14</f>
        <v>0</v>
      </c>
      <c r="Q19" s="318">
        <f>MCF!R18</f>
        <v>0.8</v>
      </c>
      <c r="R19" s="150">
        <f t="shared" ref="R19:R82" si="5">P19*$W$6*DOCF*Q19</f>
        <v>0</v>
      </c>
      <c r="S19" s="85">
        <f>R19*$W$12</f>
        <v>0</v>
      </c>
      <c r="T19" s="85">
        <f>R19*(1-$W$12)</f>
        <v>0</v>
      </c>
      <c r="U19" s="85">
        <f>S19+U18*$W$10</f>
        <v>0</v>
      </c>
      <c r="V19" s="85">
        <f>U18*(1-$W$10)+T19</f>
        <v>0</v>
      </c>
      <c r="W19" s="86">
        <f>V19*CH4_fraction*conv</f>
        <v>0</v>
      </c>
    </row>
    <row r="20" spans="2:23">
      <c r="B20" s="116">
        <f>Amnt_Deposited!B15</f>
        <v>2001</v>
      </c>
      <c r="C20" s="119">
        <f>Amnt_Deposited!N15</f>
        <v>0</v>
      </c>
      <c r="D20" s="453">
        <f>Dry_Matter_Content!N7</f>
        <v>0</v>
      </c>
      <c r="E20" s="319">
        <f>MCF!R19</f>
        <v>0.8</v>
      </c>
      <c r="F20" s="87">
        <f t="shared" si="0"/>
        <v>0</v>
      </c>
      <c r="G20" s="87">
        <f t="shared" si="1"/>
        <v>0</v>
      </c>
      <c r="H20" s="87">
        <f t="shared" si="2"/>
        <v>0</v>
      </c>
      <c r="I20" s="87">
        <f t="shared" si="3"/>
        <v>0</v>
      </c>
      <c r="J20" s="87">
        <f t="shared" si="4"/>
        <v>0</v>
      </c>
      <c r="K20" s="120">
        <f>J20*CH4_fraction*conv</f>
        <v>0</v>
      </c>
      <c r="M20" s="428"/>
      <c r="O20" s="116">
        <f>Amnt_Deposited!B15</f>
        <v>2001</v>
      </c>
      <c r="P20" s="119">
        <f>Amnt_Deposited!N15</f>
        <v>0</v>
      </c>
      <c r="Q20" s="319">
        <f>MCF!R19</f>
        <v>0.8</v>
      </c>
      <c r="R20" s="87">
        <f t="shared" si="5"/>
        <v>0</v>
      </c>
      <c r="S20" s="87">
        <f>R20*$W$12</f>
        <v>0</v>
      </c>
      <c r="T20" s="87">
        <f>R20*(1-$W$12)</f>
        <v>0</v>
      </c>
      <c r="U20" s="87">
        <f>S20+U19*$W$10</f>
        <v>0</v>
      </c>
      <c r="V20" s="87">
        <f>U19*(1-$W$10)+T20</f>
        <v>0</v>
      </c>
      <c r="W20" s="120">
        <f>V20*CH4_fraction*conv</f>
        <v>0</v>
      </c>
    </row>
    <row r="21" spans="2:23">
      <c r="B21" s="116">
        <f>Amnt_Deposited!B16</f>
        <v>2002</v>
      </c>
      <c r="C21" s="119">
        <f>Amnt_Deposited!N16</f>
        <v>0</v>
      </c>
      <c r="D21" s="453">
        <f>Dry_Matter_Content!N8</f>
        <v>0</v>
      </c>
      <c r="E21" s="319">
        <f>MCF!R20</f>
        <v>0.8</v>
      </c>
      <c r="F21" s="87">
        <f t="shared" si="0"/>
        <v>0</v>
      </c>
      <c r="G21" s="87">
        <f t="shared" si="1"/>
        <v>0</v>
      </c>
      <c r="H21" s="87">
        <f t="shared" si="2"/>
        <v>0</v>
      </c>
      <c r="I21" s="87">
        <f t="shared" si="3"/>
        <v>0</v>
      </c>
      <c r="J21" s="87">
        <f t="shared" si="4"/>
        <v>0</v>
      </c>
      <c r="K21" s="120">
        <f t="shared" ref="K21:K84" si="6">J21*CH4_fraction*conv</f>
        <v>0</v>
      </c>
      <c r="O21" s="116">
        <f>Amnt_Deposited!B16</f>
        <v>2002</v>
      </c>
      <c r="P21" s="119">
        <f>Amnt_Deposited!N16</f>
        <v>0</v>
      </c>
      <c r="Q21" s="319">
        <f>MCF!R20</f>
        <v>0.8</v>
      </c>
      <c r="R21" s="87">
        <f t="shared" si="5"/>
        <v>0</v>
      </c>
      <c r="S21" s="87">
        <f t="shared" ref="S21:S84" si="7">R21*$W$12</f>
        <v>0</v>
      </c>
      <c r="T21" s="87">
        <f t="shared" ref="T21:T84" si="8">R21*(1-$W$12)</f>
        <v>0</v>
      </c>
      <c r="U21" s="87">
        <f t="shared" ref="U21:U84" si="9">S21+U20*$W$10</f>
        <v>0</v>
      </c>
      <c r="V21" s="87">
        <f t="shared" ref="V21:V84" si="10">U20*(1-$W$10)+T21</f>
        <v>0</v>
      </c>
      <c r="W21" s="120">
        <f t="shared" ref="W21:W84" si="11">V21*CH4_fraction*conv</f>
        <v>0</v>
      </c>
    </row>
    <row r="22" spans="2:23">
      <c r="B22" s="116">
        <f>Amnt_Deposited!B17</f>
        <v>2003</v>
      </c>
      <c r="C22" s="119">
        <f>Amnt_Deposited!N17</f>
        <v>0</v>
      </c>
      <c r="D22" s="453">
        <f>Dry_Matter_Content!N9</f>
        <v>0</v>
      </c>
      <c r="E22" s="319">
        <f>MCF!R21</f>
        <v>0.8</v>
      </c>
      <c r="F22" s="87">
        <f t="shared" si="0"/>
        <v>0</v>
      </c>
      <c r="G22" s="87">
        <f t="shared" si="1"/>
        <v>0</v>
      </c>
      <c r="H22" s="87">
        <f t="shared" si="2"/>
        <v>0</v>
      </c>
      <c r="I22" s="87">
        <f t="shared" si="3"/>
        <v>0</v>
      </c>
      <c r="J22" s="87">
        <f t="shared" si="4"/>
        <v>0</v>
      </c>
      <c r="K22" s="120">
        <f t="shared" si="6"/>
        <v>0</v>
      </c>
      <c r="N22" s="290"/>
      <c r="O22" s="116">
        <f>Amnt_Deposited!B17</f>
        <v>2003</v>
      </c>
      <c r="P22" s="119">
        <f>Amnt_Deposited!N17</f>
        <v>0</v>
      </c>
      <c r="Q22" s="319">
        <f>MCF!R21</f>
        <v>0.8</v>
      </c>
      <c r="R22" s="87">
        <f t="shared" si="5"/>
        <v>0</v>
      </c>
      <c r="S22" s="87">
        <f t="shared" si="7"/>
        <v>0</v>
      </c>
      <c r="T22" s="87">
        <f t="shared" si="8"/>
        <v>0</v>
      </c>
      <c r="U22" s="87">
        <f t="shared" si="9"/>
        <v>0</v>
      </c>
      <c r="V22" s="87">
        <f t="shared" si="10"/>
        <v>0</v>
      </c>
      <c r="W22" s="120">
        <f t="shared" si="11"/>
        <v>0</v>
      </c>
    </row>
    <row r="23" spans="2:23">
      <c r="B23" s="116">
        <f>Amnt_Deposited!B18</f>
        <v>2004</v>
      </c>
      <c r="C23" s="119">
        <f>Amnt_Deposited!N18</f>
        <v>0</v>
      </c>
      <c r="D23" s="453">
        <f>Dry_Matter_Content!N10</f>
        <v>0</v>
      </c>
      <c r="E23" s="319">
        <f>MCF!R22</f>
        <v>0.8</v>
      </c>
      <c r="F23" s="87">
        <f t="shared" si="0"/>
        <v>0</v>
      </c>
      <c r="G23" s="87">
        <f t="shared" si="1"/>
        <v>0</v>
      </c>
      <c r="H23" s="87">
        <f t="shared" si="2"/>
        <v>0</v>
      </c>
      <c r="I23" s="87">
        <f t="shared" si="3"/>
        <v>0</v>
      </c>
      <c r="J23" s="87">
        <f t="shared" si="4"/>
        <v>0</v>
      </c>
      <c r="K23" s="120">
        <f t="shared" si="6"/>
        <v>0</v>
      </c>
      <c r="N23" s="290"/>
      <c r="O23" s="116">
        <f>Amnt_Deposited!B18</f>
        <v>2004</v>
      </c>
      <c r="P23" s="119">
        <f>Amnt_Deposited!N18</f>
        <v>0</v>
      </c>
      <c r="Q23" s="319">
        <f>MCF!R22</f>
        <v>0.8</v>
      </c>
      <c r="R23" s="87">
        <f t="shared" si="5"/>
        <v>0</v>
      </c>
      <c r="S23" s="87">
        <f t="shared" si="7"/>
        <v>0</v>
      </c>
      <c r="T23" s="87">
        <f t="shared" si="8"/>
        <v>0</v>
      </c>
      <c r="U23" s="87">
        <f t="shared" si="9"/>
        <v>0</v>
      </c>
      <c r="V23" s="87">
        <f t="shared" si="10"/>
        <v>0</v>
      </c>
      <c r="W23" s="120">
        <f t="shared" si="11"/>
        <v>0</v>
      </c>
    </row>
    <row r="24" spans="2:23">
      <c r="B24" s="116">
        <f>Amnt_Deposited!B19</f>
        <v>2005</v>
      </c>
      <c r="C24" s="119">
        <f>Amnt_Deposited!N19</f>
        <v>0</v>
      </c>
      <c r="D24" s="453">
        <f>Dry_Matter_Content!N11</f>
        <v>0</v>
      </c>
      <c r="E24" s="319">
        <f>MCF!R23</f>
        <v>0.8</v>
      </c>
      <c r="F24" s="87">
        <f t="shared" si="0"/>
        <v>0</v>
      </c>
      <c r="G24" s="87">
        <f t="shared" si="1"/>
        <v>0</v>
      </c>
      <c r="H24" s="87">
        <f t="shared" si="2"/>
        <v>0</v>
      </c>
      <c r="I24" s="87">
        <f t="shared" si="3"/>
        <v>0</v>
      </c>
      <c r="J24" s="87">
        <f t="shared" si="4"/>
        <v>0</v>
      </c>
      <c r="K24" s="120">
        <f t="shared" si="6"/>
        <v>0</v>
      </c>
      <c r="N24" s="290"/>
      <c r="O24" s="116">
        <f>Amnt_Deposited!B19</f>
        <v>2005</v>
      </c>
      <c r="P24" s="119">
        <f>Amnt_Deposited!N19</f>
        <v>0</v>
      </c>
      <c r="Q24" s="319">
        <f>MCF!R23</f>
        <v>0.8</v>
      </c>
      <c r="R24" s="87">
        <f t="shared" si="5"/>
        <v>0</v>
      </c>
      <c r="S24" s="87">
        <f t="shared" si="7"/>
        <v>0</v>
      </c>
      <c r="T24" s="87">
        <f t="shared" si="8"/>
        <v>0</v>
      </c>
      <c r="U24" s="87">
        <f t="shared" si="9"/>
        <v>0</v>
      </c>
      <c r="V24" s="87">
        <f t="shared" si="10"/>
        <v>0</v>
      </c>
      <c r="W24" s="120">
        <f t="shared" si="11"/>
        <v>0</v>
      </c>
    </row>
    <row r="25" spans="2:23">
      <c r="B25" s="116">
        <f>Amnt_Deposited!B20</f>
        <v>2006</v>
      </c>
      <c r="C25" s="119">
        <f>Amnt_Deposited!N20</f>
        <v>0</v>
      </c>
      <c r="D25" s="453">
        <f>Dry_Matter_Content!N12</f>
        <v>0</v>
      </c>
      <c r="E25" s="319">
        <f>MCF!R24</f>
        <v>0.8</v>
      </c>
      <c r="F25" s="87">
        <f t="shared" si="0"/>
        <v>0</v>
      </c>
      <c r="G25" s="87">
        <f t="shared" si="1"/>
        <v>0</v>
      </c>
      <c r="H25" s="87">
        <f t="shared" si="2"/>
        <v>0</v>
      </c>
      <c r="I25" s="87">
        <f t="shared" si="3"/>
        <v>0</v>
      </c>
      <c r="J25" s="87">
        <f t="shared" si="4"/>
        <v>0</v>
      </c>
      <c r="K25" s="120">
        <f t="shared" si="6"/>
        <v>0</v>
      </c>
      <c r="N25" s="290"/>
      <c r="O25" s="116">
        <f>Amnt_Deposited!B20</f>
        <v>2006</v>
      </c>
      <c r="P25" s="119">
        <f>Amnt_Deposited!N20</f>
        <v>0</v>
      </c>
      <c r="Q25" s="319">
        <f>MCF!R24</f>
        <v>0.8</v>
      </c>
      <c r="R25" s="87">
        <f t="shared" si="5"/>
        <v>0</v>
      </c>
      <c r="S25" s="87">
        <f t="shared" si="7"/>
        <v>0</v>
      </c>
      <c r="T25" s="87">
        <f t="shared" si="8"/>
        <v>0</v>
      </c>
      <c r="U25" s="87">
        <f t="shared" si="9"/>
        <v>0</v>
      </c>
      <c r="V25" s="87">
        <f t="shared" si="10"/>
        <v>0</v>
      </c>
      <c r="W25" s="120">
        <f t="shared" si="11"/>
        <v>0</v>
      </c>
    </row>
    <row r="26" spans="2:23">
      <c r="B26" s="116">
        <f>Amnt_Deposited!B21</f>
        <v>2007</v>
      </c>
      <c r="C26" s="119">
        <f>Amnt_Deposited!N21</f>
        <v>0</v>
      </c>
      <c r="D26" s="453">
        <f>Dry_Matter_Content!N13</f>
        <v>0</v>
      </c>
      <c r="E26" s="319">
        <f>MCF!R25</f>
        <v>0.8</v>
      </c>
      <c r="F26" s="87">
        <f t="shared" si="0"/>
        <v>0</v>
      </c>
      <c r="G26" s="87">
        <f t="shared" si="1"/>
        <v>0</v>
      </c>
      <c r="H26" s="87">
        <f t="shared" si="2"/>
        <v>0</v>
      </c>
      <c r="I26" s="87">
        <f t="shared" si="3"/>
        <v>0</v>
      </c>
      <c r="J26" s="87">
        <f t="shared" si="4"/>
        <v>0</v>
      </c>
      <c r="K26" s="120">
        <f t="shared" si="6"/>
        <v>0</v>
      </c>
      <c r="N26" s="290"/>
      <c r="O26" s="116">
        <f>Amnt_Deposited!B21</f>
        <v>2007</v>
      </c>
      <c r="P26" s="119">
        <f>Amnt_Deposited!N21</f>
        <v>0</v>
      </c>
      <c r="Q26" s="319">
        <f>MCF!R25</f>
        <v>0.8</v>
      </c>
      <c r="R26" s="87">
        <f t="shared" si="5"/>
        <v>0</v>
      </c>
      <c r="S26" s="87">
        <f t="shared" si="7"/>
        <v>0</v>
      </c>
      <c r="T26" s="87">
        <f t="shared" si="8"/>
        <v>0</v>
      </c>
      <c r="U26" s="87">
        <f t="shared" si="9"/>
        <v>0</v>
      </c>
      <c r="V26" s="87">
        <f t="shared" si="10"/>
        <v>0</v>
      </c>
      <c r="W26" s="120">
        <f t="shared" si="11"/>
        <v>0</v>
      </c>
    </row>
    <row r="27" spans="2:23">
      <c r="B27" s="116">
        <f>Amnt_Deposited!B22</f>
        <v>2008</v>
      </c>
      <c r="C27" s="119">
        <f>Amnt_Deposited!N22</f>
        <v>0</v>
      </c>
      <c r="D27" s="453">
        <f>Dry_Matter_Content!N14</f>
        <v>0</v>
      </c>
      <c r="E27" s="319">
        <f>MCF!R26</f>
        <v>0.8</v>
      </c>
      <c r="F27" s="87">
        <f t="shared" si="0"/>
        <v>0</v>
      </c>
      <c r="G27" s="87">
        <f t="shared" si="1"/>
        <v>0</v>
      </c>
      <c r="H27" s="87">
        <f t="shared" si="2"/>
        <v>0</v>
      </c>
      <c r="I27" s="87">
        <f t="shared" si="3"/>
        <v>0</v>
      </c>
      <c r="J27" s="87">
        <f t="shared" si="4"/>
        <v>0</v>
      </c>
      <c r="K27" s="120">
        <f t="shared" si="6"/>
        <v>0</v>
      </c>
      <c r="N27" s="290"/>
      <c r="O27" s="116">
        <f>Amnt_Deposited!B22</f>
        <v>2008</v>
      </c>
      <c r="P27" s="119">
        <f>Amnt_Deposited!N22</f>
        <v>0</v>
      </c>
      <c r="Q27" s="319">
        <f>MCF!R26</f>
        <v>0.8</v>
      </c>
      <c r="R27" s="87">
        <f t="shared" si="5"/>
        <v>0</v>
      </c>
      <c r="S27" s="87">
        <f t="shared" si="7"/>
        <v>0</v>
      </c>
      <c r="T27" s="87">
        <f t="shared" si="8"/>
        <v>0</v>
      </c>
      <c r="U27" s="87">
        <f t="shared" si="9"/>
        <v>0</v>
      </c>
      <c r="V27" s="87">
        <f t="shared" si="10"/>
        <v>0</v>
      </c>
      <c r="W27" s="120">
        <f t="shared" si="11"/>
        <v>0</v>
      </c>
    </row>
    <row r="28" spans="2:23">
      <c r="B28" s="116">
        <f>Amnt_Deposited!B23</f>
        <v>2009</v>
      </c>
      <c r="C28" s="119">
        <f>Amnt_Deposited!N23</f>
        <v>0</v>
      </c>
      <c r="D28" s="453">
        <f>Dry_Matter_Content!N15</f>
        <v>0</v>
      </c>
      <c r="E28" s="319">
        <f>MCF!R27</f>
        <v>0.8</v>
      </c>
      <c r="F28" s="87">
        <f t="shared" si="0"/>
        <v>0</v>
      </c>
      <c r="G28" s="87">
        <f t="shared" si="1"/>
        <v>0</v>
      </c>
      <c r="H28" s="87">
        <f t="shared" si="2"/>
        <v>0</v>
      </c>
      <c r="I28" s="87">
        <f t="shared" si="3"/>
        <v>0</v>
      </c>
      <c r="J28" s="87">
        <f t="shared" si="4"/>
        <v>0</v>
      </c>
      <c r="K28" s="120">
        <f t="shared" si="6"/>
        <v>0</v>
      </c>
      <c r="N28" s="290"/>
      <c r="O28" s="116">
        <f>Amnt_Deposited!B23</f>
        <v>2009</v>
      </c>
      <c r="P28" s="119">
        <f>Amnt_Deposited!N23</f>
        <v>0</v>
      </c>
      <c r="Q28" s="319">
        <f>MCF!R27</f>
        <v>0.8</v>
      </c>
      <c r="R28" s="87">
        <f t="shared" si="5"/>
        <v>0</v>
      </c>
      <c r="S28" s="87">
        <f t="shared" si="7"/>
        <v>0</v>
      </c>
      <c r="T28" s="87">
        <f t="shared" si="8"/>
        <v>0</v>
      </c>
      <c r="U28" s="87">
        <f t="shared" si="9"/>
        <v>0</v>
      </c>
      <c r="V28" s="87">
        <f t="shared" si="10"/>
        <v>0</v>
      </c>
      <c r="W28" s="120">
        <f t="shared" si="11"/>
        <v>0</v>
      </c>
    </row>
    <row r="29" spans="2:23">
      <c r="B29" s="116">
        <f>Amnt_Deposited!B24</f>
        <v>2010</v>
      </c>
      <c r="C29" s="119">
        <f>Amnt_Deposited!N24</f>
        <v>0</v>
      </c>
      <c r="D29" s="453">
        <f>Dry_Matter_Content!N16</f>
        <v>0</v>
      </c>
      <c r="E29" s="319">
        <f>MCF!R28</f>
        <v>0.8</v>
      </c>
      <c r="F29" s="87">
        <f t="shared" si="0"/>
        <v>0</v>
      </c>
      <c r="G29" s="87">
        <f t="shared" si="1"/>
        <v>0</v>
      </c>
      <c r="H29" s="87">
        <f t="shared" si="2"/>
        <v>0</v>
      </c>
      <c r="I29" s="87">
        <f t="shared" si="3"/>
        <v>0</v>
      </c>
      <c r="J29" s="87">
        <f t="shared" si="4"/>
        <v>0</v>
      </c>
      <c r="K29" s="120">
        <f t="shared" si="6"/>
        <v>0</v>
      </c>
      <c r="O29" s="116">
        <f>Amnt_Deposited!B24</f>
        <v>2010</v>
      </c>
      <c r="P29" s="119">
        <f>Amnt_Deposited!N24</f>
        <v>0</v>
      </c>
      <c r="Q29" s="319">
        <f>MCF!R28</f>
        <v>0.8</v>
      </c>
      <c r="R29" s="87">
        <f t="shared" si="5"/>
        <v>0</v>
      </c>
      <c r="S29" s="87">
        <f t="shared" si="7"/>
        <v>0</v>
      </c>
      <c r="T29" s="87">
        <f t="shared" si="8"/>
        <v>0</v>
      </c>
      <c r="U29" s="87">
        <f t="shared" si="9"/>
        <v>0</v>
      </c>
      <c r="V29" s="87">
        <f t="shared" si="10"/>
        <v>0</v>
      </c>
      <c r="W29" s="120">
        <f t="shared" si="11"/>
        <v>0</v>
      </c>
    </row>
    <row r="30" spans="2:23">
      <c r="B30" s="116">
        <f>Amnt_Deposited!B25</f>
        <v>2011</v>
      </c>
      <c r="C30" s="119">
        <f>Amnt_Deposited!N25</f>
        <v>0</v>
      </c>
      <c r="D30" s="453">
        <f>Dry_Matter_Content!N17</f>
        <v>0</v>
      </c>
      <c r="E30" s="319">
        <f>MCF!R29</f>
        <v>0.8</v>
      </c>
      <c r="F30" s="87">
        <f t="shared" si="0"/>
        <v>0</v>
      </c>
      <c r="G30" s="87">
        <f t="shared" si="1"/>
        <v>0</v>
      </c>
      <c r="H30" s="87">
        <f t="shared" si="2"/>
        <v>0</v>
      </c>
      <c r="I30" s="87">
        <f t="shared" si="3"/>
        <v>0</v>
      </c>
      <c r="J30" s="87">
        <f t="shared" si="4"/>
        <v>0</v>
      </c>
      <c r="K30" s="120">
        <f t="shared" si="6"/>
        <v>0</v>
      </c>
      <c r="O30" s="116">
        <f>Amnt_Deposited!B25</f>
        <v>2011</v>
      </c>
      <c r="P30" s="119">
        <f>Amnt_Deposited!N25</f>
        <v>0</v>
      </c>
      <c r="Q30" s="319">
        <f>MCF!R29</f>
        <v>0.8</v>
      </c>
      <c r="R30" s="87">
        <f t="shared" si="5"/>
        <v>0</v>
      </c>
      <c r="S30" s="87">
        <f t="shared" si="7"/>
        <v>0</v>
      </c>
      <c r="T30" s="87">
        <f t="shared" si="8"/>
        <v>0</v>
      </c>
      <c r="U30" s="87">
        <f t="shared" si="9"/>
        <v>0</v>
      </c>
      <c r="V30" s="87">
        <f t="shared" si="10"/>
        <v>0</v>
      </c>
      <c r="W30" s="120">
        <f t="shared" si="11"/>
        <v>0</v>
      </c>
    </row>
    <row r="31" spans="2:23">
      <c r="B31" s="116">
        <f>Amnt_Deposited!B26</f>
        <v>2012</v>
      </c>
      <c r="C31" s="119">
        <f>Amnt_Deposited!N26</f>
        <v>0</v>
      </c>
      <c r="D31" s="453">
        <f>Dry_Matter_Content!N18</f>
        <v>0</v>
      </c>
      <c r="E31" s="319">
        <f>MCF!R30</f>
        <v>0.8</v>
      </c>
      <c r="F31" s="87">
        <f t="shared" si="0"/>
        <v>0</v>
      </c>
      <c r="G31" s="87">
        <f t="shared" si="1"/>
        <v>0</v>
      </c>
      <c r="H31" s="87">
        <f t="shared" si="2"/>
        <v>0</v>
      </c>
      <c r="I31" s="87">
        <f t="shared" si="3"/>
        <v>0</v>
      </c>
      <c r="J31" s="87">
        <f t="shared" si="4"/>
        <v>0</v>
      </c>
      <c r="K31" s="120">
        <f t="shared" si="6"/>
        <v>0</v>
      </c>
      <c r="O31" s="116">
        <f>Amnt_Deposited!B26</f>
        <v>2012</v>
      </c>
      <c r="P31" s="119">
        <f>Amnt_Deposited!N26</f>
        <v>0</v>
      </c>
      <c r="Q31" s="319">
        <f>MCF!R30</f>
        <v>0.8</v>
      </c>
      <c r="R31" s="87">
        <f t="shared" si="5"/>
        <v>0</v>
      </c>
      <c r="S31" s="87">
        <f t="shared" si="7"/>
        <v>0</v>
      </c>
      <c r="T31" s="87">
        <f t="shared" si="8"/>
        <v>0</v>
      </c>
      <c r="U31" s="87">
        <f t="shared" si="9"/>
        <v>0</v>
      </c>
      <c r="V31" s="87">
        <f t="shared" si="10"/>
        <v>0</v>
      </c>
      <c r="W31" s="120">
        <f t="shared" si="11"/>
        <v>0</v>
      </c>
    </row>
    <row r="32" spans="2:23">
      <c r="B32" s="116">
        <f>Amnt_Deposited!B27</f>
        <v>2013</v>
      </c>
      <c r="C32" s="119">
        <f>Amnt_Deposited!N27</f>
        <v>0</v>
      </c>
      <c r="D32" s="453">
        <f>Dry_Matter_Content!N19</f>
        <v>0</v>
      </c>
      <c r="E32" s="319">
        <f>MCF!R31</f>
        <v>0.8</v>
      </c>
      <c r="F32" s="87">
        <f t="shared" si="0"/>
        <v>0</v>
      </c>
      <c r="G32" s="87">
        <f t="shared" si="1"/>
        <v>0</v>
      </c>
      <c r="H32" s="87">
        <f t="shared" si="2"/>
        <v>0</v>
      </c>
      <c r="I32" s="87">
        <f t="shared" si="3"/>
        <v>0</v>
      </c>
      <c r="J32" s="87">
        <f t="shared" si="4"/>
        <v>0</v>
      </c>
      <c r="K32" s="120">
        <f t="shared" si="6"/>
        <v>0</v>
      </c>
      <c r="O32" s="116">
        <f>Amnt_Deposited!B27</f>
        <v>2013</v>
      </c>
      <c r="P32" s="119">
        <f>Amnt_Deposited!N27</f>
        <v>0</v>
      </c>
      <c r="Q32" s="319">
        <f>MCF!R31</f>
        <v>0.8</v>
      </c>
      <c r="R32" s="87">
        <f t="shared" si="5"/>
        <v>0</v>
      </c>
      <c r="S32" s="87">
        <f t="shared" si="7"/>
        <v>0</v>
      </c>
      <c r="T32" s="87">
        <f t="shared" si="8"/>
        <v>0</v>
      </c>
      <c r="U32" s="87">
        <f t="shared" si="9"/>
        <v>0</v>
      </c>
      <c r="V32" s="87">
        <f t="shared" si="10"/>
        <v>0</v>
      </c>
      <c r="W32" s="120">
        <f t="shared" si="11"/>
        <v>0</v>
      </c>
    </row>
    <row r="33" spans="2:23">
      <c r="B33" s="116">
        <f>Amnt_Deposited!B28</f>
        <v>2014</v>
      </c>
      <c r="C33" s="119">
        <f>Amnt_Deposited!N28</f>
        <v>0</v>
      </c>
      <c r="D33" s="453">
        <f>Dry_Matter_Content!N20</f>
        <v>0</v>
      </c>
      <c r="E33" s="319">
        <f>MCF!R32</f>
        <v>0.8</v>
      </c>
      <c r="F33" s="87">
        <f t="shared" si="0"/>
        <v>0</v>
      </c>
      <c r="G33" s="87">
        <f t="shared" si="1"/>
        <v>0</v>
      </c>
      <c r="H33" s="87">
        <f t="shared" si="2"/>
        <v>0</v>
      </c>
      <c r="I33" s="87">
        <f t="shared" si="3"/>
        <v>0</v>
      </c>
      <c r="J33" s="87">
        <f t="shared" si="4"/>
        <v>0</v>
      </c>
      <c r="K33" s="120">
        <f t="shared" si="6"/>
        <v>0</v>
      </c>
      <c r="O33" s="116">
        <f>Amnt_Deposited!B28</f>
        <v>2014</v>
      </c>
      <c r="P33" s="119">
        <f>Amnt_Deposited!N28</f>
        <v>0</v>
      </c>
      <c r="Q33" s="319">
        <f>MCF!R32</f>
        <v>0.8</v>
      </c>
      <c r="R33" s="87">
        <f t="shared" si="5"/>
        <v>0</v>
      </c>
      <c r="S33" s="87">
        <f t="shared" si="7"/>
        <v>0</v>
      </c>
      <c r="T33" s="87">
        <f t="shared" si="8"/>
        <v>0</v>
      </c>
      <c r="U33" s="87">
        <f t="shared" si="9"/>
        <v>0</v>
      </c>
      <c r="V33" s="87">
        <f t="shared" si="10"/>
        <v>0</v>
      </c>
      <c r="W33" s="120">
        <f t="shared" si="11"/>
        <v>0</v>
      </c>
    </row>
    <row r="34" spans="2:23">
      <c r="B34" s="116">
        <f>Amnt_Deposited!B29</f>
        <v>2015</v>
      </c>
      <c r="C34" s="119">
        <f>Amnt_Deposited!N29</f>
        <v>0</v>
      </c>
      <c r="D34" s="453">
        <f>Dry_Matter_Content!N21</f>
        <v>0</v>
      </c>
      <c r="E34" s="319">
        <f>MCF!R33</f>
        <v>0.8</v>
      </c>
      <c r="F34" s="87">
        <f t="shared" si="0"/>
        <v>0</v>
      </c>
      <c r="G34" s="87">
        <f t="shared" si="1"/>
        <v>0</v>
      </c>
      <c r="H34" s="87">
        <f t="shared" si="2"/>
        <v>0</v>
      </c>
      <c r="I34" s="87">
        <f t="shared" si="3"/>
        <v>0</v>
      </c>
      <c r="J34" s="87">
        <f t="shared" si="4"/>
        <v>0</v>
      </c>
      <c r="K34" s="120">
        <f t="shared" si="6"/>
        <v>0</v>
      </c>
      <c r="O34" s="116">
        <f>Amnt_Deposited!B29</f>
        <v>2015</v>
      </c>
      <c r="P34" s="119">
        <f>Amnt_Deposited!N29</f>
        <v>0</v>
      </c>
      <c r="Q34" s="319">
        <f>MCF!R33</f>
        <v>0.8</v>
      </c>
      <c r="R34" s="87">
        <f t="shared" si="5"/>
        <v>0</v>
      </c>
      <c r="S34" s="87">
        <f t="shared" si="7"/>
        <v>0</v>
      </c>
      <c r="T34" s="87">
        <f t="shared" si="8"/>
        <v>0</v>
      </c>
      <c r="U34" s="87">
        <f t="shared" si="9"/>
        <v>0</v>
      </c>
      <c r="V34" s="87">
        <f t="shared" si="10"/>
        <v>0</v>
      </c>
      <c r="W34" s="120">
        <f t="shared" si="11"/>
        <v>0</v>
      </c>
    </row>
    <row r="35" spans="2:23">
      <c r="B35" s="116">
        <f>Amnt_Deposited!B30</f>
        <v>2016</v>
      </c>
      <c r="C35" s="119">
        <f>Amnt_Deposited!N30</f>
        <v>0</v>
      </c>
      <c r="D35" s="453">
        <f>Dry_Matter_Content!N22</f>
        <v>0</v>
      </c>
      <c r="E35" s="319">
        <f>MCF!R34</f>
        <v>0.8</v>
      </c>
      <c r="F35" s="87">
        <f t="shared" si="0"/>
        <v>0</v>
      </c>
      <c r="G35" s="87">
        <f t="shared" si="1"/>
        <v>0</v>
      </c>
      <c r="H35" s="87">
        <f t="shared" si="2"/>
        <v>0</v>
      </c>
      <c r="I35" s="87">
        <f t="shared" si="3"/>
        <v>0</v>
      </c>
      <c r="J35" s="87">
        <f t="shared" si="4"/>
        <v>0</v>
      </c>
      <c r="K35" s="120">
        <f t="shared" si="6"/>
        <v>0</v>
      </c>
      <c r="O35" s="116">
        <f>Amnt_Deposited!B30</f>
        <v>2016</v>
      </c>
      <c r="P35" s="119">
        <f>Amnt_Deposited!N30</f>
        <v>0</v>
      </c>
      <c r="Q35" s="319">
        <f>MCF!R34</f>
        <v>0.8</v>
      </c>
      <c r="R35" s="87">
        <f t="shared" si="5"/>
        <v>0</v>
      </c>
      <c r="S35" s="87">
        <f t="shared" si="7"/>
        <v>0</v>
      </c>
      <c r="T35" s="87">
        <f t="shared" si="8"/>
        <v>0</v>
      </c>
      <c r="U35" s="87">
        <f t="shared" si="9"/>
        <v>0</v>
      </c>
      <c r="V35" s="87">
        <f t="shared" si="10"/>
        <v>0</v>
      </c>
      <c r="W35" s="120">
        <f t="shared" si="11"/>
        <v>0</v>
      </c>
    </row>
    <row r="36" spans="2:23">
      <c r="B36" s="116">
        <f>Amnt_Deposited!B31</f>
        <v>2017</v>
      </c>
      <c r="C36" s="119">
        <f>Amnt_Deposited!N31</f>
        <v>0</v>
      </c>
      <c r="D36" s="453">
        <f>Dry_Matter_Content!N23</f>
        <v>0</v>
      </c>
      <c r="E36" s="319">
        <f>MCF!R35</f>
        <v>0.8</v>
      </c>
      <c r="F36" s="87">
        <f t="shared" si="0"/>
        <v>0</v>
      </c>
      <c r="G36" s="87">
        <f t="shared" si="1"/>
        <v>0</v>
      </c>
      <c r="H36" s="87">
        <f t="shared" si="2"/>
        <v>0</v>
      </c>
      <c r="I36" s="87">
        <f t="shared" si="3"/>
        <v>0</v>
      </c>
      <c r="J36" s="87">
        <f t="shared" si="4"/>
        <v>0</v>
      </c>
      <c r="K36" s="120">
        <f t="shared" si="6"/>
        <v>0</v>
      </c>
      <c r="O36" s="116">
        <f>Amnt_Deposited!B31</f>
        <v>2017</v>
      </c>
      <c r="P36" s="119">
        <f>Amnt_Deposited!N31</f>
        <v>0</v>
      </c>
      <c r="Q36" s="319">
        <f>MCF!R35</f>
        <v>0.8</v>
      </c>
      <c r="R36" s="87">
        <f t="shared" si="5"/>
        <v>0</v>
      </c>
      <c r="S36" s="87">
        <f t="shared" si="7"/>
        <v>0</v>
      </c>
      <c r="T36" s="87">
        <f t="shared" si="8"/>
        <v>0</v>
      </c>
      <c r="U36" s="87">
        <f t="shared" si="9"/>
        <v>0</v>
      </c>
      <c r="V36" s="87">
        <f t="shared" si="10"/>
        <v>0</v>
      </c>
      <c r="W36" s="120">
        <f t="shared" si="11"/>
        <v>0</v>
      </c>
    </row>
    <row r="37" spans="2:23">
      <c r="B37" s="116">
        <f>Amnt_Deposited!B32</f>
        <v>2018</v>
      </c>
      <c r="C37" s="119">
        <f>Amnt_Deposited!N32</f>
        <v>0</v>
      </c>
      <c r="D37" s="453">
        <f>Dry_Matter_Content!N24</f>
        <v>0</v>
      </c>
      <c r="E37" s="319">
        <f>MCF!R36</f>
        <v>0.8</v>
      </c>
      <c r="F37" s="87">
        <f t="shared" si="0"/>
        <v>0</v>
      </c>
      <c r="G37" s="87">
        <f t="shared" si="1"/>
        <v>0</v>
      </c>
      <c r="H37" s="87">
        <f t="shared" si="2"/>
        <v>0</v>
      </c>
      <c r="I37" s="87">
        <f t="shared" si="3"/>
        <v>0</v>
      </c>
      <c r="J37" s="87">
        <f t="shared" si="4"/>
        <v>0</v>
      </c>
      <c r="K37" s="120">
        <f t="shared" si="6"/>
        <v>0</v>
      </c>
      <c r="O37" s="116">
        <f>Amnt_Deposited!B32</f>
        <v>2018</v>
      </c>
      <c r="P37" s="119">
        <f>Amnt_Deposited!N32</f>
        <v>0</v>
      </c>
      <c r="Q37" s="319">
        <f>MCF!R36</f>
        <v>0.8</v>
      </c>
      <c r="R37" s="87">
        <f t="shared" si="5"/>
        <v>0</v>
      </c>
      <c r="S37" s="87">
        <f t="shared" si="7"/>
        <v>0</v>
      </c>
      <c r="T37" s="87">
        <f t="shared" si="8"/>
        <v>0</v>
      </c>
      <c r="U37" s="87">
        <f t="shared" si="9"/>
        <v>0</v>
      </c>
      <c r="V37" s="87">
        <f t="shared" si="10"/>
        <v>0</v>
      </c>
      <c r="W37" s="120">
        <f t="shared" si="11"/>
        <v>0</v>
      </c>
    </row>
    <row r="38" spans="2:23">
      <c r="B38" s="116">
        <f>Amnt_Deposited!B33</f>
        <v>2019</v>
      </c>
      <c r="C38" s="119">
        <f>Amnt_Deposited!N33</f>
        <v>0</v>
      </c>
      <c r="D38" s="453">
        <f>Dry_Matter_Content!N25</f>
        <v>0</v>
      </c>
      <c r="E38" s="319">
        <f>MCF!R37</f>
        <v>0.8</v>
      </c>
      <c r="F38" s="87">
        <f t="shared" si="0"/>
        <v>0</v>
      </c>
      <c r="G38" s="87">
        <f t="shared" si="1"/>
        <v>0</v>
      </c>
      <c r="H38" s="87">
        <f t="shared" si="2"/>
        <v>0</v>
      </c>
      <c r="I38" s="87">
        <f t="shared" si="3"/>
        <v>0</v>
      </c>
      <c r="J38" s="87">
        <f t="shared" si="4"/>
        <v>0</v>
      </c>
      <c r="K38" s="120">
        <f t="shared" si="6"/>
        <v>0</v>
      </c>
      <c r="O38" s="116">
        <f>Amnt_Deposited!B33</f>
        <v>2019</v>
      </c>
      <c r="P38" s="119">
        <f>Amnt_Deposited!N33</f>
        <v>0</v>
      </c>
      <c r="Q38" s="319">
        <f>MCF!R37</f>
        <v>0.8</v>
      </c>
      <c r="R38" s="87">
        <f t="shared" si="5"/>
        <v>0</v>
      </c>
      <c r="S38" s="87">
        <f t="shared" si="7"/>
        <v>0</v>
      </c>
      <c r="T38" s="87">
        <f t="shared" si="8"/>
        <v>0</v>
      </c>
      <c r="U38" s="87">
        <f t="shared" si="9"/>
        <v>0</v>
      </c>
      <c r="V38" s="87">
        <f t="shared" si="10"/>
        <v>0</v>
      </c>
      <c r="W38" s="120">
        <f t="shared" si="11"/>
        <v>0</v>
      </c>
    </row>
    <row r="39" spans="2:23">
      <c r="B39" s="116">
        <f>Amnt_Deposited!B34</f>
        <v>2020</v>
      </c>
      <c r="C39" s="119">
        <f>Amnt_Deposited!N34</f>
        <v>0</v>
      </c>
      <c r="D39" s="453">
        <f>Dry_Matter_Content!N26</f>
        <v>0</v>
      </c>
      <c r="E39" s="319">
        <f>MCF!R38</f>
        <v>0.8</v>
      </c>
      <c r="F39" s="87">
        <f t="shared" si="0"/>
        <v>0</v>
      </c>
      <c r="G39" s="87">
        <f t="shared" si="1"/>
        <v>0</v>
      </c>
      <c r="H39" s="87">
        <f t="shared" si="2"/>
        <v>0</v>
      </c>
      <c r="I39" s="87">
        <f t="shared" si="3"/>
        <v>0</v>
      </c>
      <c r="J39" s="87">
        <f t="shared" si="4"/>
        <v>0</v>
      </c>
      <c r="K39" s="120">
        <f t="shared" si="6"/>
        <v>0</v>
      </c>
      <c r="O39" s="116">
        <f>Amnt_Deposited!B34</f>
        <v>2020</v>
      </c>
      <c r="P39" s="119">
        <f>Amnt_Deposited!N34</f>
        <v>0</v>
      </c>
      <c r="Q39" s="319">
        <f>MCF!R38</f>
        <v>0.8</v>
      </c>
      <c r="R39" s="87">
        <f t="shared" si="5"/>
        <v>0</v>
      </c>
      <c r="S39" s="87">
        <f t="shared" si="7"/>
        <v>0</v>
      </c>
      <c r="T39" s="87">
        <f t="shared" si="8"/>
        <v>0</v>
      </c>
      <c r="U39" s="87">
        <f t="shared" si="9"/>
        <v>0</v>
      </c>
      <c r="V39" s="87">
        <f t="shared" si="10"/>
        <v>0</v>
      </c>
      <c r="W39" s="120">
        <f t="shared" si="11"/>
        <v>0</v>
      </c>
    </row>
    <row r="40" spans="2:23">
      <c r="B40" s="116">
        <f>Amnt_Deposited!B35</f>
        <v>2021</v>
      </c>
      <c r="C40" s="119">
        <f>Amnt_Deposited!N35</f>
        <v>0</v>
      </c>
      <c r="D40" s="453">
        <f>Dry_Matter_Content!N27</f>
        <v>0</v>
      </c>
      <c r="E40" s="319">
        <f>MCF!R39</f>
        <v>0.8</v>
      </c>
      <c r="F40" s="87">
        <f t="shared" si="0"/>
        <v>0</v>
      </c>
      <c r="G40" s="87">
        <f t="shared" si="1"/>
        <v>0</v>
      </c>
      <c r="H40" s="87">
        <f t="shared" si="2"/>
        <v>0</v>
      </c>
      <c r="I40" s="87">
        <f t="shared" si="3"/>
        <v>0</v>
      </c>
      <c r="J40" s="87">
        <f t="shared" si="4"/>
        <v>0</v>
      </c>
      <c r="K40" s="120">
        <f t="shared" si="6"/>
        <v>0</v>
      </c>
      <c r="O40" s="116">
        <f>Amnt_Deposited!B35</f>
        <v>2021</v>
      </c>
      <c r="P40" s="119">
        <f>Amnt_Deposited!N35</f>
        <v>0</v>
      </c>
      <c r="Q40" s="319">
        <f>MCF!R39</f>
        <v>0.8</v>
      </c>
      <c r="R40" s="87">
        <f t="shared" si="5"/>
        <v>0</v>
      </c>
      <c r="S40" s="87">
        <f t="shared" si="7"/>
        <v>0</v>
      </c>
      <c r="T40" s="87">
        <f t="shared" si="8"/>
        <v>0</v>
      </c>
      <c r="U40" s="87">
        <f t="shared" si="9"/>
        <v>0</v>
      </c>
      <c r="V40" s="87">
        <f t="shared" si="10"/>
        <v>0</v>
      </c>
      <c r="W40" s="120">
        <f t="shared" si="11"/>
        <v>0</v>
      </c>
    </row>
    <row r="41" spans="2:23">
      <c r="B41" s="116">
        <f>Amnt_Deposited!B36</f>
        <v>2022</v>
      </c>
      <c r="C41" s="119">
        <f>Amnt_Deposited!N36</f>
        <v>0</v>
      </c>
      <c r="D41" s="453">
        <f>Dry_Matter_Content!N28</f>
        <v>0</v>
      </c>
      <c r="E41" s="319">
        <f>MCF!R40</f>
        <v>0.8</v>
      </c>
      <c r="F41" s="87">
        <f t="shared" si="0"/>
        <v>0</v>
      </c>
      <c r="G41" s="87">
        <f t="shared" si="1"/>
        <v>0</v>
      </c>
      <c r="H41" s="87">
        <f t="shared" si="2"/>
        <v>0</v>
      </c>
      <c r="I41" s="87">
        <f t="shared" si="3"/>
        <v>0</v>
      </c>
      <c r="J41" s="87">
        <f t="shared" si="4"/>
        <v>0</v>
      </c>
      <c r="K41" s="120">
        <f t="shared" si="6"/>
        <v>0</v>
      </c>
      <c r="O41" s="116">
        <f>Amnt_Deposited!B36</f>
        <v>2022</v>
      </c>
      <c r="P41" s="119">
        <f>Amnt_Deposited!N36</f>
        <v>0</v>
      </c>
      <c r="Q41" s="319">
        <f>MCF!R40</f>
        <v>0.8</v>
      </c>
      <c r="R41" s="87">
        <f t="shared" si="5"/>
        <v>0</v>
      </c>
      <c r="S41" s="87">
        <f t="shared" si="7"/>
        <v>0</v>
      </c>
      <c r="T41" s="87">
        <f t="shared" si="8"/>
        <v>0</v>
      </c>
      <c r="U41" s="87">
        <f t="shared" si="9"/>
        <v>0</v>
      </c>
      <c r="V41" s="87">
        <f t="shared" si="10"/>
        <v>0</v>
      </c>
      <c r="W41" s="120">
        <f t="shared" si="11"/>
        <v>0</v>
      </c>
    </row>
    <row r="42" spans="2:23">
      <c r="B42" s="116">
        <f>Amnt_Deposited!B37</f>
        <v>2023</v>
      </c>
      <c r="C42" s="119">
        <f>Amnt_Deposited!N37</f>
        <v>0</v>
      </c>
      <c r="D42" s="453">
        <f>Dry_Matter_Content!N29</f>
        <v>0</v>
      </c>
      <c r="E42" s="319">
        <f>MCF!R41</f>
        <v>0.8</v>
      </c>
      <c r="F42" s="87">
        <f t="shared" si="0"/>
        <v>0</v>
      </c>
      <c r="G42" s="87">
        <f t="shared" si="1"/>
        <v>0</v>
      </c>
      <c r="H42" s="87">
        <f t="shared" si="2"/>
        <v>0</v>
      </c>
      <c r="I42" s="87">
        <f t="shared" si="3"/>
        <v>0</v>
      </c>
      <c r="J42" s="87">
        <f t="shared" si="4"/>
        <v>0</v>
      </c>
      <c r="K42" s="120">
        <f t="shared" si="6"/>
        <v>0</v>
      </c>
      <c r="O42" s="116">
        <f>Amnt_Deposited!B37</f>
        <v>2023</v>
      </c>
      <c r="P42" s="119">
        <f>Amnt_Deposited!N37</f>
        <v>0</v>
      </c>
      <c r="Q42" s="319">
        <f>MCF!R41</f>
        <v>0.8</v>
      </c>
      <c r="R42" s="87">
        <f t="shared" si="5"/>
        <v>0</v>
      </c>
      <c r="S42" s="87">
        <f t="shared" si="7"/>
        <v>0</v>
      </c>
      <c r="T42" s="87">
        <f t="shared" si="8"/>
        <v>0</v>
      </c>
      <c r="U42" s="87">
        <f t="shared" si="9"/>
        <v>0</v>
      </c>
      <c r="V42" s="87">
        <f t="shared" si="10"/>
        <v>0</v>
      </c>
      <c r="W42" s="120">
        <f t="shared" si="11"/>
        <v>0</v>
      </c>
    </row>
    <row r="43" spans="2:23">
      <c r="B43" s="116">
        <f>Amnt_Deposited!B38</f>
        <v>2024</v>
      </c>
      <c r="C43" s="119">
        <f>Amnt_Deposited!N38</f>
        <v>0</v>
      </c>
      <c r="D43" s="453">
        <f>Dry_Matter_Content!N30</f>
        <v>0</v>
      </c>
      <c r="E43" s="319">
        <f>MCF!R42</f>
        <v>0.8</v>
      </c>
      <c r="F43" s="87">
        <f t="shared" si="0"/>
        <v>0</v>
      </c>
      <c r="G43" s="87">
        <f t="shared" si="1"/>
        <v>0</v>
      </c>
      <c r="H43" s="87">
        <f t="shared" si="2"/>
        <v>0</v>
      </c>
      <c r="I43" s="87">
        <f t="shared" si="3"/>
        <v>0</v>
      </c>
      <c r="J43" s="87">
        <f t="shared" si="4"/>
        <v>0</v>
      </c>
      <c r="K43" s="120">
        <f t="shared" si="6"/>
        <v>0</v>
      </c>
      <c r="O43" s="116">
        <f>Amnt_Deposited!B38</f>
        <v>2024</v>
      </c>
      <c r="P43" s="119">
        <f>Amnt_Deposited!N38</f>
        <v>0</v>
      </c>
      <c r="Q43" s="319">
        <f>MCF!R42</f>
        <v>0.8</v>
      </c>
      <c r="R43" s="87">
        <f t="shared" si="5"/>
        <v>0</v>
      </c>
      <c r="S43" s="87">
        <f t="shared" si="7"/>
        <v>0</v>
      </c>
      <c r="T43" s="87">
        <f t="shared" si="8"/>
        <v>0</v>
      </c>
      <c r="U43" s="87">
        <f t="shared" si="9"/>
        <v>0</v>
      </c>
      <c r="V43" s="87">
        <f t="shared" si="10"/>
        <v>0</v>
      </c>
      <c r="W43" s="120">
        <f t="shared" si="11"/>
        <v>0</v>
      </c>
    </row>
    <row r="44" spans="2:23">
      <c r="B44" s="116">
        <f>Amnt_Deposited!B39</f>
        <v>2025</v>
      </c>
      <c r="C44" s="119">
        <f>Amnt_Deposited!N39</f>
        <v>0</v>
      </c>
      <c r="D44" s="453">
        <f>Dry_Matter_Content!N31</f>
        <v>0</v>
      </c>
      <c r="E44" s="319">
        <f>MCF!R43</f>
        <v>0.8</v>
      </c>
      <c r="F44" s="87">
        <f t="shared" si="0"/>
        <v>0</v>
      </c>
      <c r="G44" s="87">
        <f t="shared" si="1"/>
        <v>0</v>
      </c>
      <c r="H44" s="87">
        <f t="shared" si="2"/>
        <v>0</v>
      </c>
      <c r="I44" s="87">
        <f t="shared" si="3"/>
        <v>0</v>
      </c>
      <c r="J44" s="87">
        <f t="shared" si="4"/>
        <v>0</v>
      </c>
      <c r="K44" s="120">
        <f t="shared" si="6"/>
        <v>0</v>
      </c>
      <c r="O44" s="116">
        <f>Amnt_Deposited!B39</f>
        <v>2025</v>
      </c>
      <c r="P44" s="119">
        <f>Amnt_Deposited!N39</f>
        <v>0</v>
      </c>
      <c r="Q44" s="319">
        <f>MCF!R43</f>
        <v>0.8</v>
      </c>
      <c r="R44" s="87">
        <f t="shared" si="5"/>
        <v>0</v>
      </c>
      <c r="S44" s="87">
        <f t="shared" si="7"/>
        <v>0</v>
      </c>
      <c r="T44" s="87">
        <f t="shared" si="8"/>
        <v>0</v>
      </c>
      <c r="U44" s="87">
        <f t="shared" si="9"/>
        <v>0</v>
      </c>
      <c r="V44" s="87">
        <f t="shared" si="10"/>
        <v>0</v>
      </c>
      <c r="W44" s="120">
        <f t="shared" si="11"/>
        <v>0</v>
      </c>
    </row>
    <row r="45" spans="2:23">
      <c r="B45" s="116">
        <f>Amnt_Deposited!B40</f>
        <v>2026</v>
      </c>
      <c r="C45" s="119">
        <f>Amnt_Deposited!N40</f>
        <v>0</v>
      </c>
      <c r="D45" s="453">
        <f>Dry_Matter_Content!N32</f>
        <v>0</v>
      </c>
      <c r="E45" s="319">
        <f>MCF!R44</f>
        <v>0.8</v>
      </c>
      <c r="F45" s="87">
        <f t="shared" si="0"/>
        <v>0</v>
      </c>
      <c r="G45" s="87">
        <f t="shared" si="1"/>
        <v>0</v>
      </c>
      <c r="H45" s="87">
        <f t="shared" si="2"/>
        <v>0</v>
      </c>
      <c r="I45" s="87">
        <f t="shared" si="3"/>
        <v>0</v>
      </c>
      <c r="J45" s="87">
        <f t="shared" si="4"/>
        <v>0</v>
      </c>
      <c r="K45" s="120">
        <f t="shared" si="6"/>
        <v>0</v>
      </c>
      <c r="O45" s="116">
        <f>Amnt_Deposited!B40</f>
        <v>2026</v>
      </c>
      <c r="P45" s="119">
        <f>Amnt_Deposited!N40</f>
        <v>0</v>
      </c>
      <c r="Q45" s="319">
        <f>MCF!R44</f>
        <v>0.8</v>
      </c>
      <c r="R45" s="87">
        <f t="shared" si="5"/>
        <v>0</v>
      </c>
      <c r="S45" s="87">
        <f t="shared" si="7"/>
        <v>0</v>
      </c>
      <c r="T45" s="87">
        <f t="shared" si="8"/>
        <v>0</v>
      </c>
      <c r="U45" s="87">
        <f t="shared" si="9"/>
        <v>0</v>
      </c>
      <c r="V45" s="87">
        <f t="shared" si="10"/>
        <v>0</v>
      </c>
      <c r="W45" s="120">
        <f t="shared" si="11"/>
        <v>0</v>
      </c>
    </row>
    <row r="46" spans="2:23">
      <c r="B46" s="116">
        <f>Amnt_Deposited!B41</f>
        <v>2027</v>
      </c>
      <c r="C46" s="119">
        <f>Amnt_Deposited!N41</f>
        <v>0</v>
      </c>
      <c r="D46" s="453">
        <f>Dry_Matter_Content!N33</f>
        <v>0</v>
      </c>
      <c r="E46" s="319">
        <f>MCF!R45</f>
        <v>0.8</v>
      </c>
      <c r="F46" s="87">
        <f t="shared" si="0"/>
        <v>0</v>
      </c>
      <c r="G46" s="87">
        <f t="shared" si="1"/>
        <v>0</v>
      </c>
      <c r="H46" s="87">
        <f t="shared" si="2"/>
        <v>0</v>
      </c>
      <c r="I46" s="87">
        <f t="shared" si="3"/>
        <v>0</v>
      </c>
      <c r="J46" s="87">
        <f t="shared" si="4"/>
        <v>0</v>
      </c>
      <c r="K46" s="120">
        <f t="shared" si="6"/>
        <v>0</v>
      </c>
      <c r="O46" s="116">
        <f>Amnt_Deposited!B41</f>
        <v>2027</v>
      </c>
      <c r="P46" s="119">
        <f>Amnt_Deposited!N41</f>
        <v>0</v>
      </c>
      <c r="Q46" s="319">
        <f>MCF!R45</f>
        <v>0.8</v>
      </c>
      <c r="R46" s="87">
        <f t="shared" si="5"/>
        <v>0</v>
      </c>
      <c r="S46" s="87">
        <f t="shared" si="7"/>
        <v>0</v>
      </c>
      <c r="T46" s="87">
        <f t="shared" si="8"/>
        <v>0</v>
      </c>
      <c r="U46" s="87">
        <f t="shared" si="9"/>
        <v>0</v>
      </c>
      <c r="V46" s="87">
        <f t="shared" si="10"/>
        <v>0</v>
      </c>
      <c r="W46" s="120">
        <f t="shared" si="11"/>
        <v>0</v>
      </c>
    </row>
    <row r="47" spans="2:23">
      <c r="B47" s="116">
        <f>Amnt_Deposited!B42</f>
        <v>2028</v>
      </c>
      <c r="C47" s="119">
        <f>Amnt_Deposited!N42</f>
        <v>0</v>
      </c>
      <c r="D47" s="453">
        <f>Dry_Matter_Content!N34</f>
        <v>0</v>
      </c>
      <c r="E47" s="319">
        <f>MCF!R46</f>
        <v>0.8</v>
      </c>
      <c r="F47" s="87">
        <f t="shared" si="0"/>
        <v>0</v>
      </c>
      <c r="G47" s="87">
        <f t="shared" si="1"/>
        <v>0</v>
      </c>
      <c r="H47" s="87">
        <f t="shared" si="2"/>
        <v>0</v>
      </c>
      <c r="I47" s="87">
        <f t="shared" si="3"/>
        <v>0</v>
      </c>
      <c r="J47" s="87">
        <f t="shared" si="4"/>
        <v>0</v>
      </c>
      <c r="K47" s="120">
        <f t="shared" si="6"/>
        <v>0</v>
      </c>
      <c r="O47" s="116">
        <f>Amnt_Deposited!B42</f>
        <v>2028</v>
      </c>
      <c r="P47" s="119">
        <f>Amnt_Deposited!N42</f>
        <v>0</v>
      </c>
      <c r="Q47" s="319">
        <f>MCF!R46</f>
        <v>0.8</v>
      </c>
      <c r="R47" s="87">
        <f t="shared" si="5"/>
        <v>0</v>
      </c>
      <c r="S47" s="87">
        <f t="shared" si="7"/>
        <v>0</v>
      </c>
      <c r="T47" s="87">
        <f t="shared" si="8"/>
        <v>0</v>
      </c>
      <c r="U47" s="87">
        <f t="shared" si="9"/>
        <v>0</v>
      </c>
      <c r="V47" s="87">
        <f t="shared" si="10"/>
        <v>0</v>
      </c>
      <c r="W47" s="120">
        <f t="shared" si="11"/>
        <v>0</v>
      </c>
    </row>
    <row r="48" spans="2:23">
      <c r="B48" s="116">
        <f>Amnt_Deposited!B43</f>
        <v>2029</v>
      </c>
      <c r="C48" s="119">
        <f>Amnt_Deposited!N43</f>
        <v>0</v>
      </c>
      <c r="D48" s="453">
        <f>Dry_Matter_Content!N35</f>
        <v>0</v>
      </c>
      <c r="E48" s="319">
        <f>MCF!R47</f>
        <v>0.8</v>
      </c>
      <c r="F48" s="87">
        <f t="shared" si="0"/>
        <v>0</v>
      </c>
      <c r="G48" s="87">
        <f t="shared" si="1"/>
        <v>0</v>
      </c>
      <c r="H48" s="87">
        <f t="shared" si="2"/>
        <v>0</v>
      </c>
      <c r="I48" s="87">
        <f t="shared" si="3"/>
        <v>0</v>
      </c>
      <c r="J48" s="87">
        <f t="shared" si="4"/>
        <v>0</v>
      </c>
      <c r="K48" s="120">
        <f t="shared" si="6"/>
        <v>0</v>
      </c>
      <c r="O48" s="116">
        <f>Amnt_Deposited!B43</f>
        <v>2029</v>
      </c>
      <c r="P48" s="119">
        <f>Amnt_Deposited!N43</f>
        <v>0</v>
      </c>
      <c r="Q48" s="319">
        <f>MCF!R47</f>
        <v>0.8</v>
      </c>
      <c r="R48" s="87">
        <f t="shared" si="5"/>
        <v>0</v>
      </c>
      <c r="S48" s="87">
        <f t="shared" si="7"/>
        <v>0</v>
      </c>
      <c r="T48" s="87">
        <f t="shared" si="8"/>
        <v>0</v>
      </c>
      <c r="U48" s="87">
        <f t="shared" si="9"/>
        <v>0</v>
      </c>
      <c r="V48" s="87">
        <f t="shared" si="10"/>
        <v>0</v>
      </c>
      <c r="W48" s="120">
        <f t="shared" si="11"/>
        <v>0</v>
      </c>
    </row>
    <row r="49" spans="2:23">
      <c r="B49" s="116">
        <f>Amnt_Deposited!B44</f>
        <v>2030</v>
      </c>
      <c r="C49" s="119">
        <f>Amnt_Deposited!N44</f>
        <v>0</v>
      </c>
      <c r="D49" s="453">
        <f>Dry_Matter_Content!N36</f>
        <v>0</v>
      </c>
      <c r="E49" s="319">
        <f>MCF!R48</f>
        <v>0.8</v>
      </c>
      <c r="F49" s="87">
        <f t="shared" si="0"/>
        <v>0</v>
      </c>
      <c r="G49" s="87">
        <f t="shared" si="1"/>
        <v>0</v>
      </c>
      <c r="H49" s="87">
        <f t="shared" si="2"/>
        <v>0</v>
      </c>
      <c r="I49" s="87">
        <f t="shared" si="3"/>
        <v>0</v>
      </c>
      <c r="J49" s="87">
        <f t="shared" si="4"/>
        <v>0</v>
      </c>
      <c r="K49" s="120">
        <f t="shared" si="6"/>
        <v>0</v>
      </c>
      <c r="O49" s="116">
        <f>Amnt_Deposited!B44</f>
        <v>2030</v>
      </c>
      <c r="P49" s="119">
        <f>Amnt_Deposited!N44</f>
        <v>0</v>
      </c>
      <c r="Q49" s="319">
        <f>MCF!R48</f>
        <v>0.8</v>
      </c>
      <c r="R49" s="87">
        <f t="shared" si="5"/>
        <v>0</v>
      </c>
      <c r="S49" s="87">
        <f t="shared" si="7"/>
        <v>0</v>
      </c>
      <c r="T49" s="87">
        <f t="shared" si="8"/>
        <v>0</v>
      </c>
      <c r="U49" s="87">
        <f t="shared" si="9"/>
        <v>0</v>
      </c>
      <c r="V49" s="87">
        <f t="shared" si="10"/>
        <v>0</v>
      </c>
      <c r="W49" s="120">
        <f t="shared" si="11"/>
        <v>0</v>
      </c>
    </row>
    <row r="50" spans="2:23">
      <c r="B50" s="116">
        <f>Amnt_Deposited!B45</f>
        <v>2031</v>
      </c>
      <c r="C50" s="119">
        <f>Amnt_Deposited!N45</f>
        <v>0</v>
      </c>
      <c r="D50" s="453">
        <f>Dry_Matter_Content!N37</f>
        <v>0</v>
      </c>
      <c r="E50" s="319">
        <f>MCF!R49</f>
        <v>0.8</v>
      </c>
      <c r="F50" s="87">
        <f t="shared" si="0"/>
        <v>0</v>
      </c>
      <c r="G50" s="87">
        <f t="shared" si="1"/>
        <v>0</v>
      </c>
      <c r="H50" s="87">
        <f t="shared" si="2"/>
        <v>0</v>
      </c>
      <c r="I50" s="87">
        <f t="shared" si="3"/>
        <v>0</v>
      </c>
      <c r="J50" s="87">
        <f t="shared" si="4"/>
        <v>0</v>
      </c>
      <c r="K50" s="120">
        <f t="shared" si="6"/>
        <v>0</v>
      </c>
      <c r="O50" s="116">
        <f>Amnt_Deposited!B45</f>
        <v>2031</v>
      </c>
      <c r="P50" s="119">
        <f>Amnt_Deposited!N45</f>
        <v>0</v>
      </c>
      <c r="Q50" s="319">
        <f>MCF!R49</f>
        <v>0.8</v>
      </c>
      <c r="R50" s="87">
        <f t="shared" si="5"/>
        <v>0</v>
      </c>
      <c r="S50" s="87">
        <f t="shared" si="7"/>
        <v>0</v>
      </c>
      <c r="T50" s="87">
        <f t="shared" si="8"/>
        <v>0</v>
      </c>
      <c r="U50" s="87">
        <f t="shared" si="9"/>
        <v>0</v>
      </c>
      <c r="V50" s="87">
        <f t="shared" si="10"/>
        <v>0</v>
      </c>
      <c r="W50" s="120">
        <f t="shared" si="11"/>
        <v>0</v>
      </c>
    </row>
    <row r="51" spans="2:23">
      <c r="B51" s="116">
        <f>Amnt_Deposited!B46</f>
        <v>2032</v>
      </c>
      <c r="C51" s="119">
        <f>Amnt_Deposited!N46</f>
        <v>0</v>
      </c>
      <c r="D51" s="453">
        <f>Dry_Matter_Content!N38</f>
        <v>0</v>
      </c>
      <c r="E51" s="319">
        <f>MCF!R50</f>
        <v>0.8</v>
      </c>
      <c r="F51" s="87">
        <f t="shared" si="0"/>
        <v>0</v>
      </c>
      <c r="G51" s="87">
        <f t="shared" si="1"/>
        <v>0</v>
      </c>
      <c r="H51" s="87">
        <f t="shared" si="2"/>
        <v>0</v>
      </c>
      <c r="I51" s="87">
        <f t="shared" si="3"/>
        <v>0</v>
      </c>
      <c r="J51" s="87">
        <f t="shared" si="4"/>
        <v>0</v>
      </c>
      <c r="K51" s="120">
        <f t="shared" si="6"/>
        <v>0</v>
      </c>
      <c r="O51" s="116">
        <f>Amnt_Deposited!B46</f>
        <v>2032</v>
      </c>
      <c r="P51" s="119">
        <f>Amnt_Deposited!N46</f>
        <v>0</v>
      </c>
      <c r="Q51" s="319">
        <f>MCF!R50</f>
        <v>0.8</v>
      </c>
      <c r="R51" s="87">
        <f t="shared" si="5"/>
        <v>0</v>
      </c>
      <c r="S51" s="87">
        <f t="shared" si="7"/>
        <v>0</v>
      </c>
      <c r="T51" s="87">
        <f t="shared" si="8"/>
        <v>0</v>
      </c>
      <c r="U51" s="87">
        <f t="shared" si="9"/>
        <v>0</v>
      </c>
      <c r="V51" s="87">
        <f t="shared" si="10"/>
        <v>0</v>
      </c>
      <c r="W51" s="120">
        <f t="shared" si="11"/>
        <v>0</v>
      </c>
    </row>
    <row r="52" spans="2:23">
      <c r="B52" s="116">
        <f>Amnt_Deposited!B47</f>
        <v>2033</v>
      </c>
      <c r="C52" s="119">
        <f>Amnt_Deposited!N47</f>
        <v>0</v>
      </c>
      <c r="D52" s="453">
        <f>Dry_Matter_Content!N39</f>
        <v>0</v>
      </c>
      <c r="E52" s="319">
        <f>MCF!R51</f>
        <v>0.8</v>
      </c>
      <c r="F52" s="87">
        <f t="shared" si="0"/>
        <v>0</v>
      </c>
      <c r="G52" s="87">
        <f t="shared" si="1"/>
        <v>0</v>
      </c>
      <c r="H52" s="87">
        <f t="shared" si="2"/>
        <v>0</v>
      </c>
      <c r="I52" s="87">
        <f t="shared" si="3"/>
        <v>0</v>
      </c>
      <c r="J52" s="87">
        <f t="shared" si="4"/>
        <v>0</v>
      </c>
      <c r="K52" s="120">
        <f t="shared" si="6"/>
        <v>0</v>
      </c>
      <c r="O52" s="116">
        <f>Amnt_Deposited!B47</f>
        <v>2033</v>
      </c>
      <c r="P52" s="119">
        <f>Amnt_Deposited!N47</f>
        <v>0</v>
      </c>
      <c r="Q52" s="319">
        <f>MCF!R51</f>
        <v>0.8</v>
      </c>
      <c r="R52" s="87">
        <f t="shared" si="5"/>
        <v>0</v>
      </c>
      <c r="S52" s="87">
        <f t="shared" si="7"/>
        <v>0</v>
      </c>
      <c r="T52" s="87">
        <f t="shared" si="8"/>
        <v>0</v>
      </c>
      <c r="U52" s="87">
        <f t="shared" si="9"/>
        <v>0</v>
      </c>
      <c r="V52" s="87">
        <f t="shared" si="10"/>
        <v>0</v>
      </c>
      <c r="W52" s="120">
        <f t="shared" si="11"/>
        <v>0</v>
      </c>
    </row>
    <row r="53" spans="2:23">
      <c r="B53" s="116">
        <f>Amnt_Deposited!B48</f>
        <v>2034</v>
      </c>
      <c r="C53" s="119">
        <f>Amnt_Deposited!N48</f>
        <v>0</v>
      </c>
      <c r="D53" s="453">
        <f>Dry_Matter_Content!N40</f>
        <v>0</v>
      </c>
      <c r="E53" s="319">
        <f>MCF!R52</f>
        <v>0.8</v>
      </c>
      <c r="F53" s="87">
        <f t="shared" si="0"/>
        <v>0</v>
      </c>
      <c r="G53" s="87">
        <f t="shared" si="1"/>
        <v>0</v>
      </c>
      <c r="H53" s="87">
        <f t="shared" si="2"/>
        <v>0</v>
      </c>
      <c r="I53" s="87">
        <f t="shared" si="3"/>
        <v>0</v>
      </c>
      <c r="J53" s="87">
        <f t="shared" si="4"/>
        <v>0</v>
      </c>
      <c r="K53" s="120">
        <f t="shared" si="6"/>
        <v>0</v>
      </c>
      <c r="O53" s="116">
        <f>Amnt_Deposited!B48</f>
        <v>2034</v>
      </c>
      <c r="P53" s="119">
        <f>Amnt_Deposited!N48</f>
        <v>0</v>
      </c>
      <c r="Q53" s="319">
        <f>MCF!R52</f>
        <v>0.8</v>
      </c>
      <c r="R53" s="87">
        <f t="shared" si="5"/>
        <v>0</v>
      </c>
      <c r="S53" s="87">
        <f t="shared" si="7"/>
        <v>0</v>
      </c>
      <c r="T53" s="87">
        <f t="shared" si="8"/>
        <v>0</v>
      </c>
      <c r="U53" s="87">
        <f t="shared" si="9"/>
        <v>0</v>
      </c>
      <c r="V53" s="87">
        <f t="shared" si="10"/>
        <v>0</v>
      </c>
      <c r="W53" s="120">
        <f t="shared" si="11"/>
        <v>0</v>
      </c>
    </row>
    <row r="54" spans="2:23">
      <c r="B54" s="116">
        <f>Amnt_Deposited!B49</f>
        <v>2035</v>
      </c>
      <c r="C54" s="119">
        <f>Amnt_Deposited!N49</f>
        <v>0</v>
      </c>
      <c r="D54" s="453">
        <f>Dry_Matter_Content!N41</f>
        <v>0</v>
      </c>
      <c r="E54" s="319">
        <f>MCF!R53</f>
        <v>0.8</v>
      </c>
      <c r="F54" s="87">
        <f t="shared" si="0"/>
        <v>0</v>
      </c>
      <c r="G54" s="87">
        <f t="shared" si="1"/>
        <v>0</v>
      </c>
      <c r="H54" s="87">
        <f t="shared" si="2"/>
        <v>0</v>
      </c>
      <c r="I54" s="87">
        <f t="shared" si="3"/>
        <v>0</v>
      </c>
      <c r="J54" s="87">
        <f t="shared" si="4"/>
        <v>0</v>
      </c>
      <c r="K54" s="120">
        <f t="shared" si="6"/>
        <v>0</v>
      </c>
      <c r="O54" s="116">
        <f>Amnt_Deposited!B49</f>
        <v>2035</v>
      </c>
      <c r="P54" s="119">
        <f>Amnt_Deposited!N49</f>
        <v>0</v>
      </c>
      <c r="Q54" s="319">
        <f>MCF!R53</f>
        <v>0.8</v>
      </c>
      <c r="R54" s="87">
        <f t="shared" si="5"/>
        <v>0</v>
      </c>
      <c r="S54" s="87">
        <f t="shared" si="7"/>
        <v>0</v>
      </c>
      <c r="T54" s="87">
        <f t="shared" si="8"/>
        <v>0</v>
      </c>
      <c r="U54" s="87">
        <f t="shared" si="9"/>
        <v>0</v>
      </c>
      <c r="V54" s="87">
        <f t="shared" si="10"/>
        <v>0</v>
      </c>
      <c r="W54" s="120">
        <f t="shared" si="11"/>
        <v>0</v>
      </c>
    </row>
    <row r="55" spans="2:23">
      <c r="B55" s="116">
        <f>Amnt_Deposited!B50</f>
        <v>2036</v>
      </c>
      <c r="C55" s="119">
        <f>Amnt_Deposited!N50</f>
        <v>0</v>
      </c>
      <c r="D55" s="453">
        <f>Dry_Matter_Content!N42</f>
        <v>0</v>
      </c>
      <c r="E55" s="319">
        <f>MCF!R54</f>
        <v>0.8</v>
      </c>
      <c r="F55" s="87">
        <f t="shared" si="0"/>
        <v>0</v>
      </c>
      <c r="G55" s="87">
        <f t="shared" si="1"/>
        <v>0</v>
      </c>
      <c r="H55" s="87">
        <f t="shared" si="2"/>
        <v>0</v>
      </c>
      <c r="I55" s="87">
        <f t="shared" si="3"/>
        <v>0</v>
      </c>
      <c r="J55" s="87">
        <f t="shared" si="4"/>
        <v>0</v>
      </c>
      <c r="K55" s="120">
        <f t="shared" si="6"/>
        <v>0</v>
      </c>
      <c r="O55" s="116">
        <f>Amnt_Deposited!B50</f>
        <v>2036</v>
      </c>
      <c r="P55" s="119">
        <f>Amnt_Deposited!N50</f>
        <v>0</v>
      </c>
      <c r="Q55" s="319">
        <f>MCF!R54</f>
        <v>0.8</v>
      </c>
      <c r="R55" s="87">
        <f t="shared" si="5"/>
        <v>0</v>
      </c>
      <c r="S55" s="87">
        <f t="shared" si="7"/>
        <v>0</v>
      </c>
      <c r="T55" s="87">
        <f t="shared" si="8"/>
        <v>0</v>
      </c>
      <c r="U55" s="87">
        <f t="shared" si="9"/>
        <v>0</v>
      </c>
      <c r="V55" s="87">
        <f t="shared" si="10"/>
        <v>0</v>
      </c>
      <c r="W55" s="120">
        <f t="shared" si="11"/>
        <v>0</v>
      </c>
    </row>
    <row r="56" spans="2:23">
      <c r="B56" s="116">
        <f>Amnt_Deposited!B51</f>
        <v>2037</v>
      </c>
      <c r="C56" s="119">
        <f>Amnt_Deposited!N51</f>
        <v>0</v>
      </c>
      <c r="D56" s="453">
        <f>Dry_Matter_Content!N43</f>
        <v>0</v>
      </c>
      <c r="E56" s="319">
        <f>MCF!R55</f>
        <v>0.8</v>
      </c>
      <c r="F56" s="87">
        <f t="shared" si="0"/>
        <v>0</v>
      </c>
      <c r="G56" s="87">
        <f t="shared" si="1"/>
        <v>0</v>
      </c>
      <c r="H56" s="87">
        <f t="shared" si="2"/>
        <v>0</v>
      </c>
      <c r="I56" s="87">
        <f t="shared" si="3"/>
        <v>0</v>
      </c>
      <c r="J56" s="87">
        <f t="shared" si="4"/>
        <v>0</v>
      </c>
      <c r="K56" s="120">
        <f t="shared" si="6"/>
        <v>0</v>
      </c>
      <c r="O56" s="116">
        <f>Amnt_Deposited!B51</f>
        <v>2037</v>
      </c>
      <c r="P56" s="119">
        <f>Amnt_Deposited!N51</f>
        <v>0</v>
      </c>
      <c r="Q56" s="319">
        <f>MCF!R55</f>
        <v>0.8</v>
      </c>
      <c r="R56" s="87">
        <f t="shared" si="5"/>
        <v>0</v>
      </c>
      <c r="S56" s="87">
        <f t="shared" si="7"/>
        <v>0</v>
      </c>
      <c r="T56" s="87">
        <f t="shared" si="8"/>
        <v>0</v>
      </c>
      <c r="U56" s="87">
        <f t="shared" si="9"/>
        <v>0</v>
      </c>
      <c r="V56" s="87">
        <f t="shared" si="10"/>
        <v>0</v>
      </c>
      <c r="W56" s="120">
        <f t="shared" si="11"/>
        <v>0</v>
      </c>
    </row>
    <row r="57" spans="2:23">
      <c r="B57" s="116">
        <f>Amnt_Deposited!B52</f>
        <v>2038</v>
      </c>
      <c r="C57" s="119">
        <f>Amnt_Deposited!N52</f>
        <v>0</v>
      </c>
      <c r="D57" s="453">
        <f>Dry_Matter_Content!N44</f>
        <v>0</v>
      </c>
      <c r="E57" s="319">
        <f>MCF!R56</f>
        <v>0.8</v>
      </c>
      <c r="F57" s="87">
        <f t="shared" si="0"/>
        <v>0</v>
      </c>
      <c r="G57" s="87">
        <f t="shared" si="1"/>
        <v>0</v>
      </c>
      <c r="H57" s="87">
        <f t="shared" si="2"/>
        <v>0</v>
      </c>
      <c r="I57" s="87">
        <f t="shared" si="3"/>
        <v>0</v>
      </c>
      <c r="J57" s="87">
        <f t="shared" si="4"/>
        <v>0</v>
      </c>
      <c r="K57" s="120">
        <f t="shared" si="6"/>
        <v>0</v>
      </c>
      <c r="O57" s="116">
        <f>Amnt_Deposited!B52</f>
        <v>2038</v>
      </c>
      <c r="P57" s="119">
        <f>Amnt_Deposited!N52</f>
        <v>0</v>
      </c>
      <c r="Q57" s="319">
        <f>MCF!R56</f>
        <v>0.8</v>
      </c>
      <c r="R57" s="87">
        <f t="shared" si="5"/>
        <v>0</v>
      </c>
      <c r="S57" s="87">
        <f t="shared" si="7"/>
        <v>0</v>
      </c>
      <c r="T57" s="87">
        <f t="shared" si="8"/>
        <v>0</v>
      </c>
      <c r="U57" s="87">
        <f t="shared" si="9"/>
        <v>0</v>
      </c>
      <c r="V57" s="87">
        <f t="shared" si="10"/>
        <v>0</v>
      </c>
      <c r="W57" s="120">
        <f t="shared" si="11"/>
        <v>0</v>
      </c>
    </row>
    <row r="58" spans="2:23">
      <c r="B58" s="116">
        <f>Amnt_Deposited!B53</f>
        <v>2039</v>
      </c>
      <c r="C58" s="119">
        <f>Amnt_Deposited!N53</f>
        <v>0</v>
      </c>
      <c r="D58" s="453">
        <f>Dry_Matter_Content!N45</f>
        <v>0</v>
      </c>
      <c r="E58" s="319">
        <f>MCF!R57</f>
        <v>0.8</v>
      </c>
      <c r="F58" s="87">
        <f t="shared" si="0"/>
        <v>0</v>
      </c>
      <c r="G58" s="87">
        <f t="shared" si="1"/>
        <v>0</v>
      </c>
      <c r="H58" s="87">
        <f t="shared" si="2"/>
        <v>0</v>
      </c>
      <c r="I58" s="87">
        <f t="shared" si="3"/>
        <v>0</v>
      </c>
      <c r="J58" s="87">
        <f t="shared" si="4"/>
        <v>0</v>
      </c>
      <c r="K58" s="120">
        <f t="shared" si="6"/>
        <v>0</v>
      </c>
      <c r="O58" s="116">
        <f>Amnt_Deposited!B53</f>
        <v>2039</v>
      </c>
      <c r="P58" s="119">
        <f>Amnt_Deposited!N53</f>
        <v>0</v>
      </c>
      <c r="Q58" s="319">
        <f>MCF!R57</f>
        <v>0.8</v>
      </c>
      <c r="R58" s="87">
        <f t="shared" si="5"/>
        <v>0</v>
      </c>
      <c r="S58" s="87">
        <f t="shared" si="7"/>
        <v>0</v>
      </c>
      <c r="T58" s="87">
        <f t="shared" si="8"/>
        <v>0</v>
      </c>
      <c r="U58" s="87">
        <f t="shared" si="9"/>
        <v>0</v>
      </c>
      <c r="V58" s="87">
        <f t="shared" si="10"/>
        <v>0</v>
      </c>
      <c r="W58" s="120">
        <f t="shared" si="11"/>
        <v>0</v>
      </c>
    </row>
    <row r="59" spans="2:23">
      <c r="B59" s="116">
        <f>Amnt_Deposited!B54</f>
        <v>2040</v>
      </c>
      <c r="C59" s="119">
        <f>Amnt_Deposited!N54</f>
        <v>0</v>
      </c>
      <c r="D59" s="453">
        <f>Dry_Matter_Content!N46</f>
        <v>0</v>
      </c>
      <c r="E59" s="319">
        <f>MCF!R58</f>
        <v>0.8</v>
      </c>
      <c r="F59" s="87">
        <f t="shared" si="0"/>
        <v>0</v>
      </c>
      <c r="G59" s="87">
        <f t="shared" si="1"/>
        <v>0</v>
      </c>
      <c r="H59" s="87">
        <f t="shared" si="2"/>
        <v>0</v>
      </c>
      <c r="I59" s="87">
        <f t="shared" si="3"/>
        <v>0</v>
      </c>
      <c r="J59" s="87">
        <f t="shared" si="4"/>
        <v>0</v>
      </c>
      <c r="K59" s="120">
        <f t="shared" si="6"/>
        <v>0</v>
      </c>
      <c r="O59" s="116">
        <f>Amnt_Deposited!B54</f>
        <v>2040</v>
      </c>
      <c r="P59" s="119">
        <f>Amnt_Deposited!N54</f>
        <v>0</v>
      </c>
      <c r="Q59" s="319">
        <f>MCF!R58</f>
        <v>0.8</v>
      </c>
      <c r="R59" s="87">
        <f t="shared" si="5"/>
        <v>0</v>
      </c>
      <c r="S59" s="87">
        <f t="shared" si="7"/>
        <v>0</v>
      </c>
      <c r="T59" s="87">
        <f t="shared" si="8"/>
        <v>0</v>
      </c>
      <c r="U59" s="87">
        <f t="shared" si="9"/>
        <v>0</v>
      </c>
      <c r="V59" s="87">
        <f t="shared" si="10"/>
        <v>0</v>
      </c>
      <c r="W59" s="120">
        <f t="shared" si="11"/>
        <v>0</v>
      </c>
    </row>
    <row r="60" spans="2:23">
      <c r="B60" s="116">
        <f>Amnt_Deposited!B55</f>
        <v>2041</v>
      </c>
      <c r="C60" s="119">
        <f>Amnt_Deposited!N55</f>
        <v>0</v>
      </c>
      <c r="D60" s="453">
        <f>Dry_Matter_Content!N47</f>
        <v>0</v>
      </c>
      <c r="E60" s="319">
        <f>MCF!R59</f>
        <v>0.8</v>
      </c>
      <c r="F60" s="87">
        <f t="shared" si="0"/>
        <v>0</v>
      </c>
      <c r="G60" s="87">
        <f t="shared" si="1"/>
        <v>0</v>
      </c>
      <c r="H60" s="87">
        <f t="shared" si="2"/>
        <v>0</v>
      </c>
      <c r="I60" s="87">
        <f t="shared" si="3"/>
        <v>0</v>
      </c>
      <c r="J60" s="87">
        <f t="shared" si="4"/>
        <v>0</v>
      </c>
      <c r="K60" s="120">
        <f t="shared" si="6"/>
        <v>0</v>
      </c>
      <c r="O60" s="116">
        <f>Amnt_Deposited!B55</f>
        <v>2041</v>
      </c>
      <c r="P60" s="119">
        <f>Amnt_Deposited!N55</f>
        <v>0</v>
      </c>
      <c r="Q60" s="319">
        <f>MCF!R59</f>
        <v>0.8</v>
      </c>
      <c r="R60" s="87">
        <f t="shared" si="5"/>
        <v>0</v>
      </c>
      <c r="S60" s="87">
        <f t="shared" si="7"/>
        <v>0</v>
      </c>
      <c r="T60" s="87">
        <f t="shared" si="8"/>
        <v>0</v>
      </c>
      <c r="U60" s="87">
        <f t="shared" si="9"/>
        <v>0</v>
      </c>
      <c r="V60" s="87">
        <f t="shared" si="10"/>
        <v>0</v>
      </c>
      <c r="W60" s="120">
        <f t="shared" si="11"/>
        <v>0</v>
      </c>
    </row>
    <row r="61" spans="2:23">
      <c r="B61" s="116">
        <f>Amnt_Deposited!B56</f>
        <v>2042</v>
      </c>
      <c r="C61" s="119">
        <f>Amnt_Deposited!N56</f>
        <v>0</v>
      </c>
      <c r="D61" s="453">
        <f>Dry_Matter_Content!N48</f>
        <v>0</v>
      </c>
      <c r="E61" s="319">
        <f>MCF!R60</f>
        <v>0.8</v>
      </c>
      <c r="F61" s="87">
        <f t="shared" si="0"/>
        <v>0</v>
      </c>
      <c r="G61" s="87">
        <f t="shared" si="1"/>
        <v>0</v>
      </c>
      <c r="H61" s="87">
        <f t="shared" si="2"/>
        <v>0</v>
      </c>
      <c r="I61" s="87">
        <f t="shared" si="3"/>
        <v>0</v>
      </c>
      <c r="J61" s="87">
        <f t="shared" si="4"/>
        <v>0</v>
      </c>
      <c r="K61" s="120">
        <f t="shared" si="6"/>
        <v>0</v>
      </c>
      <c r="O61" s="116">
        <f>Amnt_Deposited!B56</f>
        <v>2042</v>
      </c>
      <c r="P61" s="119">
        <f>Amnt_Deposited!N56</f>
        <v>0</v>
      </c>
      <c r="Q61" s="319">
        <f>MCF!R60</f>
        <v>0.8</v>
      </c>
      <c r="R61" s="87">
        <f t="shared" si="5"/>
        <v>0</v>
      </c>
      <c r="S61" s="87">
        <f t="shared" si="7"/>
        <v>0</v>
      </c>
      <c r="T61" s="87">
        <f t="shared" si="8"/>
        <v>0</v>
      </c>
      <c r="U61" s="87">
        <f t="shared" si="9"/>
        <v>0</v>
      </c>
      <c r="V61" s="87">
        <f t="shared" si="10"/>
        <v>0</v>
      </c>
      <c r="W61" s="120">
        <f t="shared" si="11"/>
        <v>0</v>
      </c>
    </row>
    <row r="62" spans="2:23">
      <c r="B62" s="116">
        <f>Amnt_Deposited!B57</f>
        <v>2043</v>
      </c>
      <c r="C62" s="119">
        <f>Amnt_Deposited!N57</f>
        <v>0</v>
      </c>
      <c r="D62" s="453">
        <f>Dry_Matter_Content!N49</f>
        <v>0</v>
      </c>
      <c r="E62" s="319">
        <f>MCF!R61</f>
        <v>0.8</v>
      </c>
      <c r="F62" s="87">
        <f t="shared" si="0"/>
        <v>0</v>
      </c>
      <c r="G62" s="87">
        <f t="shared" si="1"/>
        <v>0</v>
      </c>
      <c r="H62" s="87">
        <f t="shared" si="2"/>
        <v>0</v>
      </c>
      <c r="I62" s="87">
        <f t="shared" si="3"/>
        <v>0</v>
      </c>
      <c r="J62" s="87">
        <f t="shared" si="4"/>
        <v>0</v>
      </c>
      <c r="K62" s="120">
        <f t="shared" si="6"/>
        <v>0</v>
      </c>
      <c r="O62" s="116">
        <f>Amnt_Deposited!B57</f>
        <v>2043</v>
      </c>
      <c r="P62" s="119">
        <f>Amnt_Deposited!N57</f>
        <v>0</v>
      </c>
      <c r="Q62" s="319">
        <f>MCF!R61</f>
        <v>0.8</v>
      </c>
      <c r="R62" s="87">
        <f t="shared" si="5"/>
        <v>0</v>
      </c>
      <c r="S62" s="87">
        <f t="shared" si="7"/>
        <v>0</v>
      </c>
      <c r="T62" s="87">
        <f t="shared" si="8"/>
        <v>0</v>
      </c>
      <c r="U62" s="87">
        <f t="shared" si="9"/>
        <v>0</v>
      </c>
      <c r="V62" s="87">
        <f t="shared" si="10"/>
        <v>0</v>
      </c>
      <c r="W62" s="120">
        <f t="shared" si="11"/>
        <v>0</v>
      </c>
    </row>
    <row r="63" spans="2:23">
      <c r="B63" s="116">
        <f>Amnt_Deposited!B58</f>
        <v>2044</v>
      </c>
      <c r="C63" s="119">
        <f>Amnt_Deposited!N58</f>
        <v>0</v>
      </c>
      <c r="D63" s="453">
        <f>Dry_Matter_Content!N50</f>
        <v>0</v>
      </c>
      <c r="E63" s="319">
        <f>MCF!R62</f>
        <v>0.8</v>
      </c>
      <c r="F63" s="87">
        <f t="shared" si="0"/>
        <v>0</v>
      </c>
      <c r="G63" s="87">
        <f t="shared" si="1"/>
        <v>0</v>
      </c>
      <c r="H63" s="87">
        <f t="shared" si="2"/>
        <v>0</v>
      </c>
      <c r="I63" s="87">
        <f t="shared" si="3"/>
        <v>0</v>
      </c>
      <c r="J63" s="87">
        <f t="shared" si="4"/>
        <v>0</v>
      </c>
      <c r="K63" s="120">
        <f t="shared" si="6"/>
        <v>0</v>
      </c>
      <c r="O63" s="116">
        <f>Amnt_Deposited!B58</f>
        <v>2044</v>
      </c>
      <c r="P63" s="119">
        <f>Amnt_Deposited!N58</f>
        <v>0</v>
      </c>
      <c r="Q63" s="319">
        <f>MCF!R62</f>
        <v>0.8</v>
      </c>
      <c r="R63" s="87">
        <f t="shared" si="5"/>
        <v>0</v>
      </c>
      <c r="S63" s="87">
        <f t="shared" si="7"/>
        <v>0</v>
      </c>
      <c r="T63" s="87">
        <f t="shared" si="8"/>
        <v>0</v>
      </c>
      <c r="U63" s="87">
        <f t="shared" si="9"/>
        <v>0</v>
      </c>
      <c r="V63" s="87">
        <f t="shared" si="10"/>
        <v>0</v>
      </c>
      <c r="W63" s="120">
        <f t="shared" si="11"/>
        <v>0</v>
      </c>
    </row>
    <row r="64" spans="2:23">
      <c r="B64" s="116">
        <f>Amnt_Deposited!B59</f>
        <v>2045</v>
      </c>
      <c r="C64" s="119">
        <f>Amnt_Deposited!N59</f>
        <v>0</v>
      </c>
      <c r="D64" s="453">
        <f>Dry_Matter_Content!N51</f>
        <v>0</v>
      </c>
      <c r="E64" s="319">
        <f>MCF!R63</f>
        <v>0.8</v>
      </c>
      <c r="F64" s="87">
        <f t="shared" si="0"/>
        <v>0</v>
      </c>
      <c r="G64" s="87">
        <f t="shared" si="1"/>
        <v>0</v>
      </c>
      <c r="H64" s="87">
        <f t="shared" si="2"/>
        <v>0</v>
      </c>
      <c r="I64" s="87">
        <f t="shared" si="3"/>
        <v>0</v>
      </c>
      <c r="J64" s="87">
        <f t="shared" si="4"/>
        <v>0</v>
      </c>
      <c r="K64" s="120">
        <f t="shared" si="6"/>
        <v>0</v>
      </c>
      <c r="O64" s="116">
        <f>Amnt_Deposited!B59</f>
        <v>2045</v>
      </c>
      <c r="P64" s="119">
        <f>Amnt_Deposited!N59</f>
        <v>0</v>
      </c>
      <c r="Q64" s="319">
        <f>MCF!R63</f>
        <v>0.8</v>
      </c>
      <c r="R64" s="87">
        <f t="shared" si="5"/>
        <v>0</v>
      </c>
      <c r="S64" s="87">
        <f t="shared" si="7"/>
        <v>0</v>
      </c>
      <c r="T64" s="87">
        <f t="shared" si="8"/>
        <v>0</v>
      </c>
      <c r="U64" s="87">
        <f t="shared" si="9"/>
        <v>0</v>
      </c>
      <c r="V64" s="87">
        <f t="shared" si="10"/>
        <v>0</v>
      </c>
      <c r="W64" s="120">
        <f t="shared" si="11"/>
        <v>0</v>
      </c>
    </row>
    <row r="65" spans="2:23">
      <c r="B65" s="116">
        <f>Amnt_Deposited!B60</f>
        <v>2046</v>
      </c>
      <c r="C65" s="119">
        <f>Amnt_Deposited!N60</f>
        <v>0</v>
      </c>
      <c r="D65" s="453">
        <f>Dry_Matter_Content!N52</f>
        <v>0</v>
      </c>
      <c r="E65" s="319">
        <f>MCF!R64</f>
        <v>0.8</v>
      </c>
      <c r="F65" s="87">
        <f t="shared" si="0"/>
        <v>0</v>
      </c>
      <c r="G65" s="87">
        <f t="shared" si="1"/>
        <v>0</v>
      </c>
      <c r="H65" s="87">
        <f t="shared" si="2"/>
        <v>0</v>
      </c>
      <c r="I65" s="87">
        <f t="shared" si="3"/>
        <v>0</v>
      </c>
      <c r="J65" s="87">
        <f t="shared" si="4"/>
        <v>0</v>
      </c>
      <c r="K65" s="120">
        <f t="shared" si="6"/>
        <v>0</v>
      </c>
      <c r="O65" s="116">
        <f>Amnt_Deposited!B60</f>
        <v>2046</v>
      </c>
      <c r="P65" s="119">
        <f>Amnt_Deposited!N60</f>
        <v>0</v>
      </c>
      <c r="Q65" s="319">
        <f>MCF!R64</f>
        <v>0.8</v>
      </c>
      <c r="R65" s="87">
        <f t="shared" si="5"/>
        <v>0</v>
      </c>
      <c r="S65" s="87">
        <f t="shared" si="7"/>
        <v>0</v>
      </c>
      <c r="T65" s="87">
        <f t="shared" si="8"/>
        <v>0</v>
      </c>
      <c r="U65" s="87">
        <f t="shared" si="9"/>
        <v>0</v>
      </c>
      <c r="V65" s="87">
        <f t="shared" si="10"/>
        <v>0</v>
      </c>
      <c r="W65" s="120">
        <f t="shared" si="11"/>
        <v>0</v>
      </c>
    </row>
    <row r="66" spans="2:23">
      <c r="B66" s="116">
        <f>Amnt_Deposited!B61</f>
        <v>2047</v>
      </c>
      <c r="C66" s="119">
        <f>Amnt_Deposited!N61</f>
        <v>0</v>
      </c>
      <c r="D66" s="453">
        <f>Dry_Matter_Content!N53</f>
        <v>0</v>
      </c>
      <c r="E66" s="319">
        <f>MCF!R65</f>
        <v>0.8</v>
      </c>
      <c r="F66" s="87">
        <f t="shared" si="0"/>
        <v>0</v>
      </c>
      <c r="G66" s="87">
        <f t="shared" si="1"/>
        <v>0</v>
      </c>
      <c r="H66" s="87">
        <f t="shared" si="2"/>
        <v>0</v>
      </c>
      <c r="I66" s="87">
        <f t="shared" si="3"/>
        <v>0</v>
      </c>
      <c r="J66" s="87">
        <f t="shared" si="4"/>
        <v>0</v>
      </c>
      <c r="K66" s="120">
        <f t="shared" si="6"/>
        <v>0</v>
      </c>
      <c r="O66" s="116">
        <f>Amnt_Deposited!B61</f>
        <v>2047</v>
      </c>
      <c r="P66" s="119">
        <f>Amnt_Deposited!N61</f>
        <v>0</v>
      </c>
      <c r="Q66" s="319">
        <f>MCF!R65</f>
        <v>0.8</v>
      </c>
      <c r="R66" s="87">
        <f t="shared" si="5"/>
        <v>0</v>
      </c>
      <c r="S66" s="87">
        <f t="shared" si="7"/>
        <v>0</v>
      </c>
      <c r="T66" s="87">
        <f t="shared" si="8"/>
        <v>0</v>
      </c>
      <c r="U66" s="87">
        <f t="shared" si="9"/>
        <v>0</v>
      </c>
      <c r="V66" s="87">
        <f t="shared" si="10"/>
        <v>0</v>
      </c>
      <c r="W66" s="120">
        <f t="shared" si="11"/>
        <v>0</v>
      </c>
    </row>
    <row r="67" spans="2:23">
      <c r="B67" s="116">
        <f>Amnt_Deposited!B62</f>
        <v>2048</v>
      </c>
      <c r="C67" s="119">
        <f>Amnt_Deposited!N62</f>
        <v>0</v>
      </c>
      <c r="D67" s="453">
        <f>Dry_Matter_Content!N54</f>
        <v>0</v>
      </c>
      <c r="E67" s="319">
        <f>MCF!R66</f>
        <v>0.8</v>
      </c>
      <c r="F67" s="87">
        <f t="shared" si="0"/>
        <v>0</v>
      </c>
      <c r="G67" s="87">
        <f t="shared" si="1"/>
        <v>0</v>
      </c>
      <c r="H67" s="87">
        <f t="shared" si="2"/>
        <v>0</v>
      </c>
      <c r="I67" s="87">
        <f t="shared" si="3"/>
        <v>0</v>
      </c>
      <c r="J67" s="87">
        <f t="shared" si="4"/>
        <v>0</v>
      </c>
      <c r="K67" s="120">
        <f t="shared" si="6"/>
        <v>0</v>
      </c>
      <c r="O67" s="116">
        <f>Amnt_Deposited!B62</f>
        <v>2048</v>
      </c>
      <c r="P67" s="119">
        <f>Amnt_Deposited!N62</f>
        <v>0</v>
      </c>
      <c r="Q67" s="319">
        <f>MCF!R66</f>
        <v>0.8</v>
      </c>
      <c r="R67" s="87">
        <f t="shared" si="5"/>
        <v>0</v>
      </c>
      <c r="S67" s="87">
        <f t="shared" si="7"/>
        <v>0</v>
      </c>
      <c r="T67" s="87">
        <f t="shared" si="8"/>
        <v>0</v>
      </c>
      <c r="U67" s="87">
        <f t="shared" si="9"/>
        <v>0</v>
      </c>
      <c r="V67" s="87">
        <f t="shared" si="10"/>
        <v>0</v>
      </c>
      <c r="W67" s="120">
        <f t="shared" si="11"/>
        <v>0</v>
      </c>
    </row>
    <row r="68" spans="2:23">
      <c r="B68" s="116">
        <f>Amnt_Deposited!B63</f>
        <v>2049</v>
      </c>
      <c r="C68" s="119">
        <f>Amnt_Deposited!N63</f>
        <v>0</v>
      </c>
      <c r="D68" s="453">
        <f>Dry_Matter_Content!N55</f>
        <v>0</v>
      </c>
      <c r="E68" s="319">
        <f>MCF!R67</f>
        <v>0.8</v>
      </c>
      <c r="F68" s="87">
        <f t="shared" si="0"/>
        <v>0</v>
      </c>
      <c r="G68" s="87">
        <f t="shared" si="1"/>
        <v>0</v>
      </c>
      <c r="H68" s="87">
        <f t="shared" si="2"/>
        <v>0</v>
      </c>
      <c r="I68" s="87">
        <f t="shared" si="3"/>
        <v>0</v>
      </c>
      <c r="J68" s="87">
        <f t="shared" si="4"/>
        <v>0</v>
      </c>
      <c r="K68" s="120">
        <f t="shared" si="6"/>
        <v>0</v>
      </c>
      <c r="O68" s="116">
        <f>Amnt_Deposited!B63</f>
        <v>2049</v>
      </c>
      <c r="P68" s="119">
        <f>Amnt_Deposited!N63</f>
        <v>0</v>
      </c>
      <c r="Q68" s="319">
        <f>MCF!R67</f>
        <v>0.8</v>
      </c>
      <c r="R68" s="87">
        <f t="shared" si="5"/>
        <v>0</v>
      </c>
      <c r="S68" s="87">
        <f t="shared" si="7"/>
        <v>0</v>
      </c>
      <c r="T68" s="87">
        <f t="shared" si="8"/>
        <v>0</v>
      </c>
      <c r="U68" s="87">
        <f t="shared" si="9"/>
        <v>0</v>
      </c>
      <c r="V68" s="87">
        <f t="shared" si="10"/>
        <v>0</v>
      </c>
      <c r="W68" s="120">
        <f t="shared" si="11"/>
        <v>0</v>
      </c>
    </row>
    <row r="69" spans="2:23">
      <c r="B69" s="116">
        <f>Amnt_Deposited!B64</f>
        <v>2050</v>
      </c>
      <c r="C69" s="119">
        <f>Amnt_Deposited!N64</f>
        <v>0</v>
      </c>
      <c r="D69" s="453">
        <f>Dry_Matter_Content!N56</f>
        <v>0</v>
      </c>
      <c r="E69" s="319">
        <f>MCF!R68</f>
        <v>0.8</v>
      </c>
      <c r="F69" s="87">
        <f t="shared" si="0"/>
        <v>0</v>
      </c>
      <c r="G69" s="87">
        <f t="shared" si="1"/>
        <v>0</v>
      </c>
      <c r="H69" s="87">
        <f t="shared" si="2"/>
        <v>0</v>
      </c>
      <c r="I69" s="87">
        <f t="shared" si="3"/>
        <v>0</v>
      </c>
      <c r="J69" s="87">
        <f t="shared" si="4"/>
        <v>0</v>
      </c>
      <c r="K69" s="120">
        <f t="shared" si="6"/>
        <v>0</v>
      </c>
      <c r="O69" s="116">
        <f>Amnt_Deposited!B64</f>
        <v>2050</v>
      </c>
      <c r="P69" s="119">
        <f>Amnt_Deposited!N64</f>
        <v>0</v>
      </c>
      <c r="Q69" s="319">
        <f>MCF!R68</f>
        <v>0.8</v>
      </c>
      <c r="R69" s="87">
        <f t="shared" si="5"/>
        <v>0</v>
      </c>
      <c r="S69" s="87">
        <f t="shared" si="7"/>
        <v>0</v>
      </c>
      <c r="T69" s="87">
        <f t="shared" si="8"/>
        <v>0</v>
      </c>
      <c r="U69" s="87">
        <f t="shared" si="9"/>
        <v>0</v>
      </c>
      <c r="V69" s="87">
        <f t="shared" si="10"/>
        <v>0</v>
      </c>
      <c r="W69" s="120">
        <f t="shared" si="11"/>
        <v>0</v>
      </c>
    </row>
    <row r="70" spans="2:23">
      <c r="B70" s="116">
        <f>Amnt_Deposited!B65</f>
        <v>2051</v>
      </c>
      <c r="C70" s="119">
        <f>Amnt_Deposited!N65</f>
        <v>0</v>
      </c>
      <c r="D70" s="453">
        <f>Dry_Matter_Content!N57</f>
        <v>0</v>
      </c>
      <c r="E70" s="319">
        <f>MCF!R69</f>
        <v>0.8</v>
      </c>
      <c r="F70" s="87">
        <f t="shared" si="0"/>
        <v>0</v>
      </c>
      <c r="G70" s="87">
        <f t="shared" si="1"/>
        <v>0</v>
      </c>
      <c r="H70" s="87">
        <f t="shared" si="2"/>
        <v>0</v>
      </c>
      <c r="I70" s="87">
        <f t="shared" si="3"/>
        <v>0</v>
      </c>
      <c r="J70" s="87">
        <f t="shared" si="4"/>
        <v>0</v>
      </c>
      <c r="K70" s="120">
        <f t="shared" si="6"/>
        <v>0</v>
      </c>
      <c r="O70" s="116">
        <f>Amnt_Deposited!B65</f>
        <v>2051</v>
      </c>
      <c r="P70" s="119">
        <f>Amnt_Deposited!N65</f>
        <v>0</v>
      </c>
      <c r="Q70" s="319">
        <f>MCF!R69</f>
        <v>0.8</v>
      </c>
      <c r="R70" s="87">
        <f t="shared" si="5"/>
        <v>0</v>
      </c>
      <c r="S70" s="87">
        <f t="shared" si="7"/>
        <v>0</v>
      </c>
      <c r="T70" s="87">
        <f t="shared" si="8"/>
        <v>0</v>
      </c>
      <c r="U70" s="87">
        <f t="shared" si="9"/>
        <v>0</v>
      </c>
      <c r="V70" s="87">
        <f t="shared" si="10"/>
        <v>0</v>
      </c>
      <c r="W70" s="120">
        <f t="shared" si="11"/>
        <v>0</v>
      </c>
    </row>
    <row r="71" spans="2:23">
      <c r="B71" s="116">
        <f>Amnt_Deposited!B66</f>
        <v>2052</v>
      </c>
      <c r="C71" s="119">
        <f>Amnt_Deposited!N66</f>
        <v>0</v>
      </c>
      <c r="D71" s="453">
        <f>Dry_Matter_Content!N58</f>
        <v>0</v>
      </c>
      <c r="E71" s="319">
        <f>MCF!R70</f>
        <v>0.8</v>
      </c>
      <c r="F71" s="87">
        <f t="shared" si="0"/>
        <v>0</v>
      </c>
      <c r="G71" s="87">
        <f t="shared" si="1"/>
        <v>0</v>
      </c>
      <c r="H71" s="87">
        <f t="shared" si="2"/>
        <v>0</v>
      </c>
      <c r="I71" s="87">
        <f t="shared" si="3"/>
        <v>0</v>
      </c>
      <c r="J71" s="87">
        <f t="shared" si="4"/>
        <v>0</v>
      </c>
      <c r="K71" s="120">
        <f t="shared" si="6"/>
        <v>0</v>
      </c>
      <c r="O71" s="116">
        <f>Amnt_Deposited!B66</f>
        <v>2052</v>
      </c>
      <c r="P71" s="119">
        <f>Amnt_Deposited!N66</f>
        <v>0</v>
      </c>
      <c r="Q71" s="319">
        <f>MCF!R70</f>
        <v>0.8</v>
      </c>
      <c r="R71" s="87">
        <f t="shared" si="5"/>
        <v>0</v>
      </c>
      <c r="S71" s="87">
        <f t="shared" si="7"/>
        <v>0</v>
      </c>
      <c r="T71" s="87">
        <f t="shared" si="8"/>
        <v>0</v>
      </c>
      <c r="U71" s="87">
        <f t="shared" si="9"/>
        <v>0</v>
      </c>
      <c r="V71" s="87">
        <f t="shared" si="10"/>
        <v>0</v>
      </c>
      <c r="W71" s="120">
        <f t="shared" si="11"/>
        <v>0</v>
      </c>
    </row>
    <row r="72" spans="2:23">
      <c r="B72" s="116">
        <f>Amnt_Deposited!B67</f>
        <v>2053</v>
      </c>
      <c r="C72" s="119">
        <f>Amnt_Deposited!N67</f>
        <v>0</v>
      </c>
      <c r="D72" s="453">
        <f>Dry_Matter_Content!N59</f>
        <v>0</v>
      </c>
      <c r="E72" s="319">
        <f>MCF!R71</f>
        <v>0.8</v>
      </c>
      <c r="F72" s="87">
        <f t="shared" si="0"/>
        <v>0</v>
      </c>
      <c r="G72" s="87">
        <f t="shared" si="1"/>
        <v>0</v>
      </c>
      <c r="H72" s="87">
        <f t="shared" si="2"/>
        <v>0</v>
      </c>
      <c r="I72" s="87">
        <f t="shared" si="3"/>
        <v>0</v>
      </c>
      <c r="J72" s="87">
        <f t="shared" si="4"/>
        <v>0</v>
      </c>
      <c r="K72" s="120">
        <f t="shared" si="6"/>
        <v>0</v>
      </c>
      <c r="O72" s="116">
        <f>Amnt_Deposited!B67</f>
        <v>2053</v>
      </c>
      <c r="P72" s="119">
        <f>Amnt_Deposited!N67</f>
        <v>0</v>
      </c>
      <c r="Q72" s="319">
        <f>MCF!R71</f>
        <v>0.8</v>
      </c>
      <c r="R72" s="87">
        <f t="shared" si="5"/>
        <v>0</v>
      </c>
      <c r="S72" s="87">
        <f t="shared" si="7"/>
        <v>0</v>
      </c>
      <c r="T72" s="87">
        <f t="shared" si="8"/>
        <v>0</v>
      </c>
      <c r="U72" s="87">
        <f t="shared" si="9"/>
        <v>0</v>
      </c>
      <c r="V72" s="87">
        <f t="shared" si="10"/>
        <v>0</v>
      </c>
      <c r="W72" s="120">
        <f t="shared" si="11"/>
        <v>0</v>
      </c>
    </row>
    <row r="73" spans="2:23">
      <c r="B73" s="116">
        <f>Amnt_Deposited!B68</f>
        <v>2054</v>
      </c>
      <c r="C73" s="119">
        <f>Amnt_Deposited!N68</f>
        <v>0</v>
      </c>
      <c r="D73" s="453">
        <f>Dry_Matter_Content!N60</f>
        <v>0</v>
      </c>
      <c r="E73" s="319">
        <f>MCF!R72</f>
        <v>0.8</v>
      </c>
      <c r="F73" s="87">
        <f t="shared" si="0"/>
        <v>0</v>
      </c>
      <c r="G73" s="87">
        <f t="shared" si="1"/>
        <v>0</v>
      </c>
      <c r="H73" s="87">
        <f t="shared" si="2"/>
        <v>0</v>
      </c>
      <c r="I73" s="87">
        <f t="shared" si="3"/>
        <v>0</v>
      </c>
      <c r="J73" s="87">
        <f t="shared" si="4"/>
        <v>0</v>
      </c>
      <c r="K73" s="120">
        <f t="shared" si="6"/>
        <v>0</v>
      </c>
      <c r="O73" s="116">
        <f>Amnt_Deposited!B68</f>
        <v>2054</v>
      </c>
      <c r="P73" s="119">
        <f>Amnt_Deposited!N68</f>
        <v>0</v>
      </c>
      <c r="Q73" s="319">
        <f>MCF!R72</f>
        <v>0.8</v>
      </c>
      <c r="R73" s="87">
        <f t="shared" si="5"/>
        <v>0</v>
      </c>
      <c r="S73" s="87">
        <f t="shared" si="7"/>
        <v>0</v>
      </c>
      <c r="T73" s="87">
        <f t="shared" si="8"/>
        <v>0</v>
      </c>
      <c r="U73" s="87">
        <f t="shared" si="9"/>
        <v>0</v>
      </c>
      <c r="V73" s="87">
        <f t="shared" si="10"/>
        <v>0</v>
      </c>
      <c r="W73" s="120">
        <f t="shared" si="11"/>
        <v>0</v>
      </c>
    </row>
    <row r="74" spans="2:23">
      <c r="B74" s="116">
        <f>Amnt_Deposited!B69</f>
        <v>2055</v>
      </c>
      <c r="C74" s="119">
        <f>Amnt_Deposited!N69</f>
        <v>0</v>
      </c>
      <c r="D74" s="453">
        <f>Dry_Matter_Content!N61</f>
        <v>0</v>
      </c>
      <c r="E74" s="319">
        <f>MCF!R73</f>
        <v>0.8</v>
      </c>
      <c r="F74" s="87">
        <f t="shared" si="0"/>
        <v>0</v>
      </c>
      <c r="G74" s="87">
        <f t="shared" si="1"/>
        <v>0</v>
      </c>
      <c r="H74" s="87">
        <f t="shared" si="2"/>
        <v>0</v>
      </c>
      <c r="I74" s="87">
        <f t="shared" si="3"/>
        <v>0</v>
      </c>
      <c r="J74" s="87">
        <f t="shared" si="4"/>
        <v>0</v>
      </c>
      <c r="K74" s="120">
        <f t="shared" si="6"/>
        <v>0</v>
      </c>
      <c r="O74" s="116">
        <f>Amnt_Deposited!B69</f>
        <v>2055</v>
      </c>
      <c r="P74" s="119">
        <f>Amnt_Deposited!N69</f>
        <v>0</v>
      </c>
      <c r="Q74" s="319">
        <f>MCF!R73</f>
        <v>0.8</v>
      </c>
      <c r="R74" s="87">
        <f t="shared" si="5"/>
        <v>0</v>
      </c>
      <c r="S74" s="87">
        <f t="shared" si="7"/>
        <v>0</v>
      </c>
      <c r="T74" s="87">
        <f t="shared" si="8"/>
        <v>0</v>
      </c>
      <c r="U74" s="87">
        <f t="shared" si="9"/>
        <v>0</v>
      </c>
      <c r="V74" s="87">
        <f t="shared" si="10"/>
        <v>0</v>
      </c>
      <c r="W74" s="120">
        <f t="shared" si="11"/>
        <v>0</v>
      </c>
    </row>
    <row r="75" spans="2:23">
      <c r="B75" s="116">
        <f>Amnt_Deposited!B70</f>
        <v>2056</v>
      </c>
      <c r="C75" s="119">
        <f>Amnt_Deposited!N70</f>
        <v>0</v>
      </c>
      <c r="D75" s="453">
        <f>Dry_Matter_Content!N62</f>
        <v>0</v>
      </c>
      <c r="E75" s="319">
        <f>MCF!R74</f>
        <v>0.8</v>
      </c>
      <c r="F75" s="87">
        <f t="shared" si="0"/>
        <v>0</v>
      </c>
      <c r="G75" s="87">
        <f t="shared" si="1"/>
        <v>0</v>
      </c>
      <c r="H75" s="87">
        <f t="shared" si="2"/>
        <v>0</v>
      </c>
      <c r="I75" s="87">
        <f t="shared" si="3"/>
        <v>0</v>
      </c>
      <c r="J75" s="87">
        <f t="shared" si="4"/>
        <v>0</v>
      </c>
      <c r="K75" s="120">
        <f t="shared" si="6"/>
        <v>0</v>
      </c>
      <c r="O75" s="116">
        <f>Amnt_Deposited!B70</f>
        <v>2056</v>
      </c>
      <c r="P75" s="119">
        <f>Amnt_Deposited!N70</f>
        <v>0</v>
      </c>
      <c r="Q75" s="319">
        <f>MCF!R74</f>
        <v>0.8</v>
      </c>
      <c r="R75" s="87">
        <f t="shared" si="5"/>
        <v>0</v>
      </c>
      <c r="S75" s="87">
        <f t="shared" si="7"/>
        <v>0</v>
      </c>
      <c r="T75" s="87">
        <f t="shared" si="8"/>
        <v>0</v>
      </c>
      <c r="U75" s="87">
        <f t="shared" si="9"/>
        <v>0</v>
      </c>
      <c r="V75" s="87">
        <f t="shared" si="10"/>
        <v>0</v>
      </c>
      <c r="W75" s="120">
        <f t="shared" si="11"/>
        <v>0</v>
      </c>
    </row>
    <row r="76" spans="2:23">
      <c r="B76" s="116">
        <f>Amnt_Deposited!B71</f>
        <v>2057</v>
      </c>
      <c r="C76" s="119">
        <f>Amnt_Deposited!N71</f>
        <v>0</v>
      </c>
      <c r="D76" s="453">
        <f>Dry_Matter_Content!N63</f>
        <v>0</v>
      </c>
      <c r="E76" s="319">
        <f>MCF!R75</f>
        <v>0.8</v>
      </c>
      <c r="F76" s="87">
        <f t="shared" si="0"/>
        <v>0</v>
      </c>
      <c r="G76" s="87">
        <f t="shared" si="1"/>
        <v>0</v>
      </c>
      <c r="H76" s="87">
        <f t="shared" si="2"/>
        <v>0</v>
      </c>
      <c r="I76" s="87">
        <f t="shared" si="3"/>
        <v>0</v>
      </c>
      <c r="J76" s="87">
        <f t="shared" si="4"/>
        <v>0</v>
      </c>
      <c r="K76" s="120">
        <f t="shared" si="6"/>
        <v>0</v>
      </c>
      <c r="O76" s="116">
        <f>Amnt_Deposited!B71</f>
        <v>2057</v>
      </c>
      <c r="P76" s="119">
        <f>Amnt_Deposited!N71</f>
        <v>0</v>
      </c>
      <c r="Q76" s="319">
        <f>MCF!R75</f>
        <v>0.8</v>
      </c>
      <c r="R76" s="87">
        <f t="shared" si="5"/>
        <v>0</v>
      </c>
      <c r="S76" s="87">
        <f t="shared" si="7"/>
        <v>0</v>
      </c>
      <c r="T76" s="87">
        <f t="shared" si="8"/>
        <v>0</v>
      </c>
      <c r="U76" s="87">
        <f t="shared" si="9"/>
        <v>0</v>
      </c>
      <c r="V76" s="87">
        <f t="shared" si="10"/>
        <v>0</v>
      </c>
      <c r="W76" s="120">
        <f t="shared" si="11"/>
        <v>0</v>
      </c>
    </row>
    <row r="77" spans="2:23">
      <c r="B77" s="116">
        <f>Amnt_Deposited!B72</f>
        <v>2058</v>
      </c>
      <c r="C77" s="119">
        <f>Amnt_Deposited!N72</f>
        <v>0</v>
      </c>
      <c r="D77" s="453">
        <f>Dry_Matter_Content!N64</f>
        <v>0</v>
      </c>
      <c r="E77" s="319">
        <f>MCF!R76</f>
        <v>0.8</v>
      </c>
      <c r="F77" s="87">
        <f t="shared" si="0"/>
        <v>0</v>
      </c>
      <c r="G77" s="87">
        <f t="shared" si="1"/>
        <v>0</v>
      </c>
      <c r="H77" s="87">
        <f t="shared" si="2"/>
        <v>0</v>
      </c>
      <c r="I77" s="87">
        <f t="shared" si="3"/>
        <v>0</v>
      </c>
      <c r="J77" s="87">
        <f t="shared" si="4"/>
        <v>0</v>
      </c>
      <c r="K77" s="120">
        <f t="shared" si="6"/>
        <v>0</v>
      </c>
      <c r="O77" s="116">
        <f>Amnt_Deposited!B72</f>
        <v>2058</v>
      </c>
      <c r="P77" s="119">
        <f>Amnt_Deposited!N72</f>
        <v>0</v>
      </c>
      <c r="Q77" s="319">
        <f>MCF!R76</f>
        <v>0.8</v>
      </c>
      <c r="R77" s="87">
        <f t="shared" si="5"/>
        <v>0</v>
      </c>
      <c r="S77" s="87">
        <f t="shared" si="7"/>
        <v>0</v>
      </c>
      <c r="T77" s="87">
        <f t="shared" si="8"/>
        <v>0</v>
      </c>
      <c r="U77" s="87">
        <f t="shared" si="9"/>
        <v>0</v>
      </c>
      <c r="V77" s="87">
        <f t="shared" si="10"/>
        <v>0</v>
      </c>
      <c r="W77" s="120">
        <f t="shared" si="11"/>
        <v>0</v>
      </c>
    </row>
    <row r="78" spans="2:23">
      <c r="B78" s="116">
        <f>Amnt_Deposited!B73</f>
        <v>2059</v>
      </c>
      <c r="C78" s="119">
        <f>Amnt_Deposited!N73</f>
        <v>0</v>
      </c>
      <c r="D78" s="453">
        <f>Dry_Matter_Content!N65</f>
        <v>0</v>
      </c>
      <c r="E78" s="319">
        <f>MCF!R77</f>
        <v>0.8</v>
      </c>
      <c r="F78" s="87">
        <f t="shared" si="0"/>
        <v>0</v>
      </c>
      <c r="G78" s="87">
        <f t="shared" si="1"/>
        <v>0</v>
      </c>
      <c r="H78" s="87">
        <f t="shared" si="2"/>
        <v>0</v>
      </c>
      <c r="I78" s="87">
        <f t="shared" si="3"/>
        <v>0</v>
      </c>
      <c r="J78" s="87">
        <f t="shared" si="4"/>
        <v>0</v>
      </c>
      <c r="K78" s="120">
        <f t="shared" si="6"/>
        <v>0</v>
      </c>
      <c r="O78" s="116">
        <f>Amnt_Deposited!B73</f>
        <v>2059</v>
      </c>
      <c r="P78" s="119">
        <f>Amnt_Deposited!N73</f>
        <v>0</v>
      </c>
      <c r="Q78" s="319">
        <f>MCF!R77</f>
        <v>0.8</v>
      </c>
      <c r="R78" s="87">
        <f t="shared" si="5"/>
        <v>0</v>
      </c>
      <c r="S78" s="87">
        <f t="shared" si="7"/>
        <v>0</v>
      </c>
      <c r="T78" s="87">
        <f t="shared" si="8"/>
        <v>0</v>
      </c>
      <c r="U78" s="87">
        <f t="shared" si="9"/>
        <v>0</v>
      </c>
      <c r="V78" s="87">
        <f t="shared" si="10"/>
        <v>0</v>
      </c>
      <c r="W78" s="120">
        <f t="shared" si="11"/>
        <v>0</v>
      </c>
    </row>
    <row r="79" spans="2:23">
      <c r="B79" s="116">
        <f>Amnt_Deposited!B74</f>
        <v>2060</v>
      </c>
      <c r="C79" s="119">
        <f>Amnt_Deposited!N74</f>
        <v>0</v>
      </c>
      <c r="D79" s="453">
        <f>Dry_Matter_Content!N66</f>
        <v>0</v>
      </c>
      <c r="E79" s="319">
        <f>MCF!R78</f>
        <v>0.8</v>
      </c>
      <c r="F79" s="87">
        <f t="shared" si="0"/>
        <v>0</v>
      </c>
      <c r="G79" s="87">
        <f t="shared" si="1"/>
        <v>0</v>
      </c>
      <c r="H79" s="87">
        <f t="shared" si="2"/>
        <v>0</v>
      </c>
      <c r="I79" s="87">
        <f t="shared" si="3"/>
        <v>0</v>
      </c>
      <c r="J79" s="87">
        <f t="shared" si="4"/>
        <v>0</v>
      </c>
      <c r="K79" s="120">
        <f t="shared" si="6"/>
        <v>0</v>
      </c>
      <c r="O79" s="116">
        <f>Amnt_Deposited!B74</f>
        <v>2060</v>
      </c>
      <c r="P79" s="119">
        <f>Amnt_Deposited!N74</f>
        <v>0</v>
      </c>
      <c r="Q79" s="319">
        <f>MCF!R78</f>
        <v>0.8</v>
      </c>
      <c r="R79" s="87">
        <f t="shared" si="5"/>
        <v>0</v>
      </c>
      <c r="S79" s="87">
        <f t="shared" si="7"/>
        <v>0</v>
      </c>
      <c r="T79" s="87">
        <f t="shared" si="8"/>
        <v>0</v>
      </c>
      <c r="U79" s="87">
        <f t="shared" si="9"/>
        <v>0</v>
      </c>
      <c r="V79" s="87">
        <f t="shared" si="10"/>
        <v>0</v>
      </c>
      <c r="W79" s="120">
        <f t="shared" si="11"/>
        <v>0</v>
      </c>
    </row>
    <row r="80" spans="2:23">
      <c r="B80" s="116">
        <f>Amnt_Deposited!B75</f>
        <v>2061</v>
      </c>
      <c r="C80" s="119">
        <f>Amnt_Deposited!N75</f>
        <v>0</v>
      </c>
      <c r="D80" s="453">
        <f>Dry_Matter_Content!N67</f>
        <v>0</v>
      </c>
      <c r="E80" s="319">
        <f>MCF!R79</f>
        <v>0.8</v>
      </c>
      <c r="F80" s="87">
        <f t="shared" si="0"/>
        <v>0</v>
      </c>
      <c r="G80" s="87">
        <f t="shared" si="1"/>
        <v>0</v>
      </c>
      <c r="H80" s="87">
        <f t="shared" si="2"/>
        <v>0</v>
      </c>
      <c r="I80" s="87">
        <f t="shared" si="3"/>
        <v>0</v>
      </c>
      <c r="J80" s="87">
        <f t="shared" si="4"/>
        <v>0</v>
      </c>
      <c r="K80" s="120">
        <f t="shared" si="6"/>
        <v>0</v>
      </c>
      <c r="O80" s="116">
        <f>Amnt_Deposited!B75</f>
        <v>2061</v>
      </c>
      <c r="P80" s="119">
        <f>Amnt_Deposited!N75</f>
        <v>0</v>
      </c>
      <c r="Q80" s="319">
        <f>MCF!R79</f>
        <v>0.8</v>
      </c>
      <c r="R80" s="87">
        <f t="shared" si="5"/>
        <v>0</v>
      </c>
      <c r="S80" s="87">
        <f t="shared" si="7"/>
        <v>0</v>
      </c>
      <c r="T80" s="87">
        <f t="shared" si="8"/>
        <v>0</v>
      </c>
      <c r="U80" s="87">
        <f t="shared" si="9"/>
        <v>0</v>
      </c>
      <c r="V80" s="87">
        <f t="shared" si="10"/>
        <v>0</v>
      </c>
      <c r="W80" s="120">
        <f t="shared" si="11"/>
        <v>0</v>
      </c>
    </row>
    <row r="81" spans="2:23">
      <c r="B81" s="116">
        <f>Amnt_Deposited!B76</f>
        <v>2062</v>
      </c>
      <c r="C81" s="119">
        <f>Amnt_Deposited!N76</f>
        <v>0</v>
      </c>
      <c r="D81" s="453">
        <f>Dry_Matter_Content!N68</f>
        <v>0</v>
      </c>
      <c r="E81" s="319">
        <f>MCF!R80</f>
        <v>0.8</v>
      </c>
      <c r="F81" s="87">
        <f t="shared" si="0"/>
        <v>0</v>
      </c>
      <c r="G81" s="87">
        <f t="shared" si="1"/>
        <v>0</v>
      </c>
      <c r="H81" s="87">
        <f t="shared" si="2"/>
        <v>0</v>
      </c>
      <c r="I81" s="87">
        <f t="shared" si="3"/>
        <v>0</v>
      </c>
      <c r="J81" s="87">
        <f t="shared" si="4"/>
        <v>0</v>
      </c>
      <c r="K81" s="120">
        <f t="shared" si="6"/>
        <v>0</v>
      </c>
      <c r="O81" s="116">
        <f>Amnt_Deposited!B76</f>
        <v>2062</v>
      </c>
      <c r="P81" s="119">
        <f>Amnt_Deposited!N76</f>
        <v>0</v>
      </c>
      <c r="Q81" s="319">
        <f>MCF!R80</f>
        <v>0.8</v>
      </c>
      <c r="R81" s="87">
        <f t="shared" si="5"/>
        <v>0</v>
      </c>
      <c r="S81" s="87">
        <f t="shared" si="7"/>
        <v>0</v>
      </c>
      <c r="T81" s="87">
        <f t="shared" si="8"/>
        <v>0</v>
      </c>
      <c r="U81" s="87">
        <f t="shared" si="9"/>
        <v>0</v>
      </c>
      <c r="V81" s="87">
        <f t="shared" si="10"/>
        <v>0</v>
      </c>
      <c r="W81" s="120">
        <f t="shared" si="11"/>
        <v>0</v>
      </c>
    </row>
    <row r="82" spans="2:23">
      <c r="B82" s="116">
        <f>Amnt_Deposited!B77</f>
        <v>2063</v>
      </c>
      <c r="C82" s="119">
        <f>Amnt_Deposited!N77</f>
        <v>0</v>
      </c>
      <c r="D82" s="453">
        <f>Dry_Matter_Content!N69</f>
        <v>0</v>
      </c>
      <c r="E82" s="319">
        <f>MCF!R81</f>
        <v>0.8</v>
      </c>
      <c r="F82" s="87">
        <f t="shared" si="0"/>
        <v>0</v>
      </c>
      <c r="G82" s="87">
        <f t="shared" si="1"/>
        <v>0</v>
      </c>
      <c r="H82" s="87">
        <f t="shared" si="2"/>
        <v>0</v>
      </c>
      <c r="I82" s="87">
        <f t="shared" si="3"/>
        <v>0</v>
      </c>
      <c r="J82" s="87">
        <f t="shared" si="4"/>
        <v>0</v>
      </c>
      <c r="K82" s="120">
        <f t="shared" si="6"/>
        <v>0</v>
      </c>
      <c r="O82" s="116">
        <f>Amnt_Deposited!B77</f>
        <v>2063</v>
      </c>
      <c r="P82" s="119">
        <f>Amnt_Deposited!N77</f>
        <v>0</v>
      </c>
      <c r="Q82" s="319">
        <f>MCF!R81</f>
        <v>0.8</v>
      </c>
      <c r="R82" s="87">
        <f t="shared" si="5"/>
        <v>0</v>
      </c>
      <c r="S82" s="87">
        <f t="shared" si="7"/>
        <v>0</v>
      </c>
      <c r="T82" s="87">
        <f t="shared" si="8"/>
        <v>0</v>
      </c>
      <c r="U82" s="87">
        <f t="shared" si="9"/>
        <v>0</v>
      </c>
      <c r="V82" s="87">
        <f t="shared" si="10"/>
        <v>0</v>
      </c>
      <c r="W82" s="120">
        <f t="shared" si="11"/>
        <v>0</v>
      </c>
    </row>
    <row r="83" spans="2:23">
      <c r="B83" s="116">
        <f>Amnt_Deposited!B78</f>
        <v>2064</v>
      </c>
      <c r="C83" s="119">
        <f>Amnt_Deposited!N78</f>
        <v>0</v>
      </c>
      <c r="D83" s="453">
        <f>Dry_Matter_Content!N70</f>
        <v>0</v>
      </c>
      <c r="E83" s="319">
        <f>MCF!R82</f>
        <v>0.8</v>
      </c>
      <c r="F83" s="87">
        <f t="shared" ref="F83:F99" si="12">C83*D83*$K$6*DOCF*E83</f>
        <v>0</v>
      </c>
      <c r="G83" s="87">
        <f t="shared" ref="G83:G99" si="13">F83*$K$12</f>
        <v>0</v>
      </c>
      <c r="H83" s="87">
        <f t="shared" ref="H83:H99" si="14">F83*(1-$K$12)</f>
        <v>0</v>
      </c>
      <c r="I83" s="87">
        <f t="shared" ref="I83:I99" si="15">G83+I82*$K$10</f>
        <v>0</v>
      </c>
      <c r="J83" s="87">
        <f t="shared" ref="J83:J99" si="16">I82*(1-$K$10)+H83</f>
        <v>0</v>
      </c>
      <c r="K83" s="120">
        <f t="shared" si="6"/>
        <v>0</v>
      </c>
      <c r="O83" s="116">
        <f>Amnt_Deposited!B78</f>
        <v>2064</v>
      </c>
      <c r="P83" s="119">
        <f>Amnt_Deposited!N78</f>
        <v>0</v>
      </c>
      <c r="Q83" s="319">
        <f>MCF!R82</f>
        <v>0.8</v>
      </c>
      <c r="R83" s="87">
        <f t="shared" ref="R83:R99" si="17">P83*$W$6*DOCF*Q83</f>
        <v>0</v>
      </c>
      <c r="S83" s="87">
        <f t="shared" si="7"/>
        <v>0</v>
      </c>
      <c r="T83" s="87">
        <f t="shared" si="8"/>
        <v>0</v>
      </c>
      <c r="U83" s="87">
        <f t="shared" si="9"/>
        <v>0</v>
      </c>
      <c r="V83" s="87">
        <f t="shared" si="10"/>
        <v>0</v>
      </c>
      <c r="W83" s="120">
        <f t="shared" si="11"/>
        <v>0</v>
      </c>
    </row>
    <row r="84" spans="2:23">
      <c r="B84" s="116">
        <f>Amnt_Deposited!B79</f>
        <v>2065</v>
      </c>
      <c r="C84" s="119">
        <f>Amnt_Deposited!N79</f>
        <v>0</v>
      </c>
      <c r="D84" s="453">
        <f>Dry_Matter_Content!N71</f>
        <v>0</v>
      </c>
      <c r="E84" s="319">
        <f>MCF!R83</f>
        <v>0.8</v>
      </c>
      <c r="F84" s="87">
        <f t="shared" si="12"/>
        <v>0</v>
      </c>
      <c r="G84" s="87">
        <f t="shared" si="13"/>
        <v>0</v>
      </c>
      <c r="H84" s="87">
        <f t="shared" si="14"/>
        <v>0</v>
      </c>
      <c r="I84" s="87">
        <f t="shared" si="15"/>
        <v>0</v>
      </c>
      <c r="J84" s="87">
        <f t="shared" si="16"/>
        <v>0</v>
      </c>
      <c r="K84" s="120">
        <f t="shared" si="6"/>
        <v>0</v>
      </c>
      <c r="O84" s="116">
        <f>Amnt_Deposited!B79</f>
        <v>2065</v>
      </c>
      <c r="P84" s="119">
        <f>Amnt_Deposited!N79</f>
        <v>0</v>
      </c>
      <c r="Q84" s="319">
        <f>MCF!R83</f>
        <v>0.8</v>
      </c>
      <c r="R84" s="87">
        <f t="shared" si="17"/>
        <v>0</v>
      </c>
      <c r="S84" s="87">
        <f t="shared" si="7"/>
        <v>0</v>
      </c>
      <c r="T84" s="87">
        <f t="shared" si="8"/>
        <v>0</v>
      </c>
      <c r="U84" s="87">
        <f t="shared" si="9"/>
        <v>0</v>
      </c>
      <c r="V84" s="87">
        <f t="shared" si="10"/>
        <v>0</v>
      </c>
      <c r="W84" s="120">
        <f t="shared" si="11"/>
        <v>0</v>
      </c>
    </row>
    <row r="85" spans="2:23">
      <c r="B85" s="116">
        <f>Amnt_Deposited!B80</f>
        <v>2066</v>
      </c>
      <c r="C85" s="119">
        <f>Amnt_Deposited!N80</f>
        <v>0</v>
      </c>
      <c r="D85" s="453">
        <f>Dry_Matter_Content!N72</f>
        <v>0</v>
      </c>
      <c r="E85" s="319">
        <f>MCF!R84</f>
        <v>0.8</v>
      </c>
      <c r="F85" s="87">
        <f t="shared" si="12"/>
        <v>0</v>
      </c>
      <c r="G85" s="87">
        <f t="shared" si="13"/>
        <v>0</v>
      </c>
      <c r="H85" s="87">
        <f t="shared" si="14"/>
        <v>0</v>
      </c>
      <c r="I85" s="87">
        <f t="shared" si="15"/>
        <v>0</v>
      </c>
      <c r="J85" s="87">
        <f t="shared" si="16"/>
        <v>0</v>
      </c>
      <c r="K85" s="120">
        <f t="shared" ref="K85:K99" si="18">J85*CH4_fraction*conv</f>
        <v>0</v>
      </c>
      <c r="O85" s="116">
        <f>Amnt_Deposited!B80</f>
        <v>2066</v>
      </c>
      <c r="P85" s="119">
        <f>Amnt_Deposited!N80</f>
        <v>0</v>
      </c>
      <c r="Q85" s="319">
        <f>MCF!R84</f>
        <v>0.8</v>
      </c>
      <c r="R85" s="87">
        <f t="shared" si="17"/>
        <v>0</v>
      </c>
      <c r="S85" s="87">
        <f t="shared" ref="S85:S98" si="19">R85*$W$12</f>
        <v>0</v>
      </c>
      <c r="T85" s="87">
        <f t="shared" ref="T85:T98" si="20">R85*(1-$W$12)</f>
        <v>0</v>
      </c>
      <c r="U85" s="87">
        <f t="shared" ref="U85:U98" si="21">S85+U84*$W$10</f>
        <v>0</v>
      </c>
      <c r="V85" s="87">
        <f t="shared" ref="V85:V98" si="22">U84*(1-$W$10)+T85</f>
        <v>0</v>
      </c>
      <c r="W85" s="120">
        <f t="shared" ref="W85:W99" si="23">V85*CH4_fraction*conv</f>
        <v>0</v>
      </c>
    </row>
    <row r="86" spans="2:23">
      <c r="B86" s="116">
        <f>Amnt_Deposited!B81</f>
        <v>2067</v>
      </c>
      <c r="C86" s="119">
        <f>Amnt_Deposited!N81</f>
        <v>0</v>
      </c>
      <c r="D86" s="453">
        <f>Dry_Matter_Content!N73</f>
        <v>0</v>
      </c>
      <c r="E86" s="319">
        <f>MCF!R85</f>
        <v>0.8</v>
      </c>
      <c r="F86" s="87">
        <f t="shared" si="12"/>
        <v>0</v>
      </c>
      <c r="G86" s="87">
        <f t="shared" si="13"/>
        <v>0</v>
      </c>
      <c r="H86" s="87">
        <f t="shared" si="14"/>
        <v>0</v>
      </c>
      <c r="I86" s="87">
        <f t="shared" si="15"/>
        <v>0</v>
      </c>
      <c r="J86" s="87">
        <f t="shared" si="16"/>
        <v>0</v>
      </c>
      <c r="K86" s="120">
        <f t="shared" si="18"/>
        <v>0</v>
      </c>
      <c r="O86" s="116">
        <f>Amnt_Deposited!B81</f>
        <v>2067</v>
      </c>
      <c r="P86" s="119">
        <f>Amnt_Deposited!N81</f>
        <v>0</v>
      </c>
      <c r="Q86" s="319">
        <f>MCF!R85</f>
        <v>0.8</v>
      </c>
      <c r="R86" s="87">
        <f t="shared" si="17"/>
        <v>0</v>
      </c>
      <c r="S86" s="87">
        <f t="shared" si="19"/>
        <v>0</v>
      </c>
      <c r="T86" s="87">
        <f t="shared" si="20"/>
        <v>0</v>
      </c>
      <c r="U86" s="87">
        <f t="shared" si="21"/>
        <v>0</v>
      </c>
      <c r="V86" s="87">
        <f t="shared" si="22"/>
        <v>0</v>
      </c>
      <c r="W86" s="120">
        <f t="shared" si="23"/>
        <v>0</v>
      </c>
    </row>
    <row r="87" spans="2:23">
      <c r="B87" s="116">
        <f>Amnt_Deposited!B82</f>
        <v>2068</v>
      </c>
      <c r="C87" s="119">
        <f>Amnt_Deposited!N82</f>
        <v>0</v>
      </c>
      <c r="D87" s="453">
        <f>Dry_Matter_Content!N74</f>
        <v>0</v>
      </c>
      <c r="E87" s="319">
        <f>MCF!R86</f>
        <v>0.8</v>
      </c>
      <c r="F87" s="87">
        <f t="shared" si="12"/>
        <v>0</v>
      </c>
      <c r="G87" s="87">
        <f t="shared" si="13"/>
        <v>0</v>
      </c>
      <c r="H87" s="87">
        <f t="shared" si="14"/>
        <v>0</v>
      </c>
      <c r="I87" s="87">
        <f t="shared" si="15"/>
        <v>0</v>
      </c>
      <c r="J87" s="87">
        <f t="shared" si="16"/>
        <v>0</v>
      </c>
      <c r="K87" s="120">
        <f t="shared" si="18"/>
        <v>0</v>
      </c>
      <c r="O87" s="116">
        <f>Amnt_Deposited!B82</f>
        <v>2068</v>
      </c>
      <c r="P87" s="119">
        <f>Amnt_Deposited!N82</f>
        <v>0</v>
      </c>
      <c r="Q87" s="319">
        <f>MCF!R86</f>
        <v>0.8</v>
      </c>
      <c r="R87" s="87">
        <f t="shared" si="17"/>
        <v>0</v>
      </c>
      <c r="S87" s="87">
        <f t="shared" si="19"/>
        <v>0</v>
      </c>
      <c r="T87" s="87">
        <f t="shared" si="20"/>
        <v>0</v>
      </c>
      <c r="U87" s="87">
        <f t="shared" si="21"/>
        <v>0</v>
      </c>
      <c r="V87" s="87">
        <f t="shared" si="22"/>
        <v>0</v>
      </c>
      <c r="W87" s="120">
        <f t="shared" si="23"/>
        <v>0</v>
      </c>
    </row>
    <row r="88" spans="2:23">
      <c r="B88" s="116">
        <f>Amnt_Deposited!B83</f>
        <v>2069</v>
      </c>
      <c r="C88" s="119">
        <f>Amnt_Deposited!N83</f>
        <v>0</v>
      </c>
      <c r="D88" s="453">
        <f>Dry_Matter_Content!N75</f>
        <v>0</v>
      </c>
      <c r="E88" s="319">
        <f>MCF!R87</f>
        <v>0.8</v>
      </c>
      <c r="F88" s="87">
        <f t="shared" si="12"/>
        <v>0</v>
      </c>
      <c r="G88" s="87">
        <f t="shared" si="13"/>
        <v>0</v>
      </c>
      <c r="H88" s="87">
        <f t="shared" si="14"/>
        <v>0</v>
      </c>
      <c r="I88" s="87">
        <f t="shared" si="15"/>
        <v>0</v>
      </c>
      <c r="J88" s="87">
        <f t="shared" si="16"/>
        <v>0</v>
      </c>
      <c r="K88" s="120">
        <f t="shared" si="18"/>
        <v>0</v>
      </c>
      <c r="O88" s="116">
        <f>Amnt_Deposited!B83</f>
        <v>2069</v>
      </c>
      <c r="P88" s="119">
        <f>Amnt_Deposited!N83</f>
        <v>0</v>
      </c>
      <c r="Q88" s="319">
        <f>MCF!R87</f>
        <v>0.8</v>
      </c>
      <c r="R88" s="87">
        <f t="shared" si="17"/>
        <v>0</v>
      </c>
      <c r="S88" s="87">
        <f t="shared" si="19"/>
        <v>0</v>
      </c>
      <c r="T88" s="87">
        <f t="shared" si="20"/>
        <v>0</v>
      </c>
      <c r="U88" s="87">
        <f t="shared" si="21"/>
        <v>0</v>
      </c>
      <c r="V88" s="87">
        <f t="shared" si="22"/>
        <v>0</v>
      </c>
      <c r="W88" s="120">
        <f t="shared" si="23"/>
        <v>0</v>
      </c>
    </row>
    <row r="89" spans="2:23">
      <c r="B89" s="116">
        <f>Amnt_Deposited!B84</f>
        <v>2070</v>
      </c>
      <c r="C89" s="119">
        <f>Amnt_Deposited!N84</f>
        <v>0</v>
      </c>
      <c r="D89" s="453">
        <f>Dry_Matter_Content!N76</f>
        <v>0</v>
      </c>
      <c r="E89" s="319">
        <f>MCF!R88</f>
        <v>0.8</v>
      </c>
      <c r="F89" s="87">
        <f t="shared" si="12"/>
        <v>0</v>
      </c>
      <c r="G89" s="87">
        <f t="shared" si="13"/>
        <v>0</v>
      </c>
      <c r="H89" s="87">
        <f t="shared" si="14"/>
        <v>0</v>
      </c>
      <c r="I89" s="87">
        <f t="shared" si="15"/>
        <v>0</v>
      </c>
      <c r="J89" s="87">
        <f t="shared" si="16"/>
        <v>0</v>
      </c>
      <c r="K89" s="120">
        <f t="shared" si="18"/>
        <v>0</v>
      </c>
      <c r="O89" s="116">
        <f>Amnt_Deposited!B84</f>
        <v>2070</v>
      </c>
      <c r="P89" s="119">
        <f>Amnt_Deposited!N84</f>
        <v>0</v>
      </c>
      <c r="Q89" s="319">
        <f>MCF!R88</f>
        <v>0.8</v>
      </c>
      <c r="R89" s="87">
        <f t="shared" si="17"/>
        <v>0</v>
      </c>
      <c r="S89" s="87">
        <f t="shared" si="19"/>
        <v>0</v>
      </c>
      <c r="T89" s="87">
        <f t="shared" si="20"/>
        <v>0</v>
      </c>
      <c r="U89" s="87">
        <f t="shared" si="21"/>
        <v>0</v>
      </c>
      <c r="V89" s="87">
        <f t="shared" si="22"/>
        <v>0</v>
      </c>
      <c r="W89" s="120">
        <f t="shared" si="23"/>
        <v>0</v>
      </c>
    </row>
    <row r="90" spans="2:23">
      <c r="B90" s="116">
        <f>Amnt_Deposited!B85</f>
        <v>2071</v>
      </c>
      <c r="C90" s="119">
        <f>Amnt_Deposited!N85</f>
        <v>0</v>
      </c>
      <c r="D90" s="453">
        <f>Dry_Matter_Content!N77</f>
        <v>0</v>
      </c>
      <c r="E90" s="319">
        <f>MCF!R89</f>
        <v>0.8</v>
      </c>
      <c r="F90" s="87">
        <f t="shared" si="12"/>
        <v>0</v>
      </c>
      <c r="G90" s="87">
        <f t="shared" si="13"/>
        <v>0</v>
      </c>
      <c r="H90" s="87">
        <f t="shared" si="14"/>
        <v>0</v>
      </c>
      <c r="I90" s="87">
        <f t="shared" si="15"/>
        <v>0</v>
      </c>
      <c r="J90" s="87">
        <f t="shared" si="16"/>
        <v>0</v>
      </c>
      <c r="K90" s="120">
        <f t="shared" si="18"/>
        <v>0</v>
      </c>
      <c r="O90" s="116">
        <f>Amnt_Deposited!B85</f>
        <v>2071</v>
      </c>
      <c r="P90" s="119">
        <f>Amnt_Deposited!N85</f>
        <v>0</v>
      </c>
      <c r="Q90" s="319">
        <f>MCF!R89</f>
        <v>0.8</v>
      </c>
      <c r="R90" s="87">
        <f t="shared" si="17"/>
        <v>0</v>
      </c>
      <c r="S90" s="87">
        <f t="shared" si="19"/>
        <v>0</v>
      </c>
      <c r="T90" s="87">
        <f t="shared" si="20"/>
        <v>0</v>
      </c>
      <c r="U90" s="87">
        <f t="shared" si="21"/>
        <v>0</v>
      </c>
      <c r="V90" s="87">
        <f t="shared" si="22"/>
        <v>0</v>
      </c>
      <c r="W90" s="120">
        <f t="shared" si="23"/>
        <v>0</v>
      </c>
    </row>
    <row r="91" spans="2:23">
      <c r="B91" s="116">
        <f>Amnt_Deposited!B86</f>
        <v>2072</v>
      </c>
      <c r="C91" s="119">
        <f>Amnt_Deposited!N86</f>
        <v>0</v>
      </c>
      <c r="D91" s="453">
        <f>Dry_Matter_Content!N78</f>
        <v>0</v>
      </c>
      <c r="E91" s="319">
        <f>MCF!R90</f>
        <v>0.8</v>
      </c>
      <c r="F91" s="87">
        <f t="shared" si="12"/>
        <v>0</v>
      </c>
      <c r="G91" s="87">
        <f t="shared" si="13"/>
        <v>0</v>
      </c>
      <c r="H91" s="87">
        <f t="shared" si="14"/>
        <v>0</v>
      </c>
      <c r="I91" s="87">
        <f t="shared" si="15"/>
        <v>0</v>
      </c>
      <c r="J91" s="87">
        <f t="shared" si="16"/>
        <v>0</v>
      </c>
      <c r="K91" s="120">
        <f t="shared" si="18"/>
        <v>0</v>
      </c>
      <c r="O91" s="116">
        <f>Amnt_Deposited!B86</f>
        <v>2072</v>
      </c>
      <c r="P91" s="119">
        <f>Amnt_Deposited!N86</f>
        <v>0</v>
      </c>
      <c r="Q91" s="319">
        <f>MCF!R90</f>
        <v>0.8</v>
      </c>
      <c r="R91" s="87">
        <f t="shared" si="17"/>
        <v>0</v>
      </c>
      <c r="S91" s="87">
        <f t="shared" si="19"/>
        <v>0</v>
      </c>
      <c r="T91" s="87">
        <f t="shared" si="20"/>
        <v>0</v>
      </c>
      <c r="U91" s="87">
        <f t="shared" si="21"/>
        <v>0</v>
      </c>
      <c r="V91" s="87">
        <f t="shared" si="22"/>
        <v>0</v>
      </c>
      <c r="W91" s="120">
        <f t="shared" si="23"/>
        <v>0</v>
      </c>
    </row>
    <row r="92" spans="2:23">
      <c r="B92" s="116">
        <f>Amnt_Deposited!B87</f>
        <v>2073</v>
      </c>
      <c r="C92" s="119">
        <f>Amnt_Deposited!N87</f>
        <v>0</v>
      </c>
      <c r="D92" s="453">
        <f>Dry_Matter_Content!N79</f>
        <v>0</v>
      </c>
      <c r="E92" s="319">
        <f>MCF!R91</f>
        <v>0.8</v>
      </c>
      <c r="F92" s="87">
        <f t="shared" si="12"/>
        <v>0</v>
      </c>
      <c r="G92" s="87">
        <f t="shared" si="13"/>
        <v>0</v>
      </c>
      <c r="H92" s="87">
        <f t="shared" si="14"/>
        <v>0</v>
      </c>
      <c r="I92" s="87">
        <f t="shared" si="15"/>
        <v>0</v>
      </c>
      <c r="J92" s="87">
        <f t="shared" si="16"/>
        <v>0</v>
      </c>
      <c r="K92" s="120">
        <f t="shared" si="18"/>
        <v>0</v>
      </c>
      <c r="O92" s="116">
        <f>Amnt_Deposited!B87</f>
        <v>2073</v>
      </c>
      <c r="P92" s="119">
        <f>Amnt_Deposited!N87</f>
        <v>0</v>
      </c>
      <c r="Q92" s="319">
        <f>MCF!R91</f>
        <v>0.8</v>
      </c>
      <c r="R92" s="87">
        <f t="shared" si="17"/>
        <v>0</v>
      </c>
      <c r="S92" s="87">
        <f t="shared" si="19"/>
        <v>0</v>
      </c>
      <c r="T92" s="87">
        <f t="shared" si="20"/>
        <v>0</v>
      </c>
      <c r="U92" s="87">
        <f t="shared" si="21"/>
        <v>0</v>
      </c>
      <c r="V92" s="87">
        <f t="shared" si="22"/>
        <v>0</v>
      </c>
      <c r="W92" s="120">
        <f t="shared" si="23"/>
        <v>0</v>
      </c>
    </row>
    <row r="93" spans="2:23">
      <c r="B93" s="116">
        <f>Amnt_Deposited!B88</f>
        <v>2074</v>
      </c>
      <c r="C93" s="119">
        <f>Amnt_Deposited!N88</f>
        <v>0</v>
      </c>
      <c r="D93" s="453">
        <f>Dry_Matter_Content!N80</f>
        <v>0</v>
      </c>
      <c r="E93" s="319">
        <f>MCF!R92</f>
        <v>0.8</v>
      </c>
      <c r="F93" s="87">
        <f t="shared" si="12"/>
        <v>0</v>
      </c>
      <c r="G93" s="87">
        <f t="shared" si="13"/>
        <v>0</v>
      </c>
      <c r="H93" s="87">
        <f t="shared" si="14"/>
        <v>0</v>
      </c>
      <c r="I93" s="87">
        <f t="shared" si="15"/>
        <v>0</v>
      </c>
      <c r="J93" s="87">
        <f t="shared" si="16"/>
        <v>0</v>
      </c>
      <c r="K93" s="120">
        <f t="shared" si="18"/>
        <v>0</v>
      </c>
      <c r="O93" s="116">
        <f>Amnt_Deposited!B88</f>
        <v>2074</v>
      </c>
      <c r="P93" s="119">
        <f>Amnt_Deposited!N88</f>
        <v>0</v>
      </c>
      <c r="Q93" s="319">
        <f>MCF!R92</f>
        <v>0.8</v>
      </c>
      <c r="R93" s="87">
        <f t="shared" si="17"/>
        <v>0</v>
      </c>
      <c r="S93" s="87">
        <f t="shared" si="19"/>
        <v>0</v>
      </c>
      <c r="T93" s="87">
        <f t="shared" si="20"/>
        <v>0</v>
      </c>
      <c r="U93" s="87">
        <f t="shared" si="21"/>
        <v>0</v>
      </c>
      <c r="V93" s="87">
        <f t="shared" si="22"/>
        <v>0</v>
      </c>
      <c r="W93" s="120">
        <f t="shared" si="23"/>
        <v>0</v>
      </c>
    </row>
    <row r="94" spans="2:23">
      <c r="B94" s="116">
        <f>Amnt_Deposited!B89</f>
        <v>2075</v>
      </c>
      <c r="C94" s="119">
        <f>Amnt_Deposited!N89</f>
        <v>0</v>
      </c>
      <c r="D94" s="453">
        <f>Dry_Matter_Content!N81</f>
        <v>0</v>
      </c>
      <c r="E94" s="319">
        <f>MCF!R93</f>
        <v>0.8</v>
      </c>
      <c r="F94" s="87">
        <f t="shared" si="12"/>
        <v>0</v>
      </c>
      <c r="G94" s="87">
        <f t="shared" si="13"/>
        <v>0</v>
      </c>
      <c r="H94" s="87">
        <f t="shared" si="14"/>
        <v>0</v>
      </c>
      <c r="I94" s="87">
        <f t="shared" si="15"/>
        <v>0</v>
      </c>
      <c r="J94" s="87">
        <f t="shared" si="16"/>
        <v>0</v>
      </c>
      <c r="K94" s="120">
        <f t="shared" si="18"/>
        <v>0</v>
      </c>
      <c r="O94" s="116">
        <f>Amnt_Deposited!B89</f>
        <v>2075</v>
      </c>
      <c r="P94" s="119">
        <f>Amnt_Deposited!N89</f>
        <v>0</v>
      </c>
      <c r="Q94" s="319">
        <f>MCF!R93</f>
        <v>0.8</v>
      </c>
      <c r="R94" s="87">
        <f t="shared" si="17"/>
        <v>0</v>
      </c>
      <c r="S94" s="87">
        <f t="shared" si="19"/>
        <v>0</v>
      </c>
      <c r="T94" s="87">
        <f t="shared" si="20"/>
        <v>0</v>
      </c>
      <c r="U94" s="87">
        <f t="shared" si="21"/>
        <v>0</v>
      </c>
      <c r="V94" s="87">
        <f t="shared" si="22"/>
        <v>0</v>
      </c>
      <c r="W94" s="120">
        <f t="shared" si="23"/>
        <v>0</v>
      </c>
    </row>
    <row r="95" spans="2:23">
      <c r="B95" s="116">
        <f>Amnt_Deposited!B90</f>
        <v>2076</v>
      </c>
      <c r="C95" s="119">
        <f>Amnt_Deposited!N90</f>
        <v>0</v>
      </c>
      <c r="D95" s="453">
        <f>Dry_Matter_Content!N82</f>
        <v>0</v>
      </c>
      <c r="E95" s="319">
        <f>MCF!R94</f>
        <v>0.8</v>
      </c>
      <c r="F95" s="87">
        <f t="shared" si="12"/>
        <v>0</v>
      </c>
      <c r="G95" s="87">
        <f t="shared" si="13"/>
        <v>0</v>
      </c>
      <c r="H95" s="87">
        <f t="shared" si="14"/>
        <v>0</v>
      </c>
      <c r="I95" s="87">
        <f t="shared" si="15"/>
        <v>0</v>
      </c>
      <c r="J95" s="87">
        <f t="shared" si="16"/>
        <v>0</v>
      </c>
      <c r="K95" s="120">
        <f t="shared" si="18"/>
        <v>0</v>
      </c>
      <c r="O95" s="116">
        <f>Amnt_Deposited!B90</f>
        <v>2076</v>
      </c>
      <c r="P95" s="119">
        <f>Amnt_Deposited!N90</f>
        <v>0</v>
      </c>
      <c r="Q95" s="319">
        <f>MCF!R94</f>
        <v>0.8</v>
      </c>
      <c r="R95" s="87">
        <f t="shared" si="17"/>
        <v>0</v>
      </c>
      <c r="S95" s="87">
        <f t="shared" si="19"/>
        <v>0</v>
      </c>
      <c r="T95" s="87">
        <f t="shared" si="20"/>
        <v>0</v>
      </c>
      <c r="U95" s="87">
        <f t="shared" si="21"/>
        <v>0</v>
      </c>
      <c r="V95" s="87">
        <f t="shared" si="22"/>
        <v>0</v>
      </c>
      <c r="W95" s="120">
        <f t="shared" si="23"/>
        <v>0</v>
      </c>
    </row>
    <row r="96" spans="2:23">
      <c r="B96" s="116">
        <f>Amnt_Deposited!B91</f>
        <v>2077</v>
      </c>
      <c r="C96" s="119">
        <f>Amnt_Deposited!N91</f>
        <v>0</v>
      </c>
      <c r="D96" s="453">
        <f>Dry_Matter_Content!N83</f>
        <v>0</v>
      </c>
      <c r="E96" s="319">
        <f>MCF!R95</f>
        <v>0.8</v>
      </c>
      <c r="F96" s="87">
        <f t="shared" si="12"/>
        <v>0</v>
      </c>
      <c r="G96" s="87">
        <f t="shared" si="13"/>
        <v>0</v>
      </c>
      <c r="H96" s="87">
        <f t="shared" si="14"/>
        <v>0</v>
      </c>
      <c r="I96" s="87">
        <f t="shared" si="15"/>
        <v>0</v>
      </c>
      <c r="J96" s="87">
        <f t="shared" si="16"/>
        <v>0</v>
      </c>
      <c r="K96" s="120">
        <f t="shared" si="18"/>
        <v>0</v>
      </c>
      <c r="O96" s="116">
        <f>Amnt_Deposited!B91</f>
        <v>2077</v>
      </c>
      <c r="P96" s="119">
        <f>Amnt_Deposited!N91</f>
        <v>0</v>
      </c>
      <c r="Q96" s="319">
        <f>MCF!R95</f>
        <v>0.8</v>
      </c>
      <c r="R96" s="87">
        <f t="shared" si="17"/>
        <v>0</v>
      </c>
      <c r="S96" s="87">
        <f t="shared" si="19"/>
        <v>0</v>
      </c>
      <c r="T96" s="87">
        <f t="shared" si="20"/>
        <v>0</v>
      </c>
      <c r="U96" s="87">
        <f t="shared" si="21"/>
        <v>0</v>
      </c>
      <c r="V96" s="87">
        <f t="shared" si="22"/>
        <v>0</v>
      </c>
      <c r="W96" s="120">
        <f t="shared" si="23"/>
        <v>0</v>
      </c>
    </row>
    <row r="97" spans="2:23">
      <c r="B97" s="116">
        <f>Amnt_Deposited!B92</f>
        <v>2078</v>
      </c>
      <c r="C97" s="119">
        <f>Amnt_Deposited!N92</f>
        <v>0</v>
      </c>
      <c r="D97" s="453">
        <f>Dry_Matter_Content!N84</f>
        <v>0</v>
      </c>
      <c r="E97" s="319">
        <f>MCF!R96</f>
        <v>0.8</v>
      </c>
      <c r="F97" s="87">
        <f t="shared" si="12"/>
        <v>0</v>
      </c>
      <c r="G97" s="87">
        <f t="shared" si="13"/>
        <v>0</v>
      </c>
      <c r="H97" s="87">
        <f t="shared" si="14"/>
        <v>0</v>
      </c>
      <c r="I97" s="87">
        <f t="shared" si="15"/>
        <v>0</v>
      </c>
      <c r="J97" s="87">
        <f t="shared" si="16"/>
        <v>0</v>
      </c>
      <c r="K97" s="120">
        <f t="shared" si="18"/>
        <v>0</v>
      </c>
      <c r="O97" s="116">
        <f>Amnt_Deposited!B92</f>
        <v>2078</v>
      </c>
      <c r="P97" s="119">
        <f>Amnt_Deposited!N92</f>
        <v>0</v>
      </c>
      <c r="Q97" s="319">
        <f>MCF!R96</f>
        <v>0.8</v>
      </c>
      <c r="R97" s="87">
        <f t="shared" si="17"/>
        <v>0</v>
      </c>
      <c r="S97" s="87">
        <f t="shared" si="19"/>
        <v>0</v>
      </c>
      <c r="T97" s="87">
        <f t="shared" si="20"/>
        <v>0</v>
      </c>
      <c r="U97" s="87">
        <f t="shared" si="21"/>
        <v>0</v>
      </c>
      <c r="V97" s="87">
        <f t="shared" si="22"/>
        <v>0</v>
      </c>
      <c r="W97" s="120">
        <f t="shared" si="23"/>
        <v>0</v>
      </c>
    </row>
    <row r="98" spans="2:23">
      <c r="B98" s="116">
        <f>Amnt_Deposited!B93</f>
        <v>2079</v>
      </c>
      <c r="C98" s="119">
        <f>Amnt_Deposited!N93</f>
        <v>0</v>
      </c>
      <c r="D98" s="453">
        <f>Dry_Matter_Content!N85</f>
        <v>0</v>
      </c>
      <c r="E98" s="319">
        <f>MCF!R97</f>
        <v>0.8</v>
      </c>
      <c r="F98" s="87">
        <f t="shared" si="12"/>
        <v>0</v>
      </c>
      <c r="G98" s="87">
        <f t="shared" si="13"/>
        <v>0</v>
      </c>
      <c r="H98" s="87">
        <f t="shared" si="14"/>
        <v>0</v>
      </c>
      <c r="I98" s="87">
        <f t="shared" si="15"/>
        <v>0</v>
      </c>
      <c r="J98" s="87">
        <f t="shared" si="16"/>
        <v>0</v>
      </c>
      <c r="K98" s="120">
        <f t="shared" si="18"/>
        <v>0</v>
      </c>
      <c r="O98" s="116">
        <f>Amnt_Deposited!B93</f>
        <v>2079</v>
      </c>
      <c r="P98" s="119">
        <f>Amnt_Deposited!N93</f>
        <v>0</v>
      </c>
      <c r="Q98" s="319">
        <f>MCF!R97</f>
        <v>0.8</v>
      </c>
      <c r="R98" s="87">
        <f t="shared" si="17"/>
        <v>0</v>
      </c>
      <c r="S98" s="87">
        <f t="shared" si="19"/>
        <v>0</v>
      </c>
      <c r="T98" s="87">
        <f t="shared" si="20"/>
        <v>0</v>
      </c>
      <c r="U98" s="87">
        <f t="shared" si="21"/>
        <v>0</v>
      </c>
      <c r="V98" s="87">
        <f t="shared" si="22"/>
        <v>0</v>
      </c>
      <c r="W98" s="120">
        <f t="shared" si="23"/>
        <v>0</v>
      </c>
    </row>
    <row r="99" spans="2:23" ht="13.5" thickBot="1">
      <c r="B99" s="117">
        <f>Amnt_Deposited!B94</f>
        <v>2080</v>
      </c>
      <c r="C99" s="119">
        <f>Amnt_Deposited!N94</f>
        <v>0</v>
      </c>
      <c r="D99" s="454">
        <f>Dry_Matter_Content!N86</f>
        <v>0</v>
      </c>
      <c r="E99" s="320">
        <f>MCF!R98</f>
        <v>0.8</v>
      </c>
      <c r="F99" s="88">
        <f t="shared" si="12"/>
        <v>0</v>
      </c>
      <c r="G99" s="88">
        <f t="shared" si="13"/>
        <v>0</v>
      </c>
      <c r="H99" s="88">
        <f t="shared" si="14"/>
        <v>0</v>
      </c>
      <c r="I99" s="88">
        <f t="shared" si="15"/>
        <v>0</v>
      </c>
      <c r="J99" s="88">
        <f t="shared" si="16"/>
        <v>0</v>
      </c>
      <c r="K99" s="122">
        <f t="shared" si="18"/>
        <v>0</v>
      </c>
      <c r="O99" s="117">
        <f>Amnt_Deposited!B94</f>
        <v>2080</v>
      </c>
      <c r="P99" s="119">
        <f>Amnt_Deposited!N94</f>
        <v>0</v>
      </c>
      <c r="Q99" s="320">
        <f>MCF!R98</f>
        <v>0.8</v>
      </c>
      <c r="R99" s="88">
        <f t="shared" si="17"/>
        <v>0</v>
      </c>
      <c r="S99" s="88">
        <f>R99*$W$12</f>
        <v>0</v>
      </c>
      <c r="T99" s="88">
        <f>R99*(1-$W$12)</f>
        <v>0</v>
      </c>
      <c r="U99" s="88">
        <f>S99+U98*$W$10</f>
        <v>0</v>
      </c>
      <c r="V99" s="88">
        <f>U98*(1-$W$10)+T99</f>
        <v>0</v>
      </c>
      <c r="W99" s="12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6" workbookViewId="0">
      <selection activeCell="K19" sqref="K19"/>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65" t="s">
        <v>309</v>
      </c>
      <c r="C2" s="251"/>
      <c r="D2" s="251"/>
      <c r="E2" s="252"/>
      <c r="F2" s="253"/>
      <c r="G2" s="253"/>
      <c r="H2" s="253"/>
      <c r="I2" s="253"/>
      <c r="J2" s="253"/>
      <c r="K2" s="253"/>
    </row>
    <row r="3" spans="1:23" ht="15">
      <c r="B3" s="275" t="str">
        <f>IF(Select2=1,"This sheet applies only to the bulk waste option and can be deleted when the waste composition option has been chosen","")</f>
        <v>This sheet applies only to the bulk waste option and can be deleted when the waste composition option has been chosen</v>
      </c>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293">
        <f>Parameters!O26</f>
        <v>0</v>
      </c>
      <c r="O6" s="257"/>
      <c r="P6" s="258"/>
      <c r="Q6" s="249"/>
      <c r="R6" s="128" t="s">
        <v>9</v>
      </c>
      <c r="S6" s="129"/>
      <c r="T6" s="129"/>
      <c r="U6" s="133"/>
      <c r="V6" s="140" t="s">
        <v>9</v>
      </c>
      <c r="W6" s="293">
        <f>Parameters!R26</f>
        <v>0</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Parameters!O45</f>
        <v>0</v>
      </c>
      <c r="O8" s="67"/>
      <c r="P8" s="67"/>
      <c r="Q8" s="249"/>
      <c r="R8" s="128" t="s">
        <v>192</v>
      </c>
      <c r="S8" s="129"/>
      <c r="T8" s="129"/>
      <c r="U8" s="133"/>
      <c r="V8" s="140" t="s">
        <v>188</v>
      </c>
      <c r="W8" s="134">
        <f>Parameters!O45</f>
        <v>0</v>
      </c>
    </row>
    <row r="9" spans="1:23" ht="15.75">
      <c r="F9" s="279" t="s">
        <v>190</v>
      </c>
      <c r="G9" s="280"/>
      <c r="H9" s="280"/>
      <c r="I9" s="281"/>
      <c r="J9" s="282" t="s">
        <v>189</v>
      </c>
      <c r="K9" s="288" t="e">
        <f>LN(2)/$K$8</f>
        <v>#DIV/0!</v>
      </c>
      <c r="O9" s="67"/>
      <c r="P9" s="67"/>
      <c r="Q9" s="249"/>
      <c r="R9" s="279" t="s">
        <v>190</v>
      </c>
      <c r="S9" s="280"/>
      <c r="T9" s="280"/>
      <c r="U9" s="281"/>
      <c r="V9" s="282" t="s">
        <v>189</v>
      </c>
      <c r="W9" s="288" t="e">
        <f>LN(2)/$W$8</f>
        <v>#DIV/0!</v>
      </c>
    </row>
    <row r="10" spans="1:23">
      <c r="F10" s="130" t="s">
        <v>84</v>
      </c>
      <c r="G10" s="131"/>
      <c r="H10" s="131"/>
      <c r="I10" s="132"/>
      <c r="J10" s="141" t="s">
        <v>148</v>
      </c>
      <c r="K10" s="69">
        <f>EXP(-$K$8)</f>
        <v>1</v>
      </c>
      <c r="O10" s="67"/>
      <c r="P10" s="67"/>
      <c r="Q10" s="249"/>
      <c r="R10" s="130" t="s">
        <v>84</v>
      </c>
      <c r="S10" s="131"/>
      <c r="T10" s="131"/>
      <c r="U10" s="132"/>
      <c r="V10" s="141" t="s">
        <v>148</v>
      </c>
      <c r="W10" s="69">
        <f>EXP(-$W$8)</f>
        <v>1</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Amnt_Deposited!O14</f>
        <v>9.0937228799999996</v>
      </c>
      <c r="D19" s="451">
        <f>Dry_Matter_Content!O6</f>
        <v>0</v>
      </c>
      <c r="E19" s="318">
        <f>MCF!R18</f>
        <v>0.8</v>
      </c>
      <c r="F19" s="150">
        <f t="shared" ref="F19:F82" si="0">C19*D19*$K$6*DOCF*E19</f>
        <v>0</v>
      </c>
      <c r="G19" s="85">
        <f t="shared" ref="G19:G82" si="1">F19*$K$12</f>
        <v>0</v>
      </c>
      <c r="H19" s="85">
        <f t="shared" ref="H19:H82" si="2">F19*(1-$K$12)</f>
        <v>0</v>
      </c>
      <c r="I19" s="85">
        <f t="shared" ref="I19:I82" si="3">G19+I18*$K$10</f>
        <v>0</v>
      </c>
      <c r="J19" s="85">
        <f t="shared" ref="J19:J82" si="4">I18*(1-$K$10)+H19</f>
        <v>0</v>
      </c>
      <c r="K19" s="86">
        <f>J19*CH4_fraction*conv</f>
        <v>0</v>
      </c>
      <c r="O19" s="115">
        <f>Amnt_Deposited!B14</f>
        <v>2000</v>
      </c>
      <c r="P19" s="118">
        <f>Amnt_Deposited!O14</f>
        <v>9.0937228799999996</v>
      </c>
      <c r="Q19" s="318">
        <f>MCF!R18</f>
        <v>0.8</v>
      </c>
      <c r="R19" s="150">
        <f t="shared" ref="R19:R82" si="5">P19*$W$6*DOCF*Q19</f>
        <v>0</v>
      </c>
      <c r="S19" s="85">
        <f>R19*$W$12</f>
        <v>0</v>
      </c>
      <c r="T19" s="85">
        <f>R19*(1-$W$12)</f>
        <v>0</v>
      </c>
      <c r="U19" s="85">
        <f>S19+U18*$W$10</f>
        <v>0</v>
      </c>
      <c r="V19" s="85">
        <f>U18*(1-$W$10)+T19</f>
        <v>0</v>
      </c>
      <c r="W19" s="86">
        <f>V19*CH4_fraction*conv</f>
        <v>0</v>
      </c>
    </row>
    <row r="20" spans="2:23">
      <c r="B20" s="116">
        <f>Amnt_Deposited!B15</f>
        <v>2001</v>
      </c>
      <c r="C20" s="119">
        <f>Amnt_Deposited!O15</f>
        <v>9.3589770120000004</v>
      </c>
      <c r="D20" s="453">
        <f>Dry_Matter_Content!O7</f>
        <v>0</v>
      </c>
      <c r="E20" s="319">
        <f>MCF!R19</f>
        <v>0.8</v>
      </c>
      <c r="F20" s="87">
        <f t="shared" si="0"/>
        <v>0</v>
      </c>
      <c r="G20" s="87">
        <f t="shared" si="1"/>
        <v>0</v>
      </c>
      <c r="H20" s="87">
        <f t="shared" si="2"/>
        <v>0</v>
      </c>
      <c r="I20" s="87">
        <f t="shared" si="3"/>
        <v>0</v>
      </c>
      <c r="J20" s="87">
        <f t="shared" si="4"/>
        <v>0</v>
      </c>
      <c r="K20" s="120">
        <f>J20*CH4_fraction*conv</f>
        <v>0</v>
      </c>
      <c r="M20" s="428"/>
      <c r="O20" s="116">
        <f>Amnt_Deposited!B15</f>
        <v>2001</v>
      </c>
      <c r="P20" s="119">
        <f>Amnt_Deposited!O15</f>
        <v>9.3589770120000004</v>
      </c>
      <c r="Q20" s="319">
        <f>MCF!R19</f>
        <v>0.8</v>
      </c>
      <c r="R20" s="87">
        <f t="shared" si="5"/>
        <v>0</v>
      </c>
      <c r="S20" s="87">
        <f>R20*$W$12</f>
        <v>0</v>
      </c>
      <c r="T20" s="87">
        <f>R20*(1-$W$12)</f>
        <v>0</v>
      </c>
      <c r="U20" s="87">
        <f>S20+U19*$W$10</f>
        <v>0</v>
      </c>
      <c r="V20" s="87">
        <f>U19*(1-$W$10)+T20</f>
        <v>0</v>
      </c>
      <c r="W20" s="120">
        <f>V20*CH4_fraction*conv</f>
        <v>0</v>
      </c>
    </row>
    <row r="21" spans="2:23">
      <c r="B21" s="116">
        <f>Amnt_Deposited!B16</f>
        <v>2002</v>
      </c>
      <c r="C21" s="119">
        <f>Amnt_Deposited!O16</f>
        <v>9.7755055199999994</v>
      </c>
      <c r="D21" s="453">
        <f>Dry_Matter_Content!O8</f>
        <v>0</v>
      </c>
      <c r="E21" s="319">
        <f>MCF!R20</f>
        <v>0.8</v>
      </c>
      <c r="F21" s="87">
        <f t="shared" si="0"/>
        <v>0</v>
      </c>
      <c r="G21" s="87">
        <f t="shared" si="1"/>
        <v>0</v>
      </c>
      <c r="H21" s="87">
        <f t="shared" si="2"/>
        <v>0</v>
      </c>
      <c r="I21" s="87">
        <f t="shared" si="3"/>
        <v>0</v>
      </c>
      <c r="J21" s="87">
        <f t="shared" si="4"/>
        <v>0</v>
      </c>
      <c r="K21" s="120">
        <f t="shared" ref="K21:K84" si="6">J21*CH4_fraction*conv</f>
        <v>0</v>
      </c>
      <c r="O21" s="116">
        <f>Amnt_Deposited!B16</f>
        <v>2002</v>
      </c>
      <c r="P21" s="119">
        <f>Amnt_Deposited!O16</f>
        <v>9.7755055199999994</v>
      </c>
      <c r="Q21" s="319">
        <f>MCF!R20</f>
        <v>0.8</v>
      </c>
      <c r="R21" s="87">
        <f t="shared" si="5"/>
        <v>0</v>
      </c>
      <c r="S21" s="87">
        <f t="shared" ref="S21:S84" si="7">R21*$W$12</f>
        <v>0</v>
      </c>
      <c r="T21" s="87">
        <f t="shared" ref="T21:T84" si="8">R21*(1-$W$12)</f>
        <v>0</v>
      </c>
      <c r="U21" s="87">
        <f t="shared" ref="U21:U84" si="9">S21+U20*$W$10</f>
        <v>0</v>
      </c>
      <c r="V21" s="87">
        <f t="shared" ref="V21:V84" si="10">U20*(1-$W$10)+T21</f>
        <v>0</v>
      </c>
      <c r="W21" s="120">
        <f t="shared" ref="W21:W84" si="11">V21*CH4_fraction*conv</f>
        <v>0</v>
      </c>
    </row>
    <row r="22" spans="2:23">
      <c r="B22" s="116">
        <f>Amnt_Deposited!B17</f>
        <v>2003</v>
      </c>
      <c r="C22" s="119">
        <f>Amnt_Deposited!O17</f>
        <v>10.081814555999999</v>
      </c>
      <c r="D22" s="453">
        <f>Dry_Matter_Content!O9</f>
        <v>0</v>
      </c>
      <c r="E22" s="319">
        <f>MCF!R21</f>
        <v>0.8</v>
      </c>
      <c r="F22" s="87">
        <f t="shared" si="0"/>
        <v>0</v>
      </c>
      <c r="G22" s="87">
        <f t="shared" si="1"/>
        <v>0</v>
      </c>
      <c r="H22" s="87">
        <f t="shared" si="2"/>
        <v>0</v>
      </c>
      <c r="I22" s="87">
        <f t="shared" si="3"/>
        <v>0</v>
      </c>
      <c r="J22" s="87">
        <f t="shared" si="4"/>
        <v>0</v>
      </c>
      <c r="K22" s="120">
        <f t="shared" si="6"/>
        <v>0</v>
      </c>
      <c r="N22" s="290"/>
      <c r="O22" s="116">
        <f>Amnt_Deposited!B17</f>
        <v>2003</v>
      </c>
      <c r="P22" s="119">
        <f>Amnt_Deposited!O17</f>
        <v>10.081814555999999</v>
      </c>
      <c r="Q22" s="319">
        <f>MCF!R21</f>
        <v>0.8</v>
      </c>
      <c r="R22" s="87">
        <f t="shared" si="5"/>
        <v>0</v>
      </c>
      <c r="S22" s="87">
        <f t="shared" si="7"/>
        <v>0</v>
      </c>
      <c r="T22" s="87">
        <f t="shared" si="8"/>
        <v>0</v>
      </c>
      <c r="U22" s="87">
        <f t="shared" si="9"/>
        <v>0</v>
      </c>
      <c r="V22" s="87">
        <f t="shared" si="10"/>
        <v>0</v>
      </c>
      <c r="W22" s="120">
        <f t="shared" si="11"/>
        <v>0</v>
      </c>
    </row>
    <row r="23" spans="2:23">
      <c r="B23" s="116">
        <f>Amnt_Deposited!B18</f>
        <v>2004</v>
      </c>
      <c r="C23" s="119">
        <f>Amnt_Deposited!O18</f>
        <v>10.375979724000002</v>
      </c>
      <c r="D23" s="453">
        <f>Dry_Matter_Content!O10</f>
        <v>0</v>
      </c>
      <c r="E23" s="319">
        <f>MCF!R22</f>
        <v>0.8</v>
      </c>
      <c r="F23" s="87">
        <f t="shared" si="0"/>
        <v>0</v>
      </c>
      <c r="G23" s="87">
        <f t="shared" si="1"/>
        <v>0</v>
      </c>
      <c r="H23" s="87">
        <f t="shared" si="2"/>
        <v>0</v>
      </c>
      <c r="I23" s="87">
        <f t="shared" si="3"/>
        <v>0</v>
      </c>
      <c r="J23" s="87">
        <f t="shared" si="4"/>
        <v>0</v>
      </c>
      <c r="K23" s="120">
        <f t="shared" si="6"/>
        <v>0</v>
      </c>
      <c r="N23" s="290"/>
      <c r="O23" s="116">
        <f>Amnt_Deposited!B18</f>
        <v>2004</v>
      </c>
      <c r="P23" s="119">
        <f>Amnt_Deposited!O18</f>
        <v>10.375979724000002</v>
      </c>
      <c r="Q23" s="319">
        <f>MCF!R22</f>
        <v>0.8</v>
      </c>
      <c r="R23" s="87">
        <f t="shared" si="5"/>
        <v>0</v>
      </c>
      <c r="S23" s="87">
        <f t="shared" si="7"/>
        <v>0</v>
      </c>
      <c r="T23" s="87">
        <f t="shared" si="8"/>
        <v>0</v>
      </c>
      <c r="U23" s="87">
        <f t="shared" si="9"/>
        <v>0</v>
      </c>
      <c r="V23" s="87">
        <f t="shared" si="10"/>
        <v>0</v>
      </c>
      <c r="W23" s="120">
        <f t="shared" si="11"/>
        <v>0</v>
      </c>
    </row>
    <row r="24" spans="2:23">
      <c r="B24" s="116">
        <f>Amnt_Deposited!B19</f>
        <v>2005</v>
      </c>
      <c r="C24" s="119">
        <f>Amnt_Deposited!O19</f>
        <v>10.901741399999999</v>
      </c>
      <c r="D24" s="453">
        <f>Dry_Matter_Content!O11</f>
        <v>0</v>
      </c>
      <c r="E24" s="319">
        <f>MCF!R23</f>
        <v>0.8</v>
      </c>
      <c r="F24" s="87">
        <f t="shared" si="0"/>
        <v>0</v>
      </c>
      <c r="G24" s="87">
        <f t="shared" si="1"/>
        <v>0</v>
      </c>
      <c r="H24" s="87">
        <f t="shared" si="2"/>
        <v>0</v>
      </c>
      <c r="I24" s="87">
        <f t="shared" si="3"/>
        <v>0</v>
      </c>
      <c r="J24" s="87">
        <f t="shared" si="4"/>
        <v>0</v>
      </c>
      <c r="K24" s="120">
        <f t="shared" si="6"/>
        <v>0</v>
      </c>
      <c r="N24" s="290"/>
      <c r="O24" s="116">
        <f>Amnt_Deposited!B19</f>
        <v>2005</v>
      </c>
      <c r="P24" s="119">
        <f>Amnt_Deposited!O19</f>
        <v>10.901741399999999</v>
      </c>
      <c r="Q24" s="319">
        <f>MCF!R23</f>
        <v>0.8</v>
      </c>
      <c r="R24" s="87">
        <f t="shared" si="5"/>
        <v>0</v>
      </c>
      <c r="S24" s="87">
        <f t="shared" si="7"/>
        <v>0</v>
      </c>
      <c r="T24" s="87">
        <f t="shared" si="8"/>
        <v>0</v>
      </c>
      <c r="U24" s="87">
        <f t="shared" si="9"/>
        <v>0</v>
      </c>
      <c r="V24" s="87">
        <f t="shared" si="10"/>
        <v>0</v>
      </c>
      <c r="W24" s="120">
        <f t="shared" si="11"/>
        <v>0</v>
      </c>
    </row>
    <row r="25" spans="2:23">
      <c r="B25" s="116">
        <f>Amnt_Deposited!B20</f>
        <v>2006</v>
      </c>
      <c r="C25" s="119">
        <f>Amnt_Deposited!O20</f>
        <v>11.204351796000001</v>
      </c>
      <c r="D25" s="453">
        <f>Dry_Matter_Content!O12</f>
        <v>0</v>
      </c>
      <c r="E25" s="319">
        <f>MCF!R24</f>
        <v>0.8</v>
      </c>
      <c r="F25" s="87">
        <f t="shared" si="0"/>
        <v>0</v>
      </c>
      <c r="G25" s="87">
        <f t="shared" si="1"/>
        <v>0</v>
      </c>
      <c r="H25" s="87">
        <f t="shared" si="2"/>
        <v>0</v>
      </c>
      <c r="I25" s="87">
        <f t="shared" si="3"/>
        <v>0</v>
      </c>
      <c r="J25" s="87">
        <f t="shared" si="4"/>
        <v>0</v>
      </c>
      <c r="K25" s="120">
        <f t="shared" si="6"/>
        <v>0</v>
      </c>
      <c r="N25" s="290"/>
      <c r="O25" s="116">
        <f>Amnt_Deposited!B20</f>
        <v>2006</v>
      </c>
      <c r="P25" s="119">
        <f>Amnt_Deposited!O20</f>
        <v>11.204351796000001</v>
      </c>
      <c r="Q25" s="319">
        <f>MCF!R24</f>
        <v>0.8</v>
      </c>
      <c r="R25" s="87">
        <f t="shared" si="5"/>
        <v>0</v>
      </c>
      <c r="S25" s="87">
        <f t="shared" si="7"/>
        <v>0</v>
      </c>
      <c r="T25" s="87">
        <f t="shared" si="8"/>
        <v>0</v>
      </c>
      <c r="U25" s="87">
        <f t="shared" si="9"/>
        <v>0</v>
      </c>
      <c r="V25" s="87">
        <f t="shared" si="10"/>
        <v>0</v>
      </c>
      <c r="W25" s="120">
        <f t="shared" si="11"/>
        <v>0</v>
      </c>
    </row>
    <row r="26" spans="2:23">
      <c r="B26" s="116">
        <f>Amnt_Deposited!B21</f>
        <v>2007</v>
      </c>
      <c r="C26" s="119">
        <f>Amnt_Deposited!O21</f>
        <v>11.510537544</v>
      </c>
      <c r="D26" s="453">
        <f>Dry_Matter_Content!O13</f>
        <v>0</v>
      </c>
      <c r="E26" s="319">
        <f>MCF!R25</f>
        <v>0.8</v>
      </c>
      <c r="F26" s="87">
        <f t="shared" si="0"/>
        <v>0</v>
      </c>
      <c r="G26" s="87">
        <f t="shared" si="1"/>
        <v>0</v>
      </c>
      <c r="H26" s="87">
        <f t="shared" si="2"/>
        <v>0</v>
      </c>
      <c r="I26" s="87">
        <f t="shared" si="3"/>
        <v>0</v>
      </c>
      <c r="J26" s="87">
        <f t="shared" si="4"/>
        <v>0</v>
      </c>
      <c r="K26" s="120">
        <f t="shared" si="6"/>
        <v>0</v>
      </c>
      <c r="N26" s="290"/>
      <c r="O26" s="116">
        <f>Amnt_Deposited!B21</f>
        <v>2007</v>
      </c>
      <c r="P26" s="119">
        <f>Amnt_Deposited!O21</f>
        <v>11.510537544</v>
      </c>
      <c r="Q26" s="319">
        <f>MCF!R25</f>
        <v>0.8</v>
      </c>
      <c r="R26" s="87">
        <f t="shared" si="5"/>
        <v>0</v>
      </c>
      <c r="S26" s="87">
        <f t="shared" si="7"/>
        <v>0</v>
      </c>
      <c r="T26" s="87">
        <f t="shared" si="8"/>
        <v>0</v>
      </c>
      <c r="U26" s="87">
        <f t="shared" si="9"/>
        <v>0</v>
      </c>
      <c r="V26" s="87">
        <f t="shared" si="10"/>
        <v>0</v>
      </c>
      <c r="W26" s="120">
        <f t="shared" si="11"/>
        <v>0</v>
      </c>
    </row>
    <row r="27" spans="2:23">
      <c r="B27" s="116">
        <f>Amnt_Deposited!B22</f>
        <v>2008</v>
      </c>
      <c r="C27" s="119">
        <f>Amnt_Deposited!O22</f>
        <v>11.818880832</v>
      </c>
      <c r="D27" s="453">
        <f>Dry_Matter_Content!O14</f>
        <v>0</v>
      </c>
      <c r="E27" s="319">
        <f>MCF!R26</f>
        <v>0.8</v>
      </c>
      <c r="F27" s="87">
        <f t="shared" si="0"/>
        <v>0</v>
      </c>
      <c r="G27" s="87">
        <f t="shared" si="1"/>
        <v>0</v>
      </c>
      <c r="H27" s="87">
        <f t="shared" si="2"/>
        <v>0</v>
      </c>
      <c r="I27" s="87">
        <f t="shared" si="3"/>
        <v>0</v>
      </c>
      <c r="J27" s="87">
        <f t="shared" si="4"/>
        <v>0</v>
      </c>
      <c r="K27" s="120">
        <f t="shared" si="6"/>
        <v>0</v>
      </c>
      <c r="N27" s="290"/>
      <c r="O27" s="116">
        <f>Amnt_Deposited!B22</f>
        <v>2008</v>
      </c>
      <c r="P27" s="119">
        <f>Amnt_Deposited!O22</f>
        <v>11.818880832</v>
      </c>
      <c r="Q27" s="319">
        <f>MCF!R26</f>
        <v>0.8</v>
      </c>
      <c r="R27" s="87">
        <f t="shared" si="5"/>
        <v>0</v>
      </c>
      <c r="S27" s="87">
        <f t="shared" si="7"/>
        <v>0</v>
      </c>
      <c r="T27" s="87">
        <f t="shared" si="8"/>
        <v>0</v>
      </c>
      <c r="U27" s="87">
        <f t="shared" si="9"/>
        <v>0</v>
      </c>
      <c r="V27" s="87">
        <f t="shared" si="10"/>
        <v>0</v>
      </c>
      <c r="W27" s="120">
        <f t="shared" si="11"/>
        <v>0</v>
      </c>
    </row>
    <row r="28" spans="2:23">
      <c r="B28" s="116">
        <f>Amnt_Deposited!B23</f>
        <v>2009</v>
      </c>
      <c r="C28" s="119">
        <f>Amnt_Deposited!O23</f>
        <v>12.127717272</v>
      </c>
      <c r="D28" s="453">
        <f>Dry_Matter_Content!O15</f>
        <v>0</v>
      </c>
      <c r="E28" s="319">
        <f>MCF!R27</f>
        <v>0.8</v>
      </c>
      <c r="F28" s="87">
        <f t="shared" si="0"/>
        <v>0</v>
      </c>
      <c r="G28" s="87">
        <f t="shared" si="1"/>
        <v>0</v>
      </c>
      <c r="H28" s="87">
        <f t="shared" si="2"/>
        <v>0</v>
      </c>
      <c r="I28" s="87">
        <f t="shared" si="3"/>
        <v>0</v>
      </c>
      <c r="J28" s="87">
        <f t="shared" si="4"/>
        <v>0</v>
      </c>
      <c r="K28" s="120">
        <f t="shared" si="6"/>
        <v>0</v>
      </c>
      <c r="N28" s="290"/>
      <c r="O28" s="116">
        <f>Amnt_Deposited!B23</f>
        <v>2009</v>
      </c>
      <c r="P28" s="119">
        <f>Amnt_Deposited!O23</f>
        <v>12.127717272</v>
      </c>
      <c r="Q28" s="319">
        <f>MCF!R27</f>
        <v>0.8</v>
      </c>
      <c r="R28" s="87">
        <f t="shared" si="5"/>
        <v>0</v>
      </c>
      <c r="S28" s="87">
        <f t="shared" si="7"/>
        <v>0</v>
      </c>
      <c r="T28" s="87">
        <f t="shared" si="8"/>
        <v>0</v>
      </c>
      <c r="U28" s="87">
        <f t="shared" si="9"/>
        <v>0</v>
      </c>
      <c r="V28" s="87">
        <f t="shared" si="10"/>
        <v>0</v>
      </c>
      <c r="W28" s="120">
        <f t="shared" si="11"/>
        <v>0</v>
      </c>
    </row>
    <row r="29" spans="2:23">
      <c r="B29" s="116">
        <f>Amnt_Deposited!B24</f>
        <v>2010</v>
      </c>
      <c r="C29" s="119">
        <f>Amnt_Deposited!O24</f>
        <v>15.758487228</v>
      </c>
      <c r="D29" s="453">
        <f>Dry_Matter_Content!O16</f>
        <v>0</v>
      </c>
      <c r="E29" s="319">
        <f>MCF!R28</f>
        <v>0.8</v>
      </c>
      <c r="F29" s="87">
        <f t="shared" si="0"/>
        <v>0</v>
      </c>
      <c r="G29" s="87">
        <f t="shared" si="1"/>
        <v>0</v>
      </c>
      <c r="H29" s="87">
        <f t="shared" si="2"/>
        <v>0</v>
      </c>
      <c r="I29" s="87">
        <f t="shared" si="3"/>
        <v>0</v>
      </c>
      <c r="J29" s="87">
        <f t="shared" si="4"/>
        <v>0</v>
      </c>
      <c r="K29" s="120">
        <f t="shared" si="6"/>
        <v>0</v>
      </c>
      <c r="O29" s="116">
        <f>Amnt_Deposited!B24</f>
        <v>2010</v>
      </c>
      <c r="P29" s="119">
        <f>Amnt_Deposited!O24</f>
        <v>15.758487228</v>
      </c>
      <c r="Q29" s="319">
        <f>MCF!R28</f>
        <v>0.8</v>
      </c>
      <c r="R29" s="87">
        <f t="shared" si="5"/>
        <v>0</v>
      </c>
      <c r="S29" s="87">
        <f t="shared" si="7"/>
        <v>0</v>
      </c>
      <c r="T29" s="87">
        <f t="shared" si="8"/>
        <v>0</v>
      </c>
      <c r="U29" s="87">
        <f t="shared" si="9"/>
        <v>0</v>
      </c>
      <c r="V29" s="87">
        <f t="shared" si="10"/>
        <v>0</v>
      </c>
      <c r="W29" s="120">
        <f t="shared" si="11"/>
        <v>0</v>
      </c>
    </row>
    <row r="30" spans="2:23">
      <c r="B30" s="116">
        <f>Amnt_Deposited!B25</f>
        <v>2011</v>
      </c>
      <c r="C30" s="119">
        <f>Amnt_Deposited!O25</f>
        <v>15.095775</v>
      </c>
      <c r="D30" s="453">
        <f>Dry_Matter_Content!O17</f>
        <v>0</v>
      </c>
      <c r="E30" s="319">
        <f>MCF!R29</f>
        <v>0.8</v>
      </c>
      <c r="F30" s="87">
        <f t="shared" si="0"/>
        <v>0</v>
      </c>
      <c r="G30" s="87">
        <f t="shared" si="1"/>
        <v>0</v>
      </c>
      <c r="H30" s="87">
        <f t="shared" si="2"/>
        <v>0</v>
      </c>
      <c r="I30" s="87">
        <f t="shared" si="3"/>
        <v>0</v>
      </c>
      <c r="J30" s="87">
        <f t="shared" si="4"/>
        <v>0</v>
      </c>
      <c r="K30" s="120">
        <f t="shared" si="6"/>
        <v>0</v>
      </c>
      <c r="O30" s="116">
        <f>Amnt_Deposited!B25</f>
        <v>2011</v>
      </c>
      <c r="P30" s="119">
        <f>Amnt_Deposited!O25</f>
        <v>15.095775</v>
      </c>
      <c r="Q30" s="319">
        <f>MCF!R29</f>
        <v>0.8</v>
      </c>
      <c r="R30" s="87">
        <f t="shared" si="5"/>
        <v>0</v>
      </c>
      <c r="S30" s="87">
        <f t="shared" si="7"/>
        <v>0</v>
      </c>
      <c r="T30" s="87">
        <f t="shared" si="8"/>
        <v>0</v>
      </c>
      <c r="U30" s="87">
        <f t="shared" si="9"/>
        <v>0</v>
      </c>
      <c r="V30" s="87">
        <f t="shared" si="10"/>
        <v>0</v>
      </c>
      <c r="W30" s="120">
        <f t="shared" si="11"/>
        <v>0</v>
      </c>
    </row>
    <row r="31" spans="2:23">
      <c r="B31" s="116">
        <f>Amnt_Deposited!B26</f>
        <v>2012</v>
      </c>
      <c r="C31" s="119">
        <f>Amnt_Deposited!O26</f>
        <v>15.780527760000002</v>
      </c>
      <c r="D31" s="453">
        <f>Dry_Matter_Content!O18</f>
        <v>0</v>
      </c>
      <c r="E31" s="319">
        <f>MCF!R30</f>
        <v>0.8</v>
      </c>
      <c r="F31" s="87">
        <f t="shared" si="0"/>
        <v>0</v>
      </c>
      <c r="G31" s="87">
        <f t="shared" si="1"/>
        <v>0</v>
      </c>
      <c r="H31" s="87">
        <f t="shared" si="2"/>
        <v>0</v>
      </c>
      <c r="I31" s="87">
        <f t="shared" si="3"/>
        <v>0</v>
      </c>
      <c r="J31" s="87">
        <f t="shared" si="4"/>
        <v>0</v>
      </c>
      <c r="K31" s="120">
        <f t="shared" si="6"/>
        <v>0</v>
      </c>
      <c r="O31" s="116">
        <f>Amnt_Deposited!B26</f>
        <v>2012</v>
      </c>
      <c r="P31" s="119">
        <f>Amnt_Deposited!O26</f>
        <v>15.780527760000002</v>
      </c>
      <c r="Q31" s="319">
        <f>MCF!R30</f>
        <v>0.8</v>
      </c>
      <c r="R31" s="87">
        <f t="shared" si="5"/>
        <v>0</v>
      </c>
      <c r="S31" s="87">
        <f t="shared" si="7"/>
        <v>0</v>
      </c>
      <c r="T31" s="87">
        <f t="shared" si="8"/>
        <v>0</v>
      </c>
      <c r="U31" s="87">
        <f t="shared" si="9"/>
        <v>0</v>
      </c>
      <c r="V31" s="87">
        <f t="shared" si="10"/>
        <v>0</v>
      </c>
      <c r="W31" s="120">
        <f t="shared" si="11"/>
        <v>0</v>
      </c>
    </row>
    <row r="32" spans="2:23">
      <c r="B32" s="116">
        <f>Amnt_Deposited!B27</f>
        <v>2013</v>
      </c>
      <c r="C32" s="119">
        <f>Amnt_Deposited!O27</f>
        <v>16.487864640000002</v>
      </c>
      <c r="D32" s="453">
        <f>Dry_Matter_Content!O19</f>
        <v>0</v>
      </c>
      <c r="E32" s="319">
        <f>MCF!R31</f>
        <v>0.8</v>
      </c>
      <c r="F32" s="87">
        <f t="shared" si="0"/>
        <v>0</v>
      </c>
      <c r="G32" s="87">
        <f t="shared" si="1"/>
        <v>0</v>
      </c>
      <c r="H32" s="87">
        <f t="shared" si="2"/>
        <v>0</v>
      </c>
      <c r="I32" s="87">
        <f t="shared" si="3"/>
        <v>0</v>
      </c>
      <c r="J32" s="87">
        <f t="shared" si="4"/>
        <v>0</v>
      </c>
      <c r="K32" s="120">
        <f t="shared" si="6"/>
        <v>0</v>
      </c>
      <c r="O32" s="116">
        <f>Amnt_Deposited!B27</f>
        <v>2013</v>
      </c>
      <c r="P32" s="119">
        <f>Amnt_Deposited!O27</f>
        <v>16.487864640000002</v>
      </c>
      <c r="Q32" s="319">
        <f>MCF!R31</f>
        <v>0.8</v>
      </c>
      <c r="R32" s="87">
        <f t="shared" si="5"/>
        <v>0</v>
      </c>
      <c r="S32" s="87">
        <f t="shared" si="7"/>
        <v>0</v>
      </c>
      <c r="T32" s="87">
        <f t="shared" si="8"/>
        <v>0</v>
      </c>
      <c r="U32" s="87">
        <f t="shared" si="9"/>
        <v>0</v>
      </c>
      <c r="V32" s="87">
        <f t="shared" si="10"/>
        <v>0</v>
      </c>
      <c r="W32" s="120">
        <f t="shared" si="11"/>
        <v>0</v>
      </c>
    </row>
    <row r="33" spans="2:23">
      <c r="B33" s="116">
        <f>Amnt_Deposited!B28</f>
        <v>2014</v>
      </c>
      <c r="C33" s="119">
        <f>Amnt_Deposited!O28</f>
        <v>17.202822960000002</v>
      </c>
      <c r="D33" s="453">
        <f>Dry_Matter_Content!O20</f>
        <v>0</v>
      </c>
      <c r="E33" s="319">
        <f>MCF!R32</f>
        <v>0.8</v>
      </c>
      <c r="F33" s="87">
        <f t="shared" si="0"/>
        <v>0</v>
      </c>
      <c r="G33" s="87">
        <f t="shared" si="1"/>
        <v>0</v>
      </c>
      <c r="H33" s="87">
        <f t="shared" si="2"/>
        <v>0</v>
      </c>
      <c r="I33" s="87">
        <f t="shared" si="3"/>
        <v>0</v>
      </c>
      <c r="J33" s="87">
        <f t="shared" si="4"/>
        <v>0</v>
      </c>
      <c r="K33" s="120">
        <f t="shared" si="6"/>
        <v>0</v>
      </c>
      <c r="O33" s="116">
        <f>Amnt_Deposited!B28</f>
        <v>2014</v>
      </c>
      <c r="P33" s="119">
        <f>Amnt_Deposited!O28</f>
        <v>17.202822960000002</v>
      </c>
      <c r="Q33" s="319">
        <f>MCF!R32</f>
        <v>0.8</v>
      </c>
      <c r="R33" s="87">
        <f t="shared" si="5"/>
        <v>0</v>
      </c>
      <c r="S33" s="87">
        <f t="shared" si="7"/>
        <v>0</v>
      </c>
      <c r="T33" s="87">
        <f t="shared" si="8"/>
        <v>0</v>
      </c>
      <c r="U33" s="87">
        <f t="shared" si="9"/>
        <v>0</v>
      </c>
      <c r="V33" s="87">
        <f t="shared" si="10"/>
        <v>0</v>
      </c>
      <c r="W33" s="120">
        <f t="shared" si="11"/>
        <v>0</v>
      </c>
    </row>
    <row r="34" spans="2:23">
      <c r="B34" s="116">
        <f>Amnt_Deposited!B29</f>
        <v>2015</v>
      </c>
      <c r="C34" s="119">
        <f>Amnt_Deposited!O29</f>
        <v>17.939244599999999</v>
      </c>
      <c r="D34" s="453">
        <f>Dry_Matter_Content!O21</f>
        <v>0</v>
      </c>
      <c r="E34" s="319">
        <f>MCF!R33</f>
        <v>0.8</v>
      </c>
      <c r="F34" s="87">
        <f t="shared" si="0"/>
        <v>0</v>
      </c>
      <c r="G34" s="87">
        <f t="shared" si="1"/>
        <v>0</v>
      </c>
      <c r="H34" s="87">
        <f t="shared" si="2"/>
        <v>0</v>
      </c>
      <c r="I34" s="87">
        <f t="shared" si="3"/>
        <v>0</v>
      </c>
      <c r="J34" s="87">
        <f t="shared" si="4"/>
        <v>0</v>
      </c>
      <c r="K34" s="120">
        <f t="shared" si="6"/>
        <v>0</v>
      </c>
      <c r="O34" s="116">
        <f>Amnt_Deposited!B29</f>
        <v>2015</v>
      </c>
      <c r="P34" s="119">
        <f>Amnt_Deposited!O29</f>
        <v>17.939244599999999</v>
      </c>
      <c r="Q34" s="319">
        <f>MCF!R33</f>
        <v>0.8</v>
      </c>
      <c r="R34" s="87">
        <f t="shared" si="5"/>
        <v>0</v>
      </c>
      <c r="S34" s="87">
        <f t="shared" si="7"/>
        <v>0</v>
      </c>
      <c r="T34" s="87">
        <f t="shared" si="8"/>
        <v>0</v>
      </c>
      <c r="U34" s="87">
        <f t="shared" si="9"/>
        <v>0</v>
      </c>
      <c r="V34" s="87">
        <f t="shared" si="10"/>
        <v>0</v>
      </c>
      <c r="W34" s="120">
        <f t="shared" si="11"/>
        <v>0</v>
      </c>
    </row>
    <row r="35" spans="2:23">
      <c r="B35" s="116">
        <f>Amnt_Deposited!B30</f>
        <v>2016</v>
      </c>
      <c r="C35" s="119">
        <f>Amnt_Deposited!O30</f>
        <v>18.694439639999999</v>
      </c>
      <c r="D35" s="453">
        <f>Dry_Matter_Content!O22</f>
        <v>0</v>
      </c>
      <c r="E35" s="319">
        <f>MCF!R34</f>
        <v>0.8</v>
      </c>
      <c r="F35" s="87">
        <f t="shared" si="0"/>
        <v>0</v>
      </c>
      <c r="G35" s="87">
        <f t="shared" si="1"/>
        <v>0</v>
      </c>
      <c r="H35" s="87">
        <f t="shared" si="2"/>
        <v>0</v>
      </c>
      <c r="I35" s="87">
        <f t="shared" si="3"/>
        <v>0</v>
      </c>
      <c r="J35" s="87">
        <f t="shared" si="4"/>
        <v>0</v>
      </c>
      <c r="K35" s="120">
        <f t="shared" si="6"/>
        <v>0</v>
      </c>
      <c r="O35" s="116">
        <f>Amnt_Deposited!B30</f>
        <v>2016</v>
      </c>
      <c r="P35" s="119">
        <f>Amnt_Deposited!O30</f>
        <v>18.694439639999999</v>
      </c>
      <c r="Q35" s="319">
        <f>MCF!R34</f>
        <v>0.8</v>
      </c>
      <c r="R35" s="87">
        <f t="shared" si="5"/>
        <v>0</v>
      </c>
      <c r="S35" s="87">
        <f t="shared" si="7"/>
        <v>0</v>
      </c>
      <c r="T35" s="87">
        <f t="shared" si="8"/>
        <v>0</v>
      </c>
      <c r="U35" s="87">
        <f t="shared" si="9"/>
        <v>0</v>
      </c>
      <c r="V35" s="87">
        <f t="shared" si="10"/>
        <v>0</v>
      </c>
      <c r="W35" s="120">
        <f t="shared" si="11"/>
        <v>0</v>
      </c>
    </row>
    <row r="36" spans="2:23">
      <c r="B36" s="116">
        <f>Amnt_Deposited!B31</f>
        <v>2017</v>
      </c>
      <c r="C36" s="119">
        <f>Amnt_Deposited!O31</f>
        <v>18.780461039999999</v>
      </c>
      <c r="D36" s="453">
        <f>Dry_Matter_Content!O23</f>
        <v>0</v>
      </c>
      <c r="E36" s="319">
        <f>MCF!R35</f>
        <v>0.8</v>
      </c>
      <c r="F36" s="87">
        <f t="shared" si="0"/>
        <v>0</v>
      </c>
      <c r="G36" s="87">
        <f t="shared" si="1"/>
        <v>0</v>
      </c>
      <c r="H36" s="87">
        <f t="shared" si="2"/>
        <v>0</v>
      </c>
      <c r="I36" s="87">
        <f t="shared" si="3"/>
        <v>0</v>
      </c>
      <c r="J36" s="87">
        <f t="shared" si="4"/>
        <v>0</v>
      </c>
      <c r="K36" s="120">
        <f t="shared" si="6"/>
        <v>0</v>
      </c>
      <c r="O36" s="116">
        <f>Amnt_Deposited!B31</f>
        <v>2017</v>
      </c>
      <c r="P36" s="119">
        <f>Amnt_Deposited!O31</f>
        <v>18.780461039999999</v>
      </c>
      <c r="Q36" s="319">
        <f>MCF!R35</f>
        <v>0.8</v>
      </c>
      <c r="R36" s="87">
        <f t="shared" si="5"/>
        <v>0</v>
      </c>
      <c r="S36" s="87">
        <f t="shared" si="7"/>
        <v>0</v>
      </c>
      <c r="T36" s="87">
        <f t="shared" si="8"/>
        <v>0</v>
      </c>
      <c r="U36" s="87">
        <f t="shared" si="9"/>
        <v>0</v>
      </c>
      <c r="V36" s="87">
        <f t="shared" si="10"/>
        <v>0</v>
      </c>
      <c r="W36" s="120">
        <f t="shared" si="11"/>
        <v>0</v>
      </c>
    </row>
    <row r="37" spans="2:23">
      <c r="B37" s="116">
        <f>Amnt_Deposited!B32</f>
        <v>2018</v>
      </c>
      <c r="C37" s="119">
        <f>Amnt_Deposited!O32</f>
        <v>19.480792920000003</v>
      </c>
      <c r="D37" s="453">
        <f>Dry_Matter_Content!O24</f>
        <v>0</v>
      </c>
      <c r="E37" s="319">
        <f>MCF!R36</f>
        <v>0.8</v>
      </c>
      <c r="F37" s="87">
        <f t="shared" si="0"/>
        <v>0</v>
      </c>
      <c r="G37" s="87">
        <f t="shared" si="1"/>
        <v>0</v>
      </c>
      <c r="H37" s="87">
        <f t="shared" si="2"/>
        <v>0</v>
      </c>
      <c r="I37" s="87">
        <f t="shared" si="3"/>
        <v>0</v>
      </c>
      <c r="J37" s="87">
        <f t="shared" si="4"/>
        <v>0</v>
      </c>
      <c r="K37" s="120">
        <f t="shared" si="6"/>
        <v>0</v>
      </c>
      <c r="O37" s="116">
        <f>Amnt_Deposited!B32</f>
        <v>2018</v>
      </c>
      <c r="P37" s="119">
        <f>Amnt_Deposited!O32</f>
        <v>19.480792920000003</v>
      </c>
      <c r="Q37" s="319">
        <f>MCF!R36</f>
        <v>0.8</v>
      </c>
      <c r="R37" s="87">
        <f t="shared" si="5"/>
        <v>0</v>
      </c>
      <c r="S37" s="87">
        <f t="shared" si="7"/>
        <v>0</v>
      </c>
      <c r="T37" s="87">
        <f t="shared" si="8"/>
        <v>0</v>
      </c>
      <c r="U37" s="87">
        <f t="shared" si="9"/>
        <v>0</v>
      </c>
      <c r="V37" s="87">
        <f t="shared" si="10"/>
        <v>0</v>
      </c>
      <c r="W37" s="120">
        <f t="shared" si="11"/>
        <v>0</v>
      </c>
    </row>
    <row r="38" spans="2:23">
      <c r="B38" s="116">
        <f>Amnt_Deposited!B33</f>
        <v>2019</v>
      </c>
      <c r="C38" s="119">
        <f>Amnt_Deposited!O33</f>
        <v>20.181124799999999</v>
      </c>
      <c r="D38" s="453">
        <f>Dry_Matter_Content!O25</f>
        <v>0</v>
      </c>
      <c r="E38" s="319">
        <f>MCF!R37</f>
        <v>0.8</v>
      </c>
      <c r="F38" s="87">
        <f t="shared" si="0"/>
        <v>0</v>
      </c>
      <c r="G38" s="87">
        <f t="shared" si="1"/>
        <v>0</v>
      </c>
      <c r="H38" s="87">
        <f t="shared" si="2"/>
        <v>0</v>
      </c>
      <c r="I38" s="87">
        <f t="shared" si="3"/>
        <v>0</v>
      </c>
      <c r="J38" s="87">
        <f t="shared" si="4"/>
        <v>0</v>
      </c>
      <c r="K38" s="120">
        <f t="shared" si="6"/>
        <v>0</v>
      </c>
      <c r="O38" s="116">
        <f>Amnt_Deposited!B33</f>
        <v>2019</v>
      </c>
      <c r="P38" s="119">
        <f>Amnt_Deposited!O33</f>
        <v>20.181124799999999</v>
      </c>
      <c r="Q38" s="319">
        <f>MCF!R37</f>
        <v>0.8</v>
      </c>
      <c r="R38" s="87">
        <f t="shared" si="5"/>
        <v>0</v>
      </c>
      <c r="S38" s="87">
        <f t="shared" si="7"/>
        <v>0</v>
      </c>
      <c r="T38" s="87">
        <f t="shared" si="8"/>
        <v>0</v>
      </c>
      <c r="U38" s="87">
        <f t="shared" si="9"/>
        <v>0</v>
      </c>
      <c r="V38" s="87">
        <f t="shared" si="10"/>
        <v>0</v>
      </c>
      <c r="W38" s="120">
        <f t="shared" si="11"/>
        <v>0</v>
      </c>
    </row>
    <row r="39" spans="2:23">
      <c r="B39" s="116">
        <f>Amnt_Deposited!B34</f>
        <v>2020</v>
      </c>
      <c r="C39" s="119">
        <f>Amnt_Deposited!O34</f>
        <v>20.881456680000003</v>
      </c>
      <c r="D39" s="453">
        <f>Dry_Matter_Content!O26</f>
        <v>0</v>
      </c>
      <c r="E39" s="319">
        <f>MCF!R38</f>
        <v>0.8</v>
      </c>
      <c r="F39" s="87">
        <f t="shared" si="0"/>
        <v>0</v>
      </c>
      <c r="G39" s="87">
        <f t="shared" si="1"/>
        <v>0</v>
      </c>
      <c r="H39" s="87">
        <f t="shared" si="2"/>
        <v>0</v>
      </c>
      <c r="I39" s="87">
        <f t="shared" si="3"/>
        <v>0</v>
      </c>
      <c r="J39" s="87">
        <f t="shared" si="4"/>
        <v>0</v>
      </c>
      <c r="K39" s="120">
        <f t="shared" si="6"/>
        <v>0</v>
      </c>
      <c r="O39" s="116">
        <f>Amnt_Deposited!B34</f>
        <v>2020</v>
      </c>
      <c r="P39" s="119">
        <f>Amnt_Deposited!O34</f>
        <v>20.881456680000003</v>
      </c>
      <c r="Q39" s="319">
        <f>MCF!R38</f>
        <v>0.8</v>
      </c>
      <c r="R39" s="87">
        <f t="shared" si="5"/>
        <v>0</v>
      </c>
      <c r="S39" s="87">
        <f t="shared" si="7"/>
        <v>0</v>
      </c>
      <c r="T39" s="87">
        <f t="shared" si="8"/>
        <v>0</v>
      </c>
      <c r="U39" s="87">
        <f t="shared" si="9"/>
        <v>0</v>
      </c>
      <c r="V39" s="87">
        <f t="shared" si="10"/>
        <v>0</v>
      </c>
      <c r="W39" s="120">
        <f t="shared" si="11"/>
        <v>0</v>
      </c>
    </row>
    <row r="40" spans="2:23">
      <c r="B40" s="116">
        <f>Amnt_Deposited!B35</f>
        <v>2021</v>
      </c>
      <c r="C40" s="119">
        <f>Amnt_Deposited!O35</f>
        <v>21.58178856</v>
      </c>
      <c r="D40" s="453">
        <f>Dry_Matter_Content!O27</f>
        <v>0</v>
      </c>
      <c r="E40" s="319">
        <f>MCF!R39</f>
        <v>0.8</v>
      </c>
      <c r="F40" s="87">
        <f t="shared" si="0"/>
        <v>0</v>
      </c>
      <c r="G40" s="87">
        <f t="shared" si="1"/>
        <v>0</v>
      </c>
      <c r="H40" s="87">
        <f t="shared" si="2"/>
        <v>0</v>
      </c>
      <c r="I40" s="87">
        <f t="shared" si="3"/>
        <v>0</v>
      </c>
      <c r="J40" s="87">
        <f t="shared" si="4"/>
        <v>0</v>
      </c>
      <c r="K40" s="120">
        <f t="shared" si="6"/>
        <v>0</v>
      </c>
      <c r="O40" s="116">
        <f>Amnt_Deposited!B35</f>
        <v>2021</v>
      </c>
      <c r="P40" s="119">
        <f>Amnt_Deposited!O35</f>
        <v>21.58178856</v>
      </c>
      <c r="Q40" s="319">
        <f>MCF!R39</f>
        <v>0.8</v>
      </c>
      <c r="R40" s="87">
        <f t="shared" si="5"/>
        <v>0</v>
      </c>
      <c r="S40" s="87">
        <f t="shared" si="7"/>
        <v>0</v>
      </c>
      <c r="T40" s="87">
        <f t="shared" si="8"/>
        <v>0</v>
      </c>
      <c r="U40" s="87">
        <f t="shared" si="9"/>
        <v>0</v>
      </c>
      <c r="V40" s="87">
        <f t="shared" si="10"/>
        <v>0</v>
      </c>
      <c r="W40" s="120">
        <f t="shared" si="11"/>
        <v>0</v>
      </c>
    </row>
    <row r="41" spans="2:23">
      <c r="B41" s="116">
        <f>Amnt_Deposited!B36</f>
        <v>2022</v>
      </c>
      <c r="C41" s="119">
        <f>Amnt_Deposited!O36</f>
        <v>22.282120440000003</v>
      </c>
      <c r="D41" s="453">
        <f>Dry_Matter_Content!O28</f>
        <v>0</v>
      </c>
      <c r="E41" s="319">
        <f>MCF!R40</f>
        <v>0.8</v>
      </c>
      <c r="F41" s="87">
        <f t="shared" si="0"/>
        <v>0</v>
      </c>
      <c r="G41" s="87">
        <f t="shared" si="1"/>
        <v>0</v>
      </c>
      <c r="H41" s="87">
        <f t="shared" si="2"/>
        <v>0</v>
      </c>
      <c r="I41" s="87">
        <f t="shared" si="3"/>
        <v>0</v>
      </c>
      <c r="J41" s="87">
        <f t="shared" si="4"/>
        <v>0</v>
      </c>
      <c r="K41" s="120">
        <f t="shared" si="6"/>
        <v>0</v>
      </c>
      <c r="O41" s="116">
        <f>Amnt_Deposited!B36</f>
        <v>2022</v>
      </c>
      <c r="P41" s="119">
        <f>Amnt_Deposited!O36</f>
        <v>22.282120440000003</v>
      </c>
      <c r="Q41" s="319">
        <f>MCF!R40</f>
        <v>0.8</v>
      </c>
      <c r="R41" s="87">
        <f t="shared" si="5"/>
        <v>0</v>
      </c>
      <c r="S41" s="87">
        <f t="shared" si="7"/>
        <v>0</v>
      </c>
      <c r="T41" s="87">
        <f t="shared" si="8"/>
        <v>0</v>
      </c>
      <c r="U41" s="87">
        <f t="shared" si="9"/>
        <v>0</v>
      </c>
      <c r="V41" s="87">
        <f t="shared" si="10"/>
        <v>0</v>
      </c>
      <c r="W41" s="120">
        <f t="shared" si="11"/>
        <v>0</v>
      </c>
    </row>
    <row r="42" spans="2:23">
      <c r="B42" s="116">
        <f>Amnt_Deposited!B37</f>
        <v>2023</v>
      </c>
      <c r="C42" s="119">
        <f>Amnt_Deposited!O37</f>
        <v>22.982452320000004</v>
      </c>
      <c r="D42" s="453">
        <f>Dry_Matter_Content!O29</f>
        <v>0</v>
      </c>
      <c r="E42" s="319">
        <f>MCF!R41</f>
        <v>0.8</v>
      </c>
      <c r="F42" s="87">
        <f t="shared" si="0"/>
        <v>0</v>
      </c>
      <c r="G42" s="87">
        <f t="shared" si="1"/>
        <v>0</v>
      </c>
      <c r="H42" s="87">
        <f t="shared" si="2"/>
        <v>0</v>
      </c>
      <c r="I42" s="87">
        <f t="shared" si="3"/>
        <v>0</v>
      </c>
      <c r="J42" s="87">
        <f t="shared" si="4"/>
        <v>0</v>
      </c>
      <c r="K42" s="120">
        <f t="shared" si="6"/>
        <v>0</v>
      </c>
      <c r="O42" s="116">
        <f>Amnt_Deposited!B37</f>
        <v>2023</v>
      </c>
      <c r="P42" s="119">
        <f>Amnt_Deposited!O37</f>
        <v>22.982452320000004</v>
      </c>
      <c r="Q42" s="319">
        <f>MCF!R41</f>
        <v>0.8</v>
      </c>
      <c r="R42" s="87">
        <f t="shared" si="5"/>
        <v>0</v>
      </c>
      <c r="S42" s="87">
        <f t="shared" si="7"/>
        <v>0</v>
      </c>
      <c r="T42" s="87">
        <f t="shared" si="8"/>
        <v>0</v>
      </c>
      <c r="U42" s="87">
        <f t="shared" si="9"/>
        <v>0</v>
      </c>
      <c r="V42" s="87">
        <f t="shared" si="10"/>
        <v>0</v>
      </c>
      <c r="W42" s="120">
        <f t="shared" si="11"/>
        <v>0</v>
      </c>
    </row>
    <row r="43" spans="2:23">
      <c r="B43" s="116">
        <f>Amnt_Deposited!B38</f>
        <v>2024</v>
      </c>
      <c r="C43" s="119">
        <f>Amnt_Deposited!O38</f>
        <v>23.6827842</v>
      </c>
      <c r="D43" s="453">
        <f>Dry_Matter_Content!O30</f>
        <v>0</v>
      </c>
      <c r="E43" s="319">
        <f>MCF!R42</f>
        <v>0.8</v>
      </c>
      <c r="F43" s="87">
        <f t="shared" si="0"/>
        <v>0</v>
      </c>
      <c r="G43" s="87">
        <f t="shared" si="1"/>
        <v>0</v>
      </c>
      <c r="H43" s="87">
        <f t="shared" si="2"/>
        <v>0</v>
      </c>
      <c r="I43" s="87">
        <f t="shared" si="3"/>
        <v>0</v>
      </c>
      <c r="J43" s="87">
        <f t="shared" si="4"/>
        <v>0</v>
      </c>
      <c r="K43" s="120">
        <f t="shared" si="6"/>
        <v>0</v>
      </c>
      <c r="O43" s="116">
        <f>Amnt_Deposited!B38</f>
        <v>2024</v>
      </c>
      <c r="P43" s="119">
        <f>Amnt_Deposited!O38</f>
        <v>23.6827842</v>
      </c>
      <c r="Q43" s="319">
        <f>MCF!R42</f>
        <v>0.8</v>
      </c>
      <c r="R43" s="87">
        <f t="shared" si="5"/>
        <v>0</v>
      </c>
      <c r="S43" s="87">
        <f t="shared" si="7"/>
        <v>0</v>
      </c>
      <c r="T43" s="87">
        <f t="shared" si="8"/>
        <v>0</v>
      </c>
      <c r="U43" s="87">
        <f t="shared" si="9"/>
        <v>0</v>
      </c>
      <c r="V43" s="87">
        <f t="shared" si="10"/>
        <v>0</v>
      </c>
      <c r="W43" s="120">
        <f t="shared" si="11"/>
        <v>0</v>
      </c>
    </row>
    <row r="44" spans="2:23">
      <c r="B44" s="116">
        <f>Amnt_Deposited!B39</f>
        <v>2025</v>
      </c>
      <c r="C44" s="119">
        <f>Amnt_Deposited!O39</f>
        <v>24.383116080000004</v>
      </c>
      <c r="D44" s="453">
        <f>Dry_Matter_Content!O31</f>
        <v>0</v>
      </c>
      <c r="E44" s="319">
        <f>MCF!R43</f>
        <v>0.8</v>
      </c>
      <c r="F44" s="87">
        <f t="shared" si="0"/>
        <v>0</v>
      </c>
      <c r="G44" s="87">
        <f t="shared" si="1"/>
        <v>0</v>
      </c>
      <c r="H44" s="87">
        <f t="shared" si="2"/>
        <v>0</v>
      </c>
      <c r="I44" s="87">
        <f t="shared" si="3"/>
        <v>0</v>
      </c>
      <c r="J44" s="87">
        <f t="shared" si="4"/>
        <v>0</v>
      </c>
      <c r="K44" s="120">
        <f t="shared" si="6"/>
        <v>0</v>
      </c>
      <c r="O44" s="116">
        <f>Amnt_Deposited!B39</f>
        <v>2025</v>
      </c>
      <c r="P44" s="119">
        <f>Amnt_Deposited!O39</f>
        <v>24.383116080000004</v>
      </c>
      <c r="Q44" s="319">
        <f>MCF!R43</f>
        <v>0.8</v>
      </c>
      <c r="R44" s="87">
        <f t="shared" si="5"/>
        <v>0</v>
      </c>
      <c r="S44" s="87">
        <f t="shared" si="7"/>
        <v>0</v>
      </c>
      <c r="T44" s="87">
        <f t="shared" si="8"/>
        <v>0</v>
      </c>
      <c r="U44" s="87">
        <f t="shared" si="9"/>
        <v>0</v>
      </c>
      <c r="V44" s="87">
        <f t="shared" si="10"/>
        <v>0</v>
      </c>
      <c r="W44" s="120">
        <f t="shared" si="11"/>
        <v>0</v>
      </c>
    </row>
    <row r="45" spans="2:23">
      <c r="B45" s="116">
        <f>Amnt_Deposited!B40</f>
        <v>2026</v>
      </c>
      <c r="C45" s="119">
        <f>Amnt_Deposited!O40</f>
        <v>25.083447960000001</v>
      </c>
      <c r="D45" s="453">
        <f>Dry_Matter_Content!O32</f>
        <v>0</v>
      </c>
      <c r="E45" s="319">
        <f>MCF!R44</f>
        <v>0.8</v>
      </c>
      <c r="F45" s="87">
        <f t="shared" si="0"/>
        <v>0</v>
      </c>
      <c r="G45" s="87">
        <f t="shared" si="1"/>
        <v>0</v>
      </c>
      <c r="H45" s="87">
        <f t="shared" si="2"/>
        <v>0</v>
      </c>
      <c r="I45" s="87">
        <f t="shared" si="3"/>
        <v>0</v>
      </c>
      <c r="J45" s="87">
        <f t="shared" si="4"/>
        <v>0</v>
      </c>
      <c r="K45" s="120">
        <f t="shared" si="6"/>
        <v>0</v>
      </c>
      <c r="O45" s="116">
        <f>Amnt_Deposited!B40</f>
        <v>2026</v>
      </c>
      <c r="P45" s="119">
        <f>Amnt_Deposited!O40</f>
        <v>25.083447960000001</v>
      </c>
      <c r="Q45" s="319">
        <f>MCF!R44</f>
        <v>0.8</v>
      </c>
      <c r="R45" s="87">
        <f t="shared" si="5"/>
        <v>0</v>
      </c>
      <c r="S45" s="87">
        <f t="shared" si="7"/>
        <v>0</v>
      </c>
      <c r="T45" s="87">
        <f t="shared" si="8"/>
        <v>0</v>
      </c>
      <c r="U45" s="87">
        <f t="shared" si="9"/>
        <v>0</v>
      </c>
      <c r="V45" s="87">
        <f t="shared" si="10"/>
        <v>0</v>
      </c>
      <c r="W45" s="120">
        <f t="shared" si="11"/>
        <v>0</v>
      </c>
    </row>
    <row r="46" spans="2:23">
      <c r="B46" s="116">
        <f>Amnt_Deposited!B41</f>
        <v>2027</v>
      </c>
      <c r="C46" s="119">
        <f>Amnt_Deposited!O41</f>
        <v>25.783779840000005</v>
      </c>
      <c r="D46" s="453">
        <f>Dry_Matter_Content!O33</f>
        <v>0</v>
      </c>
      <c r="E46" s="319">
        <f>MCF!R45</f>
        <v>0.8</v>
      </c>
      <c r="F46" s="87">
        <f t="shared" si="0"/>
        <v>0</v>
      </c>
      <c r="G46" s="87">
        <f t="shared" si="1"/>
        <v>0</v>
      </c>
      <c r="H46" s="87">
        <f t="shared" si="2"/>
        <v>0</v>
      </c>
      <c r="I46" s="87">
        <f t="shared" si="3"/>
        <v>0</v>
      </c>
      <c r="J46" s="87">
        <f t="shared" si="4"/>
        <v>0</v>
      </c>
      <c r="K46" s="120">
        <f t="shared" si="6"/>
        <v>0</v>
      </c>
      <c r="O46" s="116">
        <f>Amnt_Deposited!B41</f>
        <v>2027</v>
      </c>
      <c r="P46" s="119">
        <f>Amnt_Deposited!O41</f>
        <v>25.783779840000005</v>
      </c>
      <c r="Q46" s="319">
        <f>MCF!R45</f>
        <v>0.8</v>
      </c>
      <c r="R46" s="87">
        <f t="shared" si="5"/>
        <v>0</v>
      </c>
      <c r="S46" s="87">
        <f t="shared" si="7"/>
        <v>0</v>
      </c>
      <c r="T46" s="87">
        <f t="shared" si="8"/>
        <v>0</v>
      </c>
      <c r="U46" s="87">
        <f t="shared" si="9"/>
        <v>0</v>
      </c>
      <c r="V46" s="87">
        <f t="shared" si="10"/>
        <v>0</v>
      </c>
      <c r="W46" s="120">
        <f t="shared" si="11"/>
        <v>0</v>
      </c>
    </row>
    <row r="47" spans="2:23">
      <c r="B47" s="116">
        <f>Amnt_Deposited!B42</f>
        <v>2028</v>
      </c>
      <c r="C47" s="119">
        <f>Amnt_Deposited!O42</f>
        <v>26.484111720000001</v>
      </c>
      <c r="D47" s="453">
        <f>Dry_Matter_Content!O34</f>
        <v>0</v>
      </c>
      <c r="E47" s="319">
        <f>MCF!R46</f>
        <v>0.8</v>
      </c>
      <c r="F47" s="87">
        <f t="shared" si="0"/>
        <v>0</v>
      </c>
      <c r="G47" s="87">
        <f t="shared" si="1"/>
        <v>0</v>
      </c>
      <c r="H47" s="87">
        <f t="shared" si="2"/>
        <v>0</v>
      </c>
      <c r="I47" s="87">
        <f t="shared" si="3"/>
        <v>0</v>
      </c>
      <c r="J47" s="87">
        <f t="shared" si="4"/>
        <v>0</v>
      </c>
      <c r="K47" s="120">
        <f t="shared" si="6"/>
        <v>0</v>
      </c>
      <c r="O47" s="116">
        <f>Amnt_Deposited!B42</f>
        <v>2028</v>
      </c>
      <c r="P47" s="119">
        <f>Amnt_Deposited!O42</f>
        <v>26.484111720000001</v>
      </c>
      <c r="Q47" s="319">
        <f>MCF!R46</f>
        <v>0.8</v>
      </c>
      <c r="R47" s="87">
        <f t="shared" si="5"/>
        <v>0</v>
      </c>
      <c r="S47" s="87">
        <f t="shared" si="7"/>
        <v>0</v>
      </c>
      <c r="T47" s="87">
        <f t="shared" si="8"/>
        <v>0</v>
      </c>
      <c r="U47" s="87">
        <f t="shared" si="9"/>
        <v>0</v>
      </c>
      <c r="V47" s="87">
        <f t="shared" si="10"/>
        <v>0</v>
      </c>
      <c r="W47" s="120">
        <f t="shared" si="11"/>
        <v>0</v>
      </c>
    </row>
    <row r="48" spans="2:23">
      <c r="B48" s="116">
        <f>Amnt_Deposited!B43</f>
        <v>2029</v>
      </c>
      <c r="C48" s="119">
        <f>Amnt_Deposited!O43</f>
        <v>27.184443600000002</v>
      </c>
      <c r="D48" s="453">
        <f>Dry_Matter_Content!O35</f>
        <v>0</v>
      </c>
      <c r="E48" s="319">
        <f>MCF!R47</f>
        <v>0.8</v>
      </c>
      <c r="F48" s="87">
        <f t="shared" si="0"/>
        <v>0</v>
      </c>
      <c r="G48" s="87">
        <f t="shared" si="1"/>
        <v>0</v>
      </c>
      <c r="H48" s="87">
        <f t="shared" si="2"/>
        <v>0</v>
      </c>
      <c r="I48" s="87">
        <f t="shared" si="3"/>
        <v>0</v>
      </c>
      <c r="J48" s="87">
        <f t="shared" si="4"/>
        <v>0</v>
      </c>
      <c r="K48" s="120">
        <f t="shared" si="6"/>
        <v>0</v>
      </c>
      <c r="O48" s="116">
        <f>Amnt_Deposited!B43</f>
        <v>2029</v>
      </c>
      <c r="P48" s="119">
        <f>Amnt_Deposited!O43</f>
        <v>27.184443600000002</v>
      </c>
      <c r="Q48" s="319">
        <f>MCF!R47</f>
        <v>0.8</v>
      </c>
      <c r="R48" s="87">
        <f t="shared" si="5"/>
        <v>0</v>
      </c>
      <c r="S48" s="87">
        <f t="shared" si="7"/>
        <v>0</v>
      </c>
      <c r="T48" s="87">
        <f t="shared" si="8"/>
        <v>0</v>
      </c>
      <c r="U48" s="87">
        <f t="shared" si="9"/>
        <v>0</v>
      </c>
      <c r="V48" s="87">
        <f t="shared" si="10"/>
        <v>0</v>
      </c>
      <c r="W48" s="120">
        <f t="shared" si="11"/>
        <v>0</v>
      </c>
    </row>
    <row r="49" spans="2:23">
      <c r="B49" s="116">
        <f>Amnt_Deposited!B44</f>
        <v>2030</v>
      </c>
      <c r="C49" s="119">
        <f>Amnt_Deposited!O44</f>
        <v>27.884775480000002</v>
      </c>
      <c r="D49" s="453">
        <f>Dry_Matter_Content!O36</f>
        <v>0</v>
      </c>
      <c r="E49" s="319">
        <f>MCF!R48</f>
        <v>0.8</v>
      </c>
      <c r="F49" s="87">
        <f t="shared" si="0"/>
        <v>0</v>
      </c>
      <c r="G49" s="87">
        <f t="shared" si="1"/>
        <v>0</v>
      </c>
      <c r="H49" s="87">
        <f t="shared" si="2"/>
        <v>0</v>
      </c>
      <c r="I49" s="87">
        <f t="shared" si="3"/>
        <v>0</v>
      </c>
      <c r="J49" s="87">
        <f t="shared" si="4"/>
        <v>0</v>
      </c>
      <c r="K49" s="120">
        <f t="shared" si="6"/>
        <v>0</v>
      </c>
      <c r="O49" s="116">
        <f>Amnt_Deposited!B44</f>
        <v>2030</v>
      </c>
      <c r="P49" s="119">
        <f>Amnt_Deposited!O44</f>
        <v>27.884775480000002</v>
      </c>
      <c r="Q49" s="319">
        <f>MCF!R48</f>
        <v>0.8</v>
      </c>
      <c r="R49" s="87">
        <f t="shared" si="5"/>
        <v>0</v>
      </c>
      <c r="S49" s="87">
        <f t="shared" si="7"/>
        <v>0</v>
      </c>
      <c r="T49" s="87">
        <f t="shared" si="8"/>
        <v>0</v>
      </c>
      <c r="U49" s="87">
        <f t="shared" si="9"/>
        <v>0</v>
      </c>
      <c r="V49" s="87">
        <f t="shared" si="10"/>
        <v>0</v>
      </c>
      <c r="W49" s="120">
        <f t="shared" si="11"/>
        <v>0</v>
      </c>
    </row>
    <row r="50" spans="2:23">
      <c r="B50" s="116">
        <f>Amnt_Deposited!B45</f>
        <v>2031</v>
      </c>
      <c r="C50" s="119">
        <f>Amnt_Deposited!O45</f>
        <v>0</v>
      </c>
      <c r="D50" s="453">
        <f>Dry_Matter_Content!O37</f>
        <v>0</v>
      </c>
      <c r="E50" s="319">
        <f>MCF!R49</f>
        <v>0.8</v>
      </c>
      <c r="F50" s="87">
        <f t="shared" si="0"/>
        <v>0</v>
      </c>
      <c r="G50" s="87">
        <f t="shared" si="1"/>
        <v>0</v>
      </c>
      <c r="H50" s="87">
        <f t="shared" si="2"/>
        <v>0</v>
      </c>
      <c r="I50" s="87">
        <f t="shared" si="3"/>
        <v>0</v>
      </c>
      <c r="J50" s="87">
        <f t="shared" si="4"/>
        <v>0</v>
      </c>
      <c r="K50" s="120">
        <f t="shared" si="6"/>
        <v>0</v>
      </c>
      <c r="O50" s="116">
        <f>Amnt_Deposited!B45</f>
        <v>2031</v>
      </c>
      <c r="P50" s="119">
        <f>Amnt_Deposited!O45</f>
        <v>0</v>
      </c>
      <c r="Q50" s="319">
        <f>MCF!R49</f>
        <v>0.8</v>
      </c>
      <c r="R50" s="87">
        <f t="shared" si="5"/>
        <v>0</v>
      </c>
      <c r="S50" s="87">
        <f t="shared" si="7"/>
        <v>0</v>
      </c>
      <c r="T50" s="87">
        <f t="shared" si="8"/>
        <v>0</v>
      </c>
      <c r="U50" s="87">
        <f t="shared" si="9"/>
        <v>0</v>
      </c>
      <c r="V50" s="87">
        <f t="shared" si="10"/>
        <v>0</v>
      </c>
      <c r="W50" s="120">
        <f t="shared" si="11"/>
        <v>0</v>
      </c>
    </row>
    <row r="51" spans="2:23">
      <c r="B51" s="116">
        <f>Amnt_Deposited!B46</f>
        <v>2032</v>
      </c>
      <c r="C51" s="119">
        <f>Amnt_Deposited!O46</f>
        <v>0</v>
      </c>
      <c r="D51" s="453">
        <f>Dry_Matter_Content!O38</f>
        <v>0</v>
      </c>
      <c r="E51" s="319">
        <f>MCF!R50</f>
        <v>0.8</v>
      </c>
      <c r="F51" s="87">
        <f t="shared" si="0"/>
        <v>0</v>
      </c>
      <c r="G51" s="87">
        <f t="shared" si="1"/>
        <v>0</v>
      </c>
      <c r="H51" s="87">
        <f t="shared" si="2"/>
        <v>0</v>
      </c>
      <c r="I51" s="87">
        <f t="shared" si="3"/>
        <v>0</v>
      </c>
      <c r="J51" s="87">
        <f t="shared" si="4"/>
        <v>0</v>
      </c>
      <c r="K51" s="120">
        <f t="shared" si="6"/>
        <v>0</v>
      </c>
      <c r="O51" s="116">
        <f>Amnt_Deposited!B46</f>
        <v>2032</v>
      </c>
      <c r="P51" s="119">
        <f>Amnt_Deposited!O46</f>
        <v>0</v>
      </c>
      <c r="Q51" s="319">
        <f>MCF!R50</f>
        <v>0.8</v>
      </c>
      <c r="R51" s="87">
        <f t="shared" si="5"/>
        <v>0</v>
      </c>
      <c r="S51" s="87">
        <f t="shared" si="7"/>
        <v>0</v>
      </c>
      <c r="T51" s="87">
        <f t="shared" si="8"/>
        <v>0</v>
      </c>
      <c r="U51" s="87">
        <f t="shared" si="9"/>
        <v>0</v>
      </c>
      <c r="V51" s="87">
        <f t="shared" si="10"/>
        <v>0</v>
      </c>
      <c r="W51" s="120">
        <f t="shared" si="11"/>
        <v>0</v>
      </c>
    </row>
    <row r="52" spans="2:23">
      <c r="B52" s="116">
        <f>Amnt_Deposited!B47</f>
        <v>2033</v>
      </c>
      <c r="C52" s="119">
        <f>Amnt_Deposited!O47</f>
        <v>0</v>
      </c>
      <c r="D52" s="453">
        <f>Dry_Matter_Content!O39</f>
        <v>0</v>
      </c>
      <c r="E52" s="319">
        <f>MCF!R51</f>
        <v>0.8</v>
      </c>
      <c r="F52" s="87">
        <f t="shared" si="0"/>
        <v>0</v>
      </c>
      <c r="G52" s="87">
        <f t="shared" si="1"/>
        <v>0</v>
      </c>
      <c r="H52" s="87">
        <f t="shared" si="2"/>
        <v>0</v>
      </c>
      <c r="I52" s="87">
        <f t="shared" si="3"/>
        <v>0</v>
      </c>
      <c r="J52" s="87">
        <f t="shared" si="4"/>
        <v>0</v>
      </c>
      <c r="K52" s="120">
        <f t="shared" si="6"/>
        <v>0</v>
      </c>
      <c r="O52" s="116">
        <f>Amnt_Deposited!B47</f>
        <v>2033</v>
      </c>
      <c r="P52" s="119">
        <f>Amnt_Deposited!O47</f>
        <v>0</v>
      </c>
      <c r="Q52" s="319">
        <f>MCF!R51</f>
        <v>0.8</v>
      </c>
      <c r="R52" s="87">
        <f t="shared" si="5"/>
        <v>0</v>
      </c>
      <c r="S52" s="87">
        <f t="shared" si="7"/>
        <v>0</v>
      </c>
      <c r="T52" s="87">
        <f t="shared" si="8"/>
        <v>0</v>
      </c>
      <c r="U52" s="87">
        <f t="shared" si="9"/>
        <v>0</v>
      </c>
      <c r="V52" s="87">
        <f t="shared" si="10"/>
        <v>0</v>
      </c>
      <c r="W52" s="120">
        <f t="shared" si="11"/>
        <v>0</v>
      </c>
    </row>
    <row r="53" spans="2:23">
      <c r="B53" s="116">
        <f>Amnt_Deposited!B48</f>
        <v>2034</v>
      </c>
      <c r="C53" s="119">
        <f>Amnt_Deposited!O48</f>
        <v>0</v>
      </c>
      <c r="D53" s="453">
        <f>Dry_Matter_Content!O40</f>
        <v>0</v>
      </c>
      <c r="E53" s="319">
        <f>MCF!R52</f>
        <v>0.8</v>
      </c>
      <c r="F53" s="87">
        <f t="shared" si="0"/>
        <v>0</v>
      </c>
      <c r="G53" s="87">
        <f t="shared" si="1"/>
        <v>0</v>
      </c>
      <c r="H53" s="87">
        <f t="shared" si="2"/>
        <v>0</v>
      </c>
      <c r="I53" s="87">
        <f t="shared" si="3"/>
        <v>0</v>
      </c>
      <c r="J53" s="87">
        <f t="shared" si="4"/>
        <v>0</v>
      </c>
      <c r="K53" s="120">
        <f t="shared" si="6"/>
        <v>0</v>
      </c>
      <c r="O53" s="116">
        <f>Amnt_Deposited!B48</f>
        <v>2034</v>
      </c>
      <c r="P53" s="119">
        <f>Amnt_Deposited!O48</f>
        <v>0</v>
      </c>
      <c r="Q53" s="319">
        <f>MCF!R52</f>
        <v>0.8</v>
      </c>
      <c r="R53" s="87">
        <f t="shared" si="5"/>
        <v>0</v>
      </c>
      <c r="S53" s="87">
        <f t="shared" si="7"/>
        <v>0</v>
      </c>
      <c r="T53" s="87">
        <f t="shared" si="8"/>
        <v>0</v>
      </c>
      <c r="U53" s="87">
        <f t="shared" si="9"/>
        <v>0</v>
      </c>
      <c r="V53" s="87">
        <f t="shared" si="10"/>
        <v>0</v>
      </c>
      <c r="W53" s="120">
        <f t="shared" si="11"/>
        <v>0</v>
      </c>
    </row>
    <row r="54" spans="2:23">
      <c r="B54" s="116">
        <f>Amnt_Deposited!B49</f>
        <v>2035</v>
      </c>
      <c r="C54" s="119">
        <f>Amnt_Deposited!O49</f>
        <v>0</v>
      </c>
      <c r="D54" s="453">
        <f>Dry_Matter_Content!O41</f>
        <v>0</v>
      </c>
      <c r="E54" s="319">
        <f>MCF!R53</f>
        <v>0.8</v>
      </c>
      <c r="F54" s="87">
        <f t="shared" si="0"/>
        <v>0</v>
      </c>
      <c r="G54" s="87">
        <f t="shared" si="1"/>
        <v>0</v>
      </c>
      <c r="H54" s="87">
        <f t="shared" si="2"/>
        <v>0</v>
      </c>
      <c r="I54" s="87">
        <f t="shared" si="3"/>
        <v>0</v>
      </c>
      <c r="J54" s="87">
        <f t="shared" si="4"/>
        <v>0</v>
      </c>
      <c r="K54" s="120">
        <f t="shared" si="6"/>
        <v>0</v>
      </c>
      <c r="O54" s="116">
        <f>Amnt_Deposited!B49</f>
        <v>2035</v>
      </c>
      <c r="P54" s="119">
        <f>Amnt_Deposited!O49</f>
        <v>0</v>
      </c>
      <c r="Q54" s="319">
        <f>MCF!R53</f>
        <v>0.8</v>
      </c>
      <c r="R54" s="87">
        <f t="shared" si="5"/>
        <v>0</v>
      </c>
      <c r="S54" s="87">
        <f t="shared" si="7"/>
        <v>0</v>
      </c>
      <c r="T54" s="87">
        <f t="shared" si="8"/>
        <v>0</v>
      </c>
      <c r="U54" s="87">
        <f t="shared" si="9"/>
        <v>0</v>
      </c>
      <c r="V54" s="87">
        <f t="shared" si="10"/>
        <v>0</v>
      </c>
      <c r="W54" s="120">
        <f t="shared" si="11"/>
        <v>0</v>
      </c>
    </row>
    <row r="55" spans="2:23">
      <c r="B55" s="116">
        <f>Amnt_Deposited!B50</f>
        <v>2036</v>
      </c>
      <c r="C55" s="119">
        <f>Amnt_Deposited!O50</f>
        <v>0</v>
      </c>
      <c r="D55" s="453">
        <f>Dry_Matter_Content!O42</f>
        <v>0</v>
      </c>
      <c r="E55" s="319">
        <f>MCF!R54</f>
        <v>0.8</v>
      </c>
      <c r="F55" s="87">
        <f t="shared" si="0"/>
        <v>0</v>
      </c>
      <c r="G55" s="87">
        <f t="shared" si="1"/>
        <v>0</v>
      </c>
      <c r="H55" s="87">
        <f t="shared" si="2"/>
        <v>0</v>
      </c>
      <c r="I55" s="87">
        <f t="shared" si="3"/>
        <v>0</v>
      </c>
      <c r="J55" s="87">
        <f t="shared" si="4"/>
        <v>0</v>
      </c>
      <c r="K55" s="120">
        <f t="shared" si="6"/>
        <v>0</v>
      </c>
      <c r="O55" s="116">
        <f>Amnt_Deposited!B50</f>
        <v>2036</v>
      </c>
      <c r="P55" s="119">
        <f>Amnt_Deposited!O50</f>
        <v>0</v>
      </c>
      <c r="Q55" s="319">
        <f>MCF!R54</f>
        <v>0.8</v>
      </c>
      <c r="R55" s="87">
        <f t="shared" si="5"/>
        <v>0</v>
      </c>
      <c r="S55" s="87">
        <f t="shared" si="7"/>
        <v>0</v>
      </c>
      <c r="T55" s="87">
        <f t="shared" si="8"/>
        <v>0</v>
      </c>
      <c r="U55" s="87">
        <f t="shared" si="9"/>
        <v>0</v>
      </c>
      <c r="V55" s="87">
        <f t="shared" si="10"/>
        <v>0</v>
      </c>
      <c r="W55" s="120">
        <f t="shared" si="11"/>
        <v>0</v>
      </c>
    </row>
    <row r="56" spans="2:23">
      <c r="B56" s="116">
        <f>Amnt_Deposited!B51</f>
        <v>2037</v>
      </c>
      <c r="C56" s="119">
        <f>Amnt_Deposited!O51</f>
        <v>0</v>
      </c>
      <c r="D56" s="453">
        <f>Dry_Matter_Content!O43</f>
        <v>0</v>
      </c>
      <c r="E56" s="319">
        <f>MCF!R55</f>
        <v>0.8</v>
      </c>
      <c r="F56" s="87">
        <f t="shared" si="0"/>
        <v>0</v>
      </c>
      <c r="G56" s="87">
        <f t="shared" si="1"/>
        <v>0</v>
      </c>
      <c r="H56" s="87">
        <f t="shared" si="2"/>
        <v>0</v>
      </c>
      <c r="I56" s="87">
        <f t="shared" si="3"/>
        <v>0</v>
      </c>
      <c r="J56" s="87">
        <f t="shared" si="4"/>
        <v>0</v>
      </c>
      <c r="K56" s="120">
        <f t="shared" si="6"/>
        <v>0</v>
      </c>
      <c r="O56" s="116">
        <f>Amnt_Deposited!B51</f>
        <v>2037</v>
      </c>
      <c r="P56" s="119">
        <f>Amnt_Deposited!O51</f>
        <v>0</v>
      </c>
      <c r="Q56" s="319">
        <f>MCF!R55</f>
        <v>0.8</v>
      </c>
      <c r="R56" s="87">
        <f t="shared" si="5"/>
        <v>0</v>
      </c>
      <c r="S56" s="87">
        <f t="shared" si="7"/>
        <v>0</v>
      </c>
      <c r="T56" s="87">
        <f t="shared" si="8"/>
        <v>0</v>
      </c>
      <c r="U56" s="87">
        <f t="shared" si="9"/>
        <v>0</v>
      </c>
      <c r="V56" s="87">
        <f t="shared" si="10"/>
        <v>0</v>
      </c>
      <c r="W56" s="120">
        <f t="shared" si="11"/>
        <v>0</v>
      </c>
    </row>
    <row r="57" spans="2:23">
      <c r="B57" s="116">
        <f>Amnt_Deposited!B52</f>
        <v>2038</v>
      </c>
      <c r="C57" s="119">
        <f>Amnt_Deposited!O52</f>
        <v>0</v>
      </c>
      <c r="D57" s="453">
        <f>Dry_Matter_Content!O44</f>
        <v>0</v>
      </c>
      <c r="E57" s="319">
        <f>MCF!R56</f>
        <v>0.8</v>
      </c>
      <c r="F57" s="87">
        <f t="shared" si="0"/>
        <v>0</v>
      </c>
      <c r="G57" s="87">
        <f t="shared" si="1"/>
        <v>0</v>
      </c>
      <c r="H57" s="87">
        <f t="shared" si="2"/>
        <v>0</v>
      </c>
      <c r="I57" s="87">
        <f t="shared" si="3"/>
        <v>0</v>
      </c>
      <c r="J57" s="87">
        <f t="shared" si="4"/>
        <v>0</v>
      </c>
      <c r="K57" s="120">
        <f t="shared" si="6"/>
        <v>0</v>
      </c>
      <c r="O57" s="116">
        <f>Amnt_Deposited!B52</f>
        <v>2038</v>
      </c>
      <c r="P57" s="119">
        <f>Amnt_Deposited!O52</f>
        <v>0</v>
      </c>
      <c r="Q57" s="319">
        <f>MCF!R56</f>
        <v>0.8</v>
      </c>
      <c r="R57" s="87">
        <f t="shared" si="5"/>
        <v>0</v>
      </c>
      <c r="S57" s="87">
        <f t="shared" si="7"/>
        <v>0</v>
      </c>
      <c r="T57" s="87">
        <f t="shared" si="8"/>
        <v>0</v>
      </c>
      <c r="U57" s="87">
        <f t="shared" si="9"/>
        <v>0</v>
      </c>
      <c r="V57" s="87">
        <f t="shared" si="10"/>
        <v>0</v>
      </c>
      <c r="W57" s="120">
        <f t="shared" si="11"/>
        <v>0</v>
      </c>
    </row>
    <row r="58" spans="2:23">
      <c r="B58" s="116">
        <f>Amnt_Deposited!B53</f>
        <v>2039</v>
      </c>
      <c r="C58" s="119">
        <f>Amnt_Deposited!O53</f>
        <v>0</v>
      </c>
      <c r="D58" s="453">
        <f>Dry_Matter_Content!O45</f>
        <v>0</v>
      </c>
      <c r="E58" s="319">
        <f>MCF!R57</f>
        <v>0.8</v>
      </c>
      <c r="F58" s="87">
        <f t="shared" si="0"/>
        <v>0</v>
      </c>
      <c r="G58" s="87">
        <f t="shared" si="1"/>
        <v>0</v>
      </c>
      <c r="H58" s="87">
        <f t="shared" si="2"/>
        <v>0</v>
      </c>
      <c r="I58" s="87">
        <f t="shared" si="3"/>
        <v>0</v>
      </c>
      <c r="J58" s="87">
        <f t="shared" si="4"/>
        <v>0</v>
      </c>
      <c r="K58" s="120">
        <f t="shared" si="6"/>
        <v>0</v>
      </c>
      <c r="O58" s="116">
        <f>Amnt_Deposited!B53</f>
        <v>2039</v>
      </c>
      <c r="P58" s="119">
        <f>Amnt_Deposited!O53</f>
        <v>0</v>
      </c>
      <c r="Q58" s="319">
        <f>MCF!R57</f>
        <v>0.8</v>
      </c>
      <c r="R58" s="87">
        <f t="shared" si="5"/>
        <v>0</v>
      </c>
      <c r="S58" s="87">
        <f t="shared" si="7"/>
        <v>0</v>
      </c>
      <c r="T58" s="87">
        <f t="shared" si="8"/>
        <v>0</v>
      </c>
      <c r="U58" s="87">
        <f t="shared" si="9"/>
        <v>0</v>
      </c>
      <c r="V58" s="87">
        <f t="shared" si="10"/>
        <v>0</v>
      </c>
      <c r="W58" s="120">
        <f t="shared" si="11"/>
        <v>0</v>
      </c>
    </row>
    <row r="59" spans="2:23">
      <c r="B59" s="116">
        <f>Amnt_Deposited!B54</f>
        <v>2040</v>
      </c>
      <c r="C59" s="119">
        <f>Amnt_Deposited!O54</f>
        <v>0</v>
      </c>
      <c r="D59" s="453">
        <f>Dry_Matter_Content!O46</f>
        <v>0</v>
      </c>
      <c r="E59" s="319">
        <f>MCF!R58</f>
        <v>0.8</v>
      </c>
      <c r="F59" s="87">
        <f t="shared" si="0"/>
        <v>0</v>
      </c>
      <c r="G59" s="87">
        <f t="shared" si="1"/>
        <v>0</v>
      </c>
      <c r="H59" s="87">
        <f t="shared" si="2"/>
        <v>0</v>
      </c>
      <c r="I59" s="87">
        <f t="shared" si="3"/>
        <v>0</v>
      </c>
      <c r="J59" s="87">
        <f t="shared" si="4"/>
        <v>0</v>
      </c>
      <c r="K59" s="120">
        <f t="shared" si="6"/>
        <v>0</v>
      </c>
      <c r="O59" s="116">
        <f>Amnt_Deposited!B54</f>
        <v>2040</v>
      </c>
      <c r="P59" s="119">
        <f>Amnt_Deposited!O54</f>
        <v>0</v>
      </c>
      <c r="Q59" s="319">
        <f>MCF!R58</f>
        <v>0.8</v>
      </c>
      <c r="R59" s="87">
        <f t="shared" si="5"/>
        <v>0</v>
      </c>
      <c r="S59" s="87">
        <f t="shared" si="7"/>
        <v>0</v>
      </c>
      <c r="T59" s="87">
        <f t="shared" si="8"/>
        <v>0</v>
      </c>
      <c r="U59" s="87">
        <f t="shared" si="9"/>
        <v>0</v>
      </c>
      <c r="V59" s="87">
        <f t="shared" si="10"/>
        <v>0</v>
      </c>
      <c r="W59" s="120">
        <f t="shared" si="11"/>
        <v>0</v>
      </c>
    </row>
    <row r="60" spans="2:23">
      <c r="B60" s="116">
        <f>Amnt_Deposited!B55</f>
        <v>2041</v>
      </c>
      <c r="C60" s="119">
        <f>Amnt_Deposited!O55</f>
        <v>0</v>
      </c>
      <c r="D60" s="453">
        <f>Dry_Matter_Content!O47</f>
        <v>0</v>
      </c>
      <c r="E60" s="319">
        <f>MCF!R59</f>
        <v>0.8</v>
      </c>
      <c r="F60" s="87">
        <f t="shared" si="0"/>
        <v>0</v>
      </c>
      <c r="G60" s="87">
        <f t="shared" si="1"/>
        <v>0</v>
      </c>
      <c r="H60" s="87">
        <f t="shared" si="2"/>
        <v>0</v>
      </c>
      <c r="I60" s="87">
        <f t="shared" si="3"/>
        <v>0</v>
      </c>
      <c r="J60" s="87">
        <f t="shared" si="4"/>
        <v>0</v>
      </c>
      <c r="K60" s="120">
        <f t="shared" si="6"/>
        <v>0</v>
      </c>
      <c r="O60" s="116">
        <f>Amnt_Deposited!B55</f>
        <v>2041</v>
      </c>
      <c r="P60" s="119">
        <f>Amnt_Deposited!O55</f>
        <v>0</v>
      </c>
      <c r="Q60" s="319">
        <f>MCF!R59</f>
        <v>0.8</v>
      </c>
      <c r="R60" s="87">
        <f t="shared" si="5"/>
        <v>0</v>
      </c>
      <c r="S60" s="87">
        <f t="shared" si="7"/>
        <v>0</v>
      </c>
      <c r="T60" s="87">
        <f t="shared" si="8"/>
        <v>0</v>
      </c>
      <c r="U60" s="87">
        <f t="shared" si="9"/>
        <v>0</v>
      </c>
      <c r="V60" s="87">
        <f t="shared" si="10"/>
        <v>0</v>
      </c>
      <c r="W60" s="120">
        <f t="shared" si="11"/>
        <v>0</v>
      </c>
    </row>
    <row r="61" spans="2:23">
      <c r="B61" s="116">
        <f>Amnt_Deposited!B56</f>
        <v>2042</v>
      </c>
      <c r="C61" s="119">
        <f>Amnt_Deposited!O56</f>
        <v>0</v>
      </c>
      <c r="D61" s="453">
        <f>Dry_Matter_Content!O48</f>
        <v>0</v>
      </c>
      <c r="E61" s="319">
        <f>MCF!R60</f>
        <v>0.8</v>
      </c>
      <c r="F61" s="87">
        <f t="shared" si="0"/>
        <v>0</v>
      </c>
      <c r="G61" s="87">
        <f t="shared" si="1"/>
        <v>0</v>
      </c>
      <c r="H61" s="87">
        <f t="shared" si="2"/>
        <v>0</v>
      </c>
      <c r="I61" s="87">
        <f t="shared" si="3"/>
        <v>0</v>
      </c>
      <c r="J61" s="87">
        <f t="shared" si="4"/>
        <v>0</v>
      </c>
      <c r="K61" s="120">
        <f t="shared" si="6"/>
        <v>0</v>
      </c>
      <c r="O61" s="116">
        <f>Amnt_Deposited!B56</f>
        <v>2042</v>
      </c>
      <c r="P61" s="119">
        <f>Amnt_Deposited!O56</f>
        <v>0</v>
      </c>
      <c r="Q61" s="319">
        <f>MCF!R60</f>
        <v>0.8</v>
      </c>
      <c r="R61" s="87">
        <f t="shared" si="5"/>
        <v>0</v>
      </c>
      <c r="S61" s="87">
        <f t="shared" si="7"/>
        <v>0</v>
      </c>
      <c r="T61" s="87">
        <f t="shared" si="8"/>
        <v>0</v>
      </c>
      <c r="U61" s="87">
        <f t="shared" si="9"/>
        <v>0</v>
      </c>
      <c r="V61" s="87">
        <f t="shared" si="10"/>
        <v>0</v>
      </c>
      <c r="W61" s="120">
        <f t="shared" si="11"/>
        <v>0</v>
      </c>
    </row>
    <row r="62" spans="2:23">
      <c r="B62" s="116">
        <f>Amnt_Deposited!B57</f>
        <v>2043</v>
      </c>
      <c r="C62" s="119">
        <f>Amnt_Deposited!O57</f>
        <v>0</v>
      </c>
      <c r="D62" s="453">
        <f>Dry_Matter_Content!O49</f>
        <v>0</v>
      </c>
      <c r="E62" s="319">
        <f>MCF!R61</f>
        <v>0.8</v>
      </c>
      <c r="F62" s="87">
        <f t="shared" si="0"/>
        <v>0</v>
      </c>
      <c r="G62" s="87">
        <f t="shared" si="1"/>
        <v>0</v>
      </c>
      <c r="H62" s="87">
        <f t="shared" si="2"/>
        <v>0</v>
      </c>
      <c r="I62" s="87">
        <f t="shared" si="3"/>
        <v>0</v>
      </c>
      <c r="J62" s="87">
        <f t="shared" si="4"/>
        <v>0</v>
      </c>
      <c r="K62" s="120">
        <f t="shared" si="6"/>
        <v>0</v>
      </c>
      <c r="O62" s="116">
        <f>Amnt_Deposited!B57</f>
        <v>2043</v>
      </c>
      <c r="P62" s="119">
        <f>Amnt_Deposited!O57</f>
        <v>0</v>
      </c>
      <c r="Q62" s="319">
        <f>MCF!R61</f>
        <v>0.8</v>
      </c>
      <c r="R62" s="87">
        <f t="shared" si="5"/>
        <v>0</v>
      </c>
      <c r="S62" s="87">
        <f t="shared" si="7"/>
        <v>0</v>
      </c>
      <c r="T62" s="87">
        <f t="shared" si="8"/>
        <v>0</v>
      </c>
      <c r="U62" s="87">
        <f t="shared" si="9"/>
        <v>0</v>
      </c>
      <c r="V62" s="87">
        <f t="shared" si="10"/>
        <v>0</v>
      </c>
      <c r="W62" s="120">
        <f t="shared" si="11"/>
        <v>0</v>
      </c>
    </row>
    <row r="63" spans="2:23">
      <c r="B63" s="116">
        <f>Amnt_Deposited!B58</f>
        <v>2044</v>
      </c>
      <c r="C63" s="119">
        <f>Amnt_Deposited!O58</f>
        <v>0</v>
      </c>
      <c r="D63" s="453">
        <f>Dry_Matter_Content!O50</f>
        <v>0</v>
      </c>
      <c r="E63" s="319">
        <f>MCF!R62</f>
        <v>0.8</v>
      </c>
      <c r="F63" s="87">
        <f t="shared" si="0"/>
        <v>0</v>
      </c>
      <c r="G63" s="87">
        <f t="shared" si="1"/>
        <v>0</v>
      </c>
      <c r="H63" s="87">
        <f t="shared" si="2"/>
        <v>0</v>
      </c>
      <c r="I63" s="87">
        <f t="shared" si="3"/>
        <v>0</v>
      </c>
      <c r="J63" s="87">
        <f t="shared" si="4"/>
        <v>0</v>
      </c>
      <c r="K63" s="120">
        <f t="shared" si="6"/>
        <v>0</v>
      </c>
      <c r="O63" s="116">
        <f>Amnt_Deposited!B58</f>
        <v>2044</v>
      </c>
      <c r="P63" s="119">
        <f>Amnt_Deposited!O58</f>
        <v>0</v>
      </c>
      <c r="Q63" s="319">
        <f>MCF!R62</f>
        <v>0.8</v>
      </c>
      <c r="R63" s="87">
        <f t="shared" si="5"/>
        <v>0</v>
      </c>
      <c r="S63" s="87">
        <f t="shared" si="7"/>
        <v>0</v>
      </c>
      <c r="T63" s="87">
        <f t="shared" si="8"/>
        <v>0</v>
      </c>
      <c r="U63" s="87">
        <f t="shared" si="9"/>
        <v>0</v>
      </c>
      <c r="V63" s="87">
        <f t="shared" si="10"/>
        <v>0</v>
      </c>
      <c r="W63" s="120">
        <f t="shared" si="11"/>
        <v>0</v>
      </c>
    </row>
    <row r="64" spans="2:23">
      <c r="B64" s="116">
        <f>Amnt_Deposited!B59</f>
        <v>2045</v>
      </c>
      <c r="C64" s="119">
        <f>Amnt_Deposited!O59</f>
        <v>0</v>
      </c>
      <c r="D64" s="453">
        <f>Dry_Matter_Content!O51</f>
        <v>0</v>
      </c>
      <c r="E64" s="319">
        <f>MCF!R63</f>
        <v>0.8</v>
      </c>
      <c r="F64" s="87">
        <f t="shared" si="0"/>
        <v>0</v>
      </c>
      <c r="G64" s="87">
        <f t="shared" si="1"/>
        <v>0</v>
      </c>
      <c r="H64" s="87">
        <f t="shared" si="2"/>
        <v>0</v>
      </c>
      <c r="I64" s="87">
        <f t="shared" si="3"/>
        <v>0</v>
      </c>
      <c r="J64" s="87">
        <f t="shared" si="4"/>
        <v>0</v>
      </c>
      <c r="K64" s="120">
        <f t="shared" si="6"/>
        <v>0</v>
      </c>
      <c r="O64" s="116">
        <f>Amnt_Deposited!B59</f>
        <v>2045</v>
      </c>
      <c r="P64" s="119">
        <f>Amnt_Deposited!O59</f>
        <v>0</v>
      </c>
      <c r="Q64" s="319">
        <f>MCF!R63</f>
        <v>0.8</v>
      </c>
      <c r="R64" s="87">
        <f t="shared" si="5"/>
        <v>0</v>
      </c>
      <c r="S64" s="87">
        <f t="shared" si="7"/>
        <v>0</v>
      </c>
      <c r="T64" s="87">
        <f t="shared" si="8"/>
        <v>0</v>
      </c>
      <c r="U64" s="87">
        <f t="shared" si="9"/>
        <v>0</v>
      </c>
      <c r="V64" s="87">
        <f t="shared" si="10"/>
        <v>0</v>
      </c>
      <c r="W64" s="120">
        <f t="shared" si="11"/>
        <v>0</v>
      </c>
    </row>
    <row r="65" spans="2:23">
      <c r="B65" s="116">
        <f>Amnt_Deposited!B60</f>
        <v>2046</v>
      </c>
      <c r="C65" s="119">
        <f>Amnt_Deposited!O60</f>
        <v>0</v>
      </c>
      <c r="D65" s="453">
        <f>Dry_Matter_Content!O52</f>
        <v>0</v>
      </c>
      <c r="E65" s="319">
        <f>MCF!R64</f>
        <v>0.8</v>
      </c>
      <c r="F65" s="87">
        <f t="shared" si="0"/>
        <v>0</v>
      </c>
      <c r="G65" s="87">
        <f t="shared" si="1"/>
        <v>0</v>
      </c>
      <c r="H65" s="87">
        <f t="shared" si="2"/>
        <v>0</v>
      </c>
      <c r="I65" s="87">
        <f t="shared" si="3"/>
        <v>0</v>
      </c>
      <c r="J65" s="87">
        <f t="shared" si="4"/>
        <v>0</v>
      </c>
      <c r="K65" s="120">
        <f t="shared" si="6"/>
        <v>0</v>
      </c>
      <c r="O65" s="116">
        <f>Amnt_Deposited!B60</f>
        <v>2046</v>
      </c>
      <c r="P65" s="119">
        <f>Amnt_Deposited!O60</f>
        <v>0</v>
      </c>
      <c r="Q65" s="319">
        <f>MCF!R64</f>
        <v>0.8</v>
      </c>
      <c r="R65" s="87">
        <f t="shared" si="5"/>
        <v>0</v>
      </c>
      <c r="S65" s="87">
        <f t="shared" si="7"/>
        <v>0</v>
      </c>
      <c r="T65" s="87">
        <f t="shared" si="8"/>
        <v>0</v>
      </c>
      <c r="U65" s="87">
        <f t="shared" si="9"/>
        <v>0</v>
      </c>
      <c r="V65" s="87">
        <f t="shared" si="10"/>
        <v>0</v>
      </c>
      <c r="W65" s="120">
        <f t="shared" si="11"/>
        <v>0</v>
      </c>
    </row>
    <row r="66" spans="2:23">
      <c r="B66" s="116">
        <f>Amnt_Deposited!B61</f>
        <v>2047</v>
      </c>
      <c r="C66" s="119">
        <f>Amnt_Deposited!O61</f>
        <v>0</v>
      </c>
      <c r="D66" s="453">
        <f>Dry_Matter_Content!O53</f>
        <v>0</v>
      </c>
      <c r="E66" s="319">
        <f>MCF!R65</f>
        <v>0.8</v>
      </c>
      <c r="F66" s="87">
        <f t="shared" si="0"/>
        <v>0</v>
      </c>
      <c r="G66" s="87">
        <f t="shared" si="1"/>
        <v>0</v>
      </c>
      <c r="H66" s="87">
        <f t="shared" si="2"/>
        <v>0</v>
      </c>
      <c r="I66" s="87">
        <f t="shared" si="3"/>
        <v>0</v>
      </c>
      <c r="J66" s="87">
        <f t="shared" si="4"/>
        <v>0</v>
      </c>
      <c r="K66" s="120">
        <f t="shared" si="6"/>
        <v>0</v>
      </c>
      <c r="O66" s="116">
        <f>Amnt_Deposited!B61</f>
        <v>2047</v>
      </c>
      <c r="P66" s="119">
        <f>Amnt_Deposited!O61</f>
        <v>0</v>
      </c>
      <c r="Q66" s="319">
        <f>MCF!R65</f>
        <v>0.8</v>
      </c>
      <c r="R66" s="87">
        <f t="shared" si="5"/>
        <v>0</v>
      </c>
      <c r="S66" s="87">
        <f t="shared" si="7"/>
        <v>0</v>
      </c>
      <c r="T66" s="87">
        <f t="shared" si="8"/>
        <v>0</v>
      </c>
      <c r="U66" s="87">
        <f t="shared" si="9"/>
        <v>0</v>
      </c>
      <c r="V66" s="87">
        <f t="shared" si="10"/>
        <v>0</v>
      </c>
      <c r="W66" s="120">
        <f t="shared" si="11"/>
        <v>0</v>
      </c>
    </row>
    <row r="67" spans="2:23">
      <c r="B67" s="116">
        <f>Amnt_Deposited!B62</f>
        <v>2048</v>
      </c>
      <c r="C67" s="119">
        <f>Amnt_Deposited!O62</f>
        <v>0</v>
      </c>
      <c r="D67" s="453">
        <f>Dry_Matter_Content!O54</f>
        <v>0</v>
      </c>
      <c r="E67" s="319">
        <f>MCF!R66</f>
        <v>0.8</v>
      </c>
      <c r="F67" s="87">
        <f t="shared" si="0"/>
        <v>0</v>
      </c>
      <c r="G67" s="87">
        <f t="shared" si="1"/>
        <v>0</v>
      </c>
      <c r="H67" s="87">
        <f t="shared" si="2"/>
        <v>0</v>
      </c>
      <c r="I67" s="87">
        <f t="shared" si="3"/>
        <v>0</v>
      </c>
      <c r="J67" s="87">
        <f t="shared" si="4"/>
        <v>0</v>
      </c>
      <c r="K67" s="120">
        <f t="shared" si="6"/>
        <v>0</v>
      </c>
      <c r="O67" s="116">
        <f>Amnt_Deposited!B62</f>
        <v>2048</v>
      </c>
      <c r="P67" s="119">
        <f>Amnt_Deposited!O62</f>
        <v>0</v>
      </c>
      <c r="Q67" s="319">
        <f>MCF!R66</f>
        <v>0.8</v>
      </c>
      <c r="R67" s="87">
        <f t="shared" si="5"/>
        <v>0</v>
      </c>
      <c r="S67" s="87">
        <f t="shared" si="7"/>
        <v>0</v>
      </c>
      <c r="T67" s="87">
        <f t="shared" si="8"/>
        <v>0</v>
      </c>
      <c r="U67" s="87">
        <f t="shared" si="9"/>
        <v>0</v>
      </c>
      <c r="V67" s="87">
        <f t="shared" si="10"/>
        <v>0</v>
      </c>
      <c r="W67" s="120">
        <f t="shared" si="11"/>
        <v>0</v>
      </c>
    </row>
    <row r="68" spans="2:23">
      <c r="B68" s="116">
        <f>Amnt_Deposited!B63</f>
        <v>2049</v>
      </c>
      <c r="C68" s="119">
        <f>Amnt_Deposited!O63</f>
        <v>0</v>
      </c>
      <c r="D68" s="453">
        <f>Dry_Matter_Content!O55</f>
        <v>0</v>
      </c>
      <c r="E68" s="319">
        <f>MCF!R67</f>
        <v>0.8</v>
      </c>
      <c r="F68" s="87">
        <f t="shared" si="0"/>
        <v>0</v>
      </c>
      <c r="G68" s="87">
        <f t="shared" si="1"/>
        <v>0</v>
      </c>
      <c r="H68" s="87">
        <f t="shared" si="2"/>
        <v>0</v>
      </c>
      <c r="I68" s="87">
        <f t="shared" si="3"/>
        <v>0</v>
      </c>
      <c r="J68" s="87">
        <f t="shared" si="4"/>
        <v>0</v>
      </c>
      <c r="K68" s="120">
        <f t="shared" si="6"/>
        <v>0</v>
      </c>
      <c r="O68" s="116">
        <f>Amnt_Deposited!B63</f>
        <v>2049</v>
      </c>
      <c r="P68" s="119">
        <f>Amnt_Deposited!O63</f>
        <v>0</v>
      </c>
      <c r="Q68" s="319">
        <f>MCF!R67</f>
        <v>0.8</v>
      </c>
      <c r="R68" s="87">
        <f t="shared" si="5"/>
        <v>0</v>
      </c>
      <c r="S68" s="87">
        <f t="shared" si="7"/>
        <v>0</v>
      </c>
      <c r="T68" s="87">
        <f t="shared" si="8"/>
        <v>0</v>
      </c>
      <c r="U68" s="87">
        <f t="shared" si="9"/>
        <v>0</v>
      </c>
      <c r="V68" s="87">
        <f t="shared" si="10"/>
        <v>0</v>
      </c>
      <c r="W68" s="120">
        <f t="shared" si="11"/>
        <v>0</v>
      </c>
    </row>
    <row r="69" spans="2:23">
      <c r="B69" s="116">
        <f>Amnt_Deposited!B64</f>
        <v>2050</v>
      </c>
      <c r="C69" s="119">
        <f>Amnt_Deposited!O64</f>
        <v>0</v>
      </c>
      <c r="D69" s="453">
        <f>Dry_Matter_Content!O56</f>
        <v>0</v>
      </c>
      <c r="E69" s="319">
        <f>MCF!R68</f>
        <v>0.8</v>
      </c>
      <c r="F69" s="87">
        <f t="shared" si="0"/>
        <v>0</v>
      </c>
      <c r="G69" s="87">
        <f t="shared" si="1"/>
        <v>0</v>
      </c>
      <c r="H69" s="87">
        <f t="shared" si="2"/>
        <v>0</v>
      </c>
      <c r="I69" s="87">
        <f t="shared" si="3"/>
        <v>0</v>
      </c>
      <c r="J69" s="87">
        <f t="shared" si="4"/>
        <v>0</v>
      </c>
      <c r="K69" s="120">
        <f t="shared" si="6"/>
        <v>0</v>
      </c>
      <c r="O69" s="116">
        <f>Amnt_Deposited!B64</f>
        <v>2050</v>
      </c>
      <c r="P69" s="119">
        <f>Amnt_Deposited!O64</f>
        <v>0</v>
      </c>
      <c r="Q69" s="319">
        <f>MCF!R68</f>
        <v>0.8</v>
      </c>
      <c r="R69" s="87">
        <f t="shared" si="5"/>
        <v>0</v>
      </c>
      <c r="S69" s="87">
        <f t="shared" si="7"/>
        <v>0</v>
      </c>
      <c r="T69" s="87">
        <f t="shared" si="8"/>
        <v>0</v>
      </c>
      <c r="U69" s="87">
        <f t="shared" si="9"/>
        <v>0</v>
      </c>
      <c r="V69" s="87">
        <f t="shared" si="10"/>
        <v>0</v>
      </c>
      <c r="W69" s="120">
        <f t="shared" si="11"/>
        <v>0</v>
      </c>
    </row>
    <row r="70" spans="2:23">
      <c r="B70" s="116">
        <f>Amnt_Deposited!B65</f>
        <v>2051</v>
      </c>
      <c r="C70" s="119">
        <f>Amnt_Deposited!O65</f>
        <v>0</v>
      </c>
      <c r="D70" s="453">
        <f>Dry_Matter_Content!O57</f>
        <v>0</v>
      </c>
      <c r="E70" s="319">
        <f>MCF!R69</f>
        <v>0.8</v>
      </c>
      <c r="F70" s="87">
        <f t="shared" si="0"/>
        <v>0</v>
      </c>
      <c r="G70" s="87">
        <f t="shared" si="1"/>
        <v>0</v>
      </c>
      <c r="H70" s="87">
        <f t="shared" si="2"/>
        <v>0</v>
      </c>
      <c r="I70" s="87">
        <f t="shared" si="3"/>
        <v>0</v>
      </c>
      <c r="J70" s="87">
        <f t="shared" si="4"/>
        <v>0</v>
      </c>
      <c r="K70" s="120">
        <f t="shared" si="6"/>
        <v>0</v>
      </c>
      <c r="O70" s="116">
        <f>Amnt_Deposited!B65</f>
        <v>2051</v>
      </c>
      <c r="P70" s="119">
        <f>Amnt_Deposited!O65</f>
        <v>0</v>
      </c>
      <c r="Q70" s="319">
        <f>MCF!R69</f>
        <v>0.8</v>
      </c>
      <c r="R70" s="87">
        <f t="shared" si="5"/>
        <v>0</v>
      </c>
      <c r="S70" s="87">
        <f t="shared" si="7"/>
        <v>0</v>
      </c>
      <c r="T70" s="87">
        <f t="shared" si="8"/>
        <v>0</v>
      </c>
      <c r="U70" s="87">
        <f t="shared" si="9"/>
        <v>0</v>
      </c>
      <c r="V70" s="87">
        <f t="shared" si="10"/>
        <v>0</v>
      </c>
      <c r="W70" s="120">
        <f t="shared" si="11"/>
        <v>0</v>
      </c>
    </row>
    <row r="71" spans="2:23">
      <c r="B71" s="116">
        <f>Amnt_Deposited!B66</f>
        <v>2052</v>
      </c>
      <c r="C71" s="119">
        <f>Amnt_Deposited!O66</f>
        <v>0</v>
      </c>
      <c r="D71" s="453">
        <f>Dry_Matter_Content!O58</f>
        <v>0</v>
      </c>
      <c r="E71" s="319">
        <f>MCF!R70</f>
        <v>0.8</v>
      </c>
      <c r="F71" s="87">
        <f t="shared" si="0"/>
        <v>0</v>
      </c>
      <c r="G71" s="87">
        <f t="shared" si="1"/>
        <v>0</v>
      </c>
      <c r="H71" s="87">
        <f t="shared" si="2"/>
        <v>0</v>
      </c>
      <c r="I71" s="87">
        <f t="shared" si="3"/>
        <v>0</v>
      </c>
      <c r="J71" s="87">
        <f t="shared" si="4"/>
        <v>0</v>
      </c>
      <c r="K71" s="120">
        <f t="shared" si="6"/>
        <v>0</v>
      </c>
      <c r="O71" s="116">
        <f>Amnt_Deposited!B66</f>
        <v>2052</v>
      </c>
      <c r="P71" s="119">
        <f>Amnt_Deposited!O66</f>
        <v>0</v>
      </c>
      <c r="Q71" s="319">
        <f>MCF!R70</f>
        <v>0.8</v>
      </c>
      <c r="R71" s="87">
        <f t="shared" si="5"/>
        <v>0</v>
      </c>
      <c r="S71" s="87">
        <f t="shared" si="7"/>
        <v>0</v>
      </c>
      <c r="T71" s="87">
        <f t="shared" si="8"/>
        <v>0</v>
      </c>
      <c r="U71" s="87">
        <f t="shared" si="9"/>
        <v>0</v>
      </c>
      <c r="V71" s="87">
        <f t="shared" si="10"/>
        <v>0</v>
      </c>
      <c r="W71" s="120">
        <f t="shared" si="11"/>
        <v>0</v>
      </c>
    </row>
    <row r="72" spans="2:23">
      <c r="B72" s="116">
        <f>Amnt_Deposited!B67</f>
        <v>2053</v>
      </c>
      <c r="C72" s="119">
        <f>Amnt_Deposited!O67</f>
        <v>0</v>
      </c>
      <c r="D72" s="453">
        <f>Dry_Matter_Content!O59</f>
        <v>0</v>
      </c>
      <c r="E72" s="319">
        <f>MCF!R71</f>
        <v>0.8</v>
      </c>
      <c r="F72" s="87">
        <f t="shared" si="0"/>
        <v>0</v>
      </c>
      <c r="G72" s="87">
        <f t="shared" si="1"/>
        <v>0</v>
      </c>
      <c r="H72" s="87">
        <f t="shared" si="2"/>
        <v>0</v>
      </c>
      <c r="I72" s="87">
        <f t="shared" si="3"/>
        <v>0</v>
      </c>
      <c r="J72" s="87">
        <f t="shared" si="4"/>
        <v>0</v>
      </c>
      <c r="K72" s="120">
        <f t="shared" si="6"/>
        <v>0</v>
      </c>
      <c r="O72" s="116">
        <f>Amnt_Deposited!B67</f>
        <v>2053</v>
      </c>
      <c r="P72" s="119">
        <f>Amnt_Deposited!O67</f>
        <v>0</v>
      </c>
      <c r="Q72" s="319">
        <f>MCF!R71</f>
        <v>0.8</v>
      </c>
      <c r="R72" s="87">
        <f t="shared" si="5"/>
        <v>0</v>
      </c>
      <c r="S72" s="87">
        <f t="shared" si="7"/>
        <v>0</v>
      </c>
      <c r="T72" s="87">
        <f t="shared" si="8"/>
        <v>0</v>
      </c>
      <c r="U72" s="87">
        <f t="shared" si="9"/>
        <v>0</v>
      </c>
      <c r="V72" s="87">
        <f t="shared" si="10"/>
        <v>0</v>
      </c>
      <c r="W72" s="120">
        <f t="shared" si="11"/>
        <v>0</v>
      </c>
    </row>
    <row r="73" spans="2:23">
      <c r="B73" s="116">
        <f>Amnt_Deposited!B68</f>
        <v>2054</v>
      </c>
      <c r="C73" s="119">
        <f>Amnt_Deposited!O68</f>
        <v>0</v>
      </c>
      <c r="D73" s="453">
        <f>Dry_Matter_Content!O60</f>
        <v>0</v>
      </c>
      <c r="E73" s="319">
        <f>MCF!R72</f>
        <v>0.8</v>
      </c>
      <c r="F73" s="87">
        <f t="shared" si="0"/>
        <v>0</v>
      </c>
      <c r="G73" s="87">
        <f t="shared" si="1"/>
        <v>0</v>
      </c>
      <c r="H73" s="87">
        <f t="shared" si="2"/>
        <v>0</v>
      </c>
      <c r="I73" s="87">
        <f t="shared" si="3"/>
        <v>0</v>
      </c>
      <c r="J73" s="87">
        <f t="shared" si="4"/>
        <v>0</v>
      </c>
      <c r="K73" s="120">
        <f t="shared" si="6"/>
        <v>0</v>
      </c>
      <c r="O73" s="116">
        <f>Amnt_Deposited!B68</f>
        <v>2054</v>
      </c>
      <c r="P73" s="119">
        <f>Amnt_Deposited!O68</f>
        <v>0</v>
      </c>
      <c r="Q73" s="319">
        <f>MCF!R72</f>
        <v>0.8</v>
      </c>
      <c r="R73" s="87">
        <f t="shared" si="5"/>
        <v>0</v>
      </c>
      <c r="S73" s="87">
        <f t="shared" si="7"/>
        <v>0</v>
      </c>
      <c r="T73" s="87">
        <f t="shared" si="8"/>
        <v>0</v>
      </c>
      <c r="U73" s="87">
        <f t="shared" si="9"/>
        <v>0</v>
      </c>
      <c r="V73" s="87">
        <f t="shared" si="10"/>
        <v>0</v>
      </c>
      <c r="W73" s="120">
        <f t="shared" si="11"/>
        <v>0</v>
      </c>
    </row>
    <row r="74" spans="2:23">
      <c r="B74" s="116">
        <f>Amnt_Deposited!B69</f>
        <v>2055</v>
      </c>
      <c r="C74" s="119">
        <f>Amnt_Deposited!O69</f>
        <v>0</v>
      </c>
      <c r="D74" s="453">
        <f>Dry_Matter_Content!O61</f>
        <v>0</v>
      </c>
      <c r="E74" s="319">
        <f>MCF!R73</f>
        <v>0.8</v>
      </c>
      <c r="F74" s="87">
        <f t="shared" si="0"/>
        <v>0</v>
      </c>
      <c r="G74" s="87">
        <f t="shared" si="1"/>
        <v>0</v>
      </c>
      <c r="H74" s="87">
        <f t="shared" si="2"/>
        <v>0</v>
      </c>
      <c r="I74" s="87">
        <f t="shared" si="3"/>
        <v>0</v>
      </c>
      <c r="J74" s="87">
        <f t="shared" si="4"/>
        <v>0</v>
      </c>
      <c r="K74" s="120">
        <f t="shared" si="6"/>
        <v>0</v>
      </c>
      <c r="O74" s="116">
        <f>Amnt_Deposited!B69</f>
        <v>2055</v>
      </c>
      <c r="P74" s="119">
        <f>Amnt_Deposited!O69</f>
        <v>0</v>
      </c>
      <c r="Q74" s="319">
        <f>MCF!R73</f>
        <v>0.8</v>
      </c>
      <c r="R74" s="87">
        <f t="shared" si="5"/>
        <v>0</v>
      </c>
      <c r="S74" s="87">
        <f t="shared" si="7"/>
        <v>0</v>
      </c>
      <c r="T74" s="87">
        <f t="shared" si="8"/>
        <v>0</v>
      </c>
      <c r="U74" s="87">
        <f t="shared" si="9"/>
        <v>0</v>
      </c>
      <c r="V74" s="87">
        <f t="shared" si="10"/>
        <v>0</v>
      </c>
      <c r="W74" s="120">
        <f t="shared" si="11"/>
        <v>0</v>
      </c>
    </row>
    <row r="75" spans="2:23">
      <c r="B75" s="116">
        <f>Amnt_Deposited!B70</f>
        <v>2056</v>
      </c>
      <c r="C75" s="119">
        <f>Amnt_Deposited!O70</f>
        <v>0</v>
      </c>
      <c r="D75" s="453">
        <f>Dry_Matter_Content!O62</f>
        <v>0</v>
      </c>
      <c r="E75" s="319">
        <f>MCF!R74</f>
        <v>0.8</v>
      </c>
      <c r="F75" s="87">
        <f t="shared" si="0"/>
        <v>0</v>
      </c>
      <c r="G75" s="87">
        <f t="shared" si="1"/>
        <v>0</v>
      </c>
      <c r="H75" s="87">
        <f t="shared" si="2"/>
        <v>0</v>
      </c>
      <c r="I75" s="87">
        <f t="shared" si="3"/>
        <v>0</v>
      </c>
      <c r="J75" s="87">
        <f t="shared" si="4"/>
        <v>0</v>
      </c>
      <c r="K75" s="120">
        <f t="shared" si="6"/>
        <v>0</v>
      </c>
      <c r="O75" s="116">
        <f>Amnt_Deposited!B70</f>
        <v>2056</v>
      </c>
      <c r="P75" s="119">
        <f>Amnt_Deposited!O70</f>
        <v>0</v>
      </c>
      <c r="Q75" s="319">
        <f>MCF!R74</f>
        <v>0.8</v>
      </c>
      <c r="R75" s="87">
        <f t="shared" si="5"/>
        <v>0</v>
      </c>
      <c r="S75" s="87">
        <f t="shared" si="7"/>
        <v>0</v>
      </c>
      <c r="T75" s="87">
        <f t="shared" si="8"/>
        <v>0</v>
      </c>
      <c r="U75" s="87">
        <f t="shared" si="9"/>
        <v>0</v>
      </c>
      <c r="V75" s="87">
        <f t="shared" si="10"/>
        <v>0</v>
      </c>
      <c r="W75" s="120">
        <f t="shared" si="11"/>
        <v>0</v>
      </c>
    </row>
    <row r="76" spans="2:23">
      <c r="B76" s="116">
        <f>Amnt_Deposited!B71</f>
        <v>2057</v>
      </c>
      <c r="C76" s="119">
        <f>Amnt_Deposited!O71</f>
        <v>0</v>
      </c>
      <c r="D76" s="453">
        <f>Dry_Matter_Content!O63</f>
        <v>0</v>
      </c>
      <c r="E76" s="319">
        <f>MCF!R75</f>
        <v>0.8</v>
      </c>
      <c r="F76" s="87">
        <f t="shared" si="0"/>
        <v>0</v>
      </c>
      <c r="G76" s="87">
        <f t="shared" si="1"/>
        <v>0</v>
      </c>
      <c r="H76" s="87">
        <f t="shared" si="2"/>
        <v>0</v>
      </c>
      <c r="I76" s="87">
        <f t="shared" si="3"/>
        <v>0</v>
      </c>
      <c r="J76" s="87">
        <f t="shared" si="4"/>
        <v>0</v>
      </c>
      <c r="K76" s="120">
        <f t="shared" si="6"/>
        <v>0</v>
      </c>
      <c r="O76" s="116">
        <f>Amnt_Deposited!B71</f>
        <v>2057</v>
      </c>
      <c r="P76" s="119">
        <f>Amnt_Deposited!O71</f>
        <v>0</v>
      </c>
      <c r="Q76" s="319">
        <f>MCF!R75</f>
        <v>0.8</v>
      </c>
      <c r="R76" s="87">
        <f t="shared" si="5"/>
        <v>0</v>
      </c>
      <c r="S76" s="87">
        <f t="shared" si="7"/>
        <v>0</v>
      </c>
      <c r="T76" s="87">
        <f t="shared" si="8"/>
        <v>0</v>
      </c>
      <c r="U76" s="87">
        <f t="shared" si="9"/>
        <v>0</v>
      </c>
      <c r="V76" s="87">
        <f t="shared" si="10"/>
        <v>0</v>
      </c>
      <c r="W76" s="120">
        <f t="shared" si="11"/>
        <v>0</v>
      </c>
    </row>
    <row r="77" spans="2:23">
      <c r="B77" s="116">
        <f>Amnt_Deposited!B72</f>
        <v>2058</v>
      </c>
      <c r="C77" s="119">
        <f>Amnt_Deposited!O72</f>
        <v>0</v>
      </c>
      <c r="D77" s="453">
        <f>Dry_Matter_Content!O64</f>
        <v>0</v>
      </c>
      <c r="E77" s="319">
        <f>MCF!R76</f>
        <v>0.8</v>
      </c>
      <c r="F77" s="87">
        <f t="shared" si="0"/>
        <v>0</v>
      </c>
      <c r="G77" s="87">
        <f t="shared" si="1"/>
        <v>0</v>
      </c>
      <c r="H77" s="87">
        <f t="shared" si="2"/>
        <v>0</v>
      </c>
      <c r="I77" s="87">
        <f t="shared" si="3"/>
        <v>0</v>
      </c>
      <c r="J77" s="87">
        <f t="shared" si="4"/>
        <v>0</v>
      </c>
      <c r="K77" s="120">
        <f t="shared" si="6"/>
        <v>0</v>
      </c>
      <c r="O77" s="116">
        <f>Amnt_Deposited!B72</f>
        <v>2058</v>
      </c>
      <c r="P77" s="119">
        <f>Amnt_Deposited!O72</f>
        <v>0</v>
      </c>
      <c r="Q77" s="319">
        <f>MCF!R76</f>
        <v>0.8</v>
      </c>
      <c r="R77" s="87">
        <f t="shared" si="5"/>
        <v>0</v>
      </c>
      <c r="S77" s="87">
        <f t="shared" si="7"/>
        <v>0</v>
      </c>
      <c r="T77" s="87">
        <f t="shared" si="8"/>
        <v>0</v>
      </c>
      <c r="U77" s="87">
        <f t="shared" si="9"/>
        <v>0</v>
      </c>
      <c r="V77" s="87">
        <f t="shared" si="10"/>
        <v>0</v>
      </c>
      <c r="W77" s="120">
        <f t="shared" si="11"/>
        <v>0</v>
      </c>
    </row>
    <row r="78" spans="2:23">
      <c r="B78" s="116">
        <f>Amnt_Deposited!B73</f>
        <v>2059</v>
      </c>
      <c r="C78" s="119">
        <f>Amnt_Deposited!O73</f>
        <v>0</v>
      </c>
      <c r="D78" s="453">
        <f>Dry_Matter_Content!O65</f>
        <v>0</v>
      </c>
      <c r="E78" s="319">
        <f>MCF!R77</f>
        <v>0.8</v>
      </c>
      <c r="F78" s="87">
        <f t="shared" si="0"/>
        <v>0</v>
      </c>
      <c r="G78" s="87">
        <f t="shared" si="1"/>
        <v>0</v>
      </c>
      <c r="H78" s="87">
        <f t="shared" si="2"/>
        <v>0</v>
      </c>
      <c r="I78" s="87">
        <f t="shared" si="3"/>
        <v>0</v>
      </c>
      <c r="J78" s="87">
        <f t="shared" si="4"/>
        <v>0</v>
      </c>
      <c r="K78" s="120">
        <f t="shared" si="6"/>
        <v>0</v>
      </c>
      <c r="O78" s="116">
        <f>Amnt_Deposited!B73</f>
        <v>2059</v>
      </c>
      <c r="P78" s="119">
        <f>Amnt_Deposited!O73</f>
        <v>0</v>
      </c>
      <c r="Q78" s="319">
        <f>MCF!R77</f>
        <v>0.8</v>
      </c>
      <c r="R78" s="87">
        <f t="shared" si="5"/>
        <v>0</v>
      </c>
      <c r="S78" s="87">
        <f t="shared" si="7"/>
        <v>0</v>
      </c>
      <c r="T78" s="87">
        <f t="shared" si="8"/>
        <v>0</v>
      </c>
      <c r="U78" s="87">
        <f t="shared" si="9"/>
        <v>0</v>
      </c>
      <c r="V78" s="87">
        <f t="shared" si="10"/>
        <v>0</v>
      </c>
      <c r="W78" s="120">
        <f t="shared" si="11"/>
        <v>0</v>
      </c>
    </row>
    <row r="79" spans="2:23">
      <c r="B79" s="116">
        <f>Amnt_Deposited!B74</f>
        <v>2060</v>
      </c>
      <c r="C79" s="119">
        <f>Amnt_Deposited!O74</f>
        <v>0</v>
      </c>
      <c r="D79" s="453">
        <f>Dry_Matter_Content!O66</f>
        <v>0</v>
      </c>
      <c r="E79" s="319">
        <f>MCF!R78</f>
        <v>0.8</v>
      </c>
      <c r="F79" s="87">
        <f t="shared" si="0"/>
        <v>0</v>
      </c>
      <c r="G79" s="87">
        <f t="shared" si="1"/>
        <v>0</v>
      </c>
      <c r="H79" s="87">
        <f t="shared" si="2"/>
        <v>0</v>
      </c>
      <c r="I79" s="87">
        <f t="shared" si="3"/>
        <v>0</v>
      </c>
      <c r="J79" s="87">
        <f t="shared" si="4"/>
        <v>0</v>
      </c>
      <c r="K79" s="120">
        <f t="shared" si="6"/>
        <v>0</v>
      </c>
      <c r="O79" s="116">
        <f>Amnt_Deposited!B74</f>
        <v>2060</v>
      </c>
      <c r="P79" s="119">
        <f>Amnt_Deposited!O74</f>
        <v>0</v>
      </c>
      <c r="Q79" s="319">
        <f>MCF!R78</f>
        <v>0.8</v>
      </c>
      <c r="R79" s="87">
        <f t="shared" si="5"/>
        <v>0</v>
      </c>
      <c r="S79" s="87">
        <f t="shared" si="7"/>
        <v>0</v>
      </c>
      <c r="T79" s="87">
        <f t="shared" si="8"/>
        <v>0</v>
      </c>
      <c r="U79" s="87">
        <f t="shared" si="9"/>
        <v>0</v>
      </c>
      <c r="V79" s="87">
        <f t="shared" si="10"/>
        <v>0</v>
      </c>
      <c r="W79" s="120">
        <f t="shared" si="11"/>
        <v>0</v>
      </c>
    </row>
    <row r="80" spans="2:23">
      <c r="B80" s="116">
        <f>Amnt_Deposited!B75</f>
        <v>2061</v>
      </c>
      <c r="C80" s="119">
        <f>Amnt_Deposited!O75</f>
        <v>0</v>
      </c>
      <c r="D80" s="453">
        <f>Dry_Matter_Content!O67</f>
        <v>0</v>
      </c>
      <c r="E80" s="319">
        <f>MCF!R79</f>
        <v>0.8</v>
      </c>
      <c r="F80" s="87">
        <f t="shared" si="0"/>
        <v>0</v>
      </c>
      <c r="G80" s="87">
        <f t="shared" si="1"/>
        <v>0</v>
      </c>
      <c r="H80" s="87">
        <f t="shared" si="2"/>
        <v>0</v>
      </c>
      <c r="I80" s="87">
        <f t="shared" si="3"/>
        <v>0</v>
      </c>
      <c r="J80" s="87">
        <f t="shared" si="4"/>
        <v>0</v>
      </c>
      <c r="K80" s="120">
        <f t="shared" si="6"/>
        <v>0</v>
      </c>
      <c r="O80" s="116">
        <f>Amnt_Deposited!B75</f>
        <v>2061</v>
      </c>
      <c r="P80" s="119">
        <f>Amnt_Deposited!O75</f>
        <v>0</v>
      </c>
      <c r="Q80" s="319">
        <f>MCF!R79</f>
        <v>0.8</v>
      </c>
      <c r="R80" s="87">
        <f t="shared" si="5"/>
        <v>0</v>
      </c>
      <c r="S80" s="87">
        <f t="shared" si="7"/>
        <v>0</v>
      </c>
      <c r="T80" s="87">
        <f t="shared" si="8"/>
        <v>0</v>
      </c>
      <c r="U80" s="87">
        <f t="shared" si="9"/>
        <v>0</v>
      </c>
      <c r="V80" s="87">
        <f t="shared" si="10"/>
        <v>0</v>
      </c>
      <c r="W80" s="120">
        <f t="shared" si="11"/>
        <v>0</v>
      </c>
    </row>
    <row r="81" spans="2:23">
      <c r="B81" s="116">
        <f>Amnt_Deposited!B76</f>
        <v>2062</v>
      </c>
      <c r="C81" s="119">
        <f>Amnt_Deposited!O76</f>
        <v>0</v>
      </c>
      <c r="D81" s="453">
        <f>Dry_Matter_Content!O68</f>
        <v>0</v>
      </c>
      <c r="E81" s="319">
        <f>MCF!R80</f>
        <v>0.8</v>
      </c>
      <c r="F81" s="87">
        <f t="shared" si="0"/>
        <v>0</v>
      </c>
      <c r="G81" s="87">
        <f t="shared" si="1"/>
        <v>0</v>
      </c>
      <c r="H81" s="87">
        <f t="shared" si="2"/>
        <v>0</v>
      </c>
      <c r="I81" s="87">
        <f t="shared" si="3"/>
        <v>0</v>
      </c>
      <c r="J81" s="87">
        <f t="shared" si="4"/>
        <v>0</v>
      </c>
      <c r="K81" s="120">
        <f t="shared" si="6"/>
        <v>0</v>
      </c>
      <c r="O81" s="116">
        <f>Amnt_Deposited!B76</f>
        <v>2062</v>
      </c>
      <c r="P81" s="119">
        <f>Amnt_Deposited!O76</f>
        <v>0</v>
      </c>
      <c r="Q81" s="319">
        <f>MCF!R80</f>
        <v>0.8</v>
      </c>
      <c r="R81" s="87">
        <f t="shared" si="5"/>
        <v>0</v>
      </c>
      <c r="S81" s="87">
        <f t="shared" si="7"/>
        <v>0</v>
      </c>
      <c r="T81" s="87">
        <f t="shared" si="8"/>
        <v>0</v>
      </c>
      <c r="U81" s="87">
        <f t="shared" si="9"/>
        <v>0</v>
      </c>
      <c r="V81" s="87">
        <f t="shared" si="10"/>
        <v>0</v>
      </c>
      <c r="W81" s="120">
        <f t="shared" si="11"/>
        <v>0</v>
      </c>
    </row>
    <row r="82" spans="2:23">
      <c r="B82" s="116">
        <f>Amnt_Deposited!B77</f>
        <v>2063</v>
      </c>
      <c r="C82" s="119">
        <f>Amnt_Deposited!O77</f>
        <v>0</v>
      </c>
      <c r="D82" s="453">
        <f>Dry_Matter_Content!O69</f>
        <v>0</v>
      </c>
      <c r="E82" s="319">
        <f>MCF!R81</f>
        <v>0.8</v>
      </c>
      <c r="F82" s="87">
        <f t="shared" si="0"/>
        <v>0</v>
      </c>
      <c r="G82" s="87">
        <f t="shared" si="1"/>
        <v>0</v>
      </c>
      <c r="H82" s="87">
        <f t="shared" si="2"/>
        <v>0</v>
      </c>
      <c r="I82" s="87">
        <f t="shared" si="3"/>
        <v>0</v>
      </c>
      <c r="J82" s="87">
        <f t="shared" si="4"/>
        <v>0</v>
      </c>
      <c r="K82" s="120">
        <f t="shared" si="6"/>
        <v>0</v>
      </c>
      <c r="O82" s="116">
        <f>Amnt_Deposited!B77</f>
        <v>2063</v>
      </c>
      <c r="P82" s="119">
        <f>Amnt_Deposited!O77</f>
        <v>0</v>
      </c>
      <c r="Q82" s="319">
        <f>MCF!R81</f>
        <v>0.8</v>
      </c>
      <c r="R82" s="87">
        <f t="shared" si="5"/>
        <v>0</v>
      </c>
      <c r="S82" s="87">
        <f t="shared" si="7"/>
        <v>0</v>
      </c>
      <c r="T82" s="87">
        <f t="shared" si="8"/>
        <v>0</v>
      </c>
      <c r="U82" s="87">
        <f t="shared" si="9"/>
        <v>0</v>
      </c>
      <c r="V82" s="87">
        <f t="shared" si="10"/>
        <v>0</v>
      </c>
      <c r="W82" s="120">
        <f t="shared" si="11"/>
        <v>0</v>
      </c>
    </row>
    <row r="83" spans="2:23">
      <c r="B83" s="116">
        <f>Amnt_Deposited!B78</f>
        <v>2064</v>
      </c>
      <c r="C83" s="119">
        <f>Amnt_Deposited!O78</f>
        <v>0</v>
      </c>
      <c r="D83" s="453">
        <f>Dry_Matter_Content!O70</f>
        <v>0</v>
      </c>
      <c r="E83" s="319">
        <f>MCF!R82</f>
        <v>0.8</v>
      </c>
      <c r="F83" s="87">
        <f t="shared" ref="F83:F99" si="12">C83*D83*$K$6*DOCF*E83</f>
        <v>0</v>
      </c>
      <c r="G83" s="87">
        <f t="shared" ref="G83:G99" si="13">F83*$K$12</f>
        <v>0</v>
      </c>
      <c r="H83" s="87">
        <f t="shared" ref="H83:H99" si="14">F83*(1-$K$12)</f>
        <v>0</v>
      </c>
      <c r="I83" s="87">
        <f t="shared" ref="I83:I99" si="15">G83+I82*$K$10</f>
        <v>0</v>
      </c>
      <c r="J83" s="87">
        <f t="shared" ref="J83:J99" si="16">I82*(1-$K$10)+H83</f>
        <v>0</v>
      </c>
      <c r="K83" s="120">
        <f t="shared" si="6"/>
        <v>0</v>
      </c>
      <c r="O83" s="116">
        <f>Amnt_Deposited!B78</f>
        <v>2064</v>
      </c>
      <c r="P83" s="119">
        <f>Amnt_Deposited!O78</f>
        <v>0</v>
      </c>
      <c r="Q83" s="319">
        <f>MCF!R82</f>
        <v>0.8</v>
      </c>
      <c r="R83" s="87">
        <f t="shared" ref="R83:R99" si="17">P83*$W$6*DOCF*Q83</f>
        <v>0</v>
      </c>
      <c r="S83" s="87">
        <f t="shared" si="7"/>
        <v>0</v>
      </c>
      <c r="T83" s="87">
        <f t="shared" si="8"/>
        <v>0</v>
      </c>
      <c r="U83" s="87">
        <f t="shared" si="9"/>
        <v>0</v>
      </c>
      <c r="V83" s="87">
        <f t="shared" si="10"/>
        <v>0</v>
      </c>
      <c r="W83" s="120">
        <f t="shared" si="11"/>
        <v>0</v>
      </c>
    </row>
    <row r="84" spans="2:23">
      <c r="B84" s="116">
        <f>Amnt_Deposited!B79</f>
        <v>2065</v>
      </c>
      <c r="C84" s="119">
        <f>Amnt_Deposited!O79</f>
        <v>0</v>
      </c>
      <c r="D84" s="453">
        <f>Dry_Matter_Content!O71</f>
        <v>0</v>
      </c>
      <c r="E84" s="319">
        <f>MCF!R83</f>
        <v>0.8</v>
      </c>
      <c r="F84" s="87">
        <f t="shared" si="12"/>
        <v>0</v>
      </c>
      <c r="G84" s="87">
        <f t="shared" si="13"/>
        <v>0</v>
      </c>
      <c r="H84" s="87">
        <f t="shared" si="14"/>
        <v>0</v>
      </c>
      <c r="I84" s="87">
        <f t="shared" si="15"/>
        <v>0</v>
      </c>
      <c r="J84" s="87">
        <f t="shared" si="16"/>
        <v>0</v>
      </c>
      <c r="K84" s="120">
        <f t="shared" si="6"/>
        <v>0</v>
      </c>
      <c r="O84" s="116">
        <f>Amnt_Deposited!B79</f>
        <v>2065</v>
      </c>
      <c r="P84" s="119">
        <f>Amnt_Deposited!O79</f>
        <v>0</v>
      </c>
      <c r="Q84" s="319">
        <f>MCF!R83</f>
        <v>0.8</v>
      </c>
      <c r="R84" s="87">
        <f t="shared" si="17"/>
        <v>0</v>
      </c>
      <c r="S84" s="87">
        <f t="shared" si="7"/>
        <v>0</v>
      </c>
      <c r="T84" s="87">
        <f t="shared" si="8"/>
        <v>0</v>
      </c>
      <c r="U84" s="87">
        <f t="shared" si="9"/>
        <v>0</v>
      </c>
      <c r="V84" s="87">
        <f t="shared" si="10"/>
        <v>0</v>
      </c>
      <c r="W84" s="120">
        <f t="shared" si="11"/>
        <v>0</v>
      </c>
    </row>
    <row r="85" spans="2:23">
      <c r="B85" s="116">
        <f>Amnt_Deposited!B80</f>
        <v>2066</v>
      </c>
      <c r="C85" s="119">
        <f>Amnt_Deposited!O80</f>
        <v>0</v>
      </c>
      <c r="D85" s="453">
        <f>Dry_Matter_Content!O72</f>
        <v>0</v>
      </c>
      <c r="E85" s="319">
        <f>MCF!R84</f>
        <v>0.8</v>
      </c>
      <c r="F85" s="87">
        <f t="shared" si="12"/>
        <v>0</v>
      </c>
      <c r="G85" s="87">
        <f t="shared" si="13"/>
        <v>0</v>
      </c>
      <c r="H85" s="87">
        <f t="shared" si="14"/>
        <v>0</v>
      </c>
      <c r="I85" s="87">
        <f t="shared" si="15"/>
        <v>0</v>
      </c>
      <c r="J85" s="87">
        <f t="shared" si="16"/>
        <v>0</v>
      </c>
      <c r="K85" s="120">
        <f t="shared" ref="K85:K99" si="18">J85*CH4_fraction*conv</f>
        <v>0</v>
      </c>
      <c r="O85" s="116">
        <f>Amnt_Deposited!B80</f>
        <v>2066</v>
      </c>
      <c r="P85" s="119">
        <f>Amnt_Deposited!O80</f>
        <v>0</v>
      </c>
      <c r="Q85" s="319">
        <f>MCF!R84</f>
        <v>0.8</v>
      </c>
      <c r="R85" s="87">
        <f t="shared" si="17"/>
        <v>0</v>
      </c>
      <c r="S85" s="87">
        <f t="shared" ref="S85:S98" si="19">R85*$W$12</f>
        <v>0</v>
      </c>
      <c r="T85" s="87">
        <f t="shared" ref="T85:T98" si="20">R85*(1-$W$12)</f>
        <v>0</v>
      </c>
      <c r="U85" s="87">
        <f t="shared" ref="U85:U98" si="21">S85+U84*$W$10</f>
        <v>0</v>
      </c>
      <c r="V85" s="87">
        <f t="shared" ref="V85:V98" si="22">U84*(1-$W$10)+T85</f>
        <v>0</v>
      </c>
      <c r="W85" s="120">
        <f t="shared" ref="W85:W99" si="23">V85*CH4_fraction*conv</f>
        <v>0</v>
      </c>
    </row>
    <row r="86" spans="2:23">
      <c r="B86" s="116">
        <f>Amnt_Deposited!B81</f>
        <v>2067</v>
      </c>
      <c r="C86" s="119">
        <f>Amnt_Deposited!O81</f>
        <v>0</v>
      </c>
      <c r="D86" s="453">
        <f>Dry_Matter_Content!O73</f>
        <v>0</v>
      </c>
      <c r="E86" s="319">
        <f>MCF!R85</f>
        <v>0.8</v>
      </c>
      <c r="F86" s="87">
        <f t="shared" si="12"/>
        <v>0</v>
      </c>
      <c r="G86" s="87">
        <f t="shared" si="13"/>
        <v>0</v>
      </c>
      <c r="H86" s="87">
        <f t="shared" si="14"/>
        <v>0</v>
      </c>
      <c r="I86" s="87">
        <f t="shared" si="15"/>
        <v>0</v>
      </c>
      <c r="J86" s="87">
        <f t="shared" si="16"/>
        <v>0</v>
      </c>
      <c r="K86" s="120">
        <f t="shared" si="18"/>
        <v>0</v>
      </c>
      <c r="O86" s="116">
        <f>Amnt_Deposited!B81</f>
        <v>2067</v>
      </c>
      <c r="P86" s="119">
        <f>Amnt_Deposited!O81</f>
        <v>0</v>
      </c>
      <c r="Q86" s="319">
        <f>MCF!R85</f>
        <v>0.8</v>
      </c>
      <c r="R86" s="87">
        <f t="shared" si="17"/>
        <v>0</v>
      </c>
      <c r="S86" s="87">
        <f t="shared" si="19"/>
        <v>0</v>
      </c>
      <c r="T86" s="87">
        <f t="shared" si="20"/>
        <v>0</v>
      </c>
      <c r="U86" s="87">
        <f t="shared" si="21"/>
        <v>0</v>
      </c>
      <c r="V86" s="87">
        <f t="shared" si="22"/>
        <v>0</v>
      </c>
      <c r="W86" s="120">
        <f t="shared" si="23"/>
        <v>0</v>
      </c>
    </row>
    <row r="87" spans="2:23">
      <c r="B87" s="116">
        <f>Amnt_Deposited!B82</f>
        <v>2068</v>
      </c>
      <c r="C87" s="119">
        <f>Amnt_Deposited!O82</f>
        <v>0</v>
      </c>
      <c r="D87" s="453">
        <f>Dry_Matter_Content!O74</f>
        <v>0</v>
      </c>
      <c r="E87" s="319">
        <f>MCF!R86</f>
        <v>0.8</v>
      </c>
      <c r="F87" s="87">
        <f t="shared" si="12"/>
        <v>0</v>
      </c>
      <c r="G87" s="87">
        <f t="shared" si="13"/>
        <v>0</v>
      </c>
      <c r="H87" s="87">
        <f t="shared" si="14"/>
        <v>0</v>
      </c>
      <c r="I87" s="87">
        <f t="shared" si="15"/>
        <v>0</v>
      </c>
      <c r="J87" s="87">
        <f t="shared" si="16"/>
        <v>0</v>
      </c>
      <c r="K87" s="120">
        <f t="shared" si="18"/>
        <v>0</v>
      </c>
      <c r="O87" s="116">
        <f>Amnt_Deposited!B82</f>
        <v>2068</v>
      </c>
      <c r="P87" s="119">
        <f>Amnt_Deposited!O82</f>
        <v>0</v>
      </c>
      <c r="Q87" s="319">
        <f>MCF!R86</f>
        <v>0.8</v>
      </c>
      <c r="R87" s="87">
        <f t="shared" si="17"/>
        <v>0</v>
      </c>
      <c r="S87" s="87">
        <f t="shared" si="19"/>
        <v>0</v>
      </c>
      <c r="T87" s="87">
        <f t="shared" si="20"/>
        <v>0</v>
      </c>
      <c r="U87" s="87">
        <f t="shared" si="21"/>
        <v>0</v>
      </c>
      <c r="V87" s="87">
        <f t="shared" si="22"/>
        <v>0</v>
      </c>
      <c r="W87" s="120">
        <f t="shared" si="23"/>
        <v>0</v>
      </c>
    </row>
    <row r="88" spans="2:23">
      <c r="B88" s="116">
        <f>Amnt_Deposited!B83</f>
        <v>2069</v>
      </c>
      <c r="C88" s="119">
        <f>Amnt_Deposited!O83</f>
        <v>0</v>
      </c>
      <c r="D88" s="453">
        <f>Dry_Matter_Content!O75</f>
        <v>0</v>
      </c>
      <c r="E88" s="319">
        <f>MCF!R87</f>
        <v>0.8</v>
      </c>
      <c r="F88" s="87">
        <f t="shared" si="12"/>
        <v>0</v>
      </c>
      <c r="G88" s="87">
        <f t="shared" si="13"/>
        <v>0</v>
      </c>
      <c r="H88" s="87">
        <f t="shared" si="14"/>
        <v>0</v>
      </c>
      <c r="I88" s="87">
        <f t="shared" si="15"/>
        <v>0</v>
      </c>
      <c r="J88" s="87">
        <f t="shared" si="16"/>
        <v>0</v>
      </c>
      <c r="K88" s="120">
        <f t="shared" si="18"/>
        <v>0</v>
      </c>
      <c r="O88" s="116">
        <f>Amnt_Deposited!B83</f>
        <v>2069</v>
      </c>
      <c r="P88" s="119">
        <f>Amnt_Deposited!O83</f>
        <v>0</v>
      </c>
      <c r="Q88" s="319">
        <f>MCF!R87</f>
        <v>0.8</v>
      </c>
      <c r="R88" s="87">
        <f t="shared" si="17"/>
        <v>0</v>
      </c>
      <c r="S88" s="87">
        <f t="shared" si="19"/>
        <v>0</v>
      </c>
      <c r="T88" s="87">
        <f t="shared" si="20"/>
        <v>0</v>
      </c>
      <c r="U88" s="87">
        <f t="shared" si="21"/>
        <v>0</v>
      </c>
      <c r="V88" s="87">
        <f t="shared" si="22"/>
        <v>0</v>
      </c>
      <c r="W88" s="120">
        <f t="shared" si="23"/>
        <v>0</v>
      </c>
    </row>
    <row r="89" spans="2:23">
      <c r="B89" s="116">
        <f>Amnt_Deposited!B84</f>
        <v>2070</v>
      </c>
      <c r="C89" s="119">
        <f>Amnt_Deposited!O84</f>
        <v>0</v>
      </c>
      <c r="D89" s="453">
        <f>Dry_Matter_Content!O76</f>
        <v>0</v>
      </c>
      <c r="E89" s="319">
        <f>MCF!R88</f>
        <v>0.8</v>
      </c>
      <c r="F89" s="87">
        <f t="shared" si="12"/>
        <v>0</v>
      </c>
      <c r="G89" s="87">
        <f t="shared" si="13"/>
        <v>0</v>
      </c>
      <c r="H89" s="87">
        <f t="shared" si="14"/>
        <v>0</v>
      </c>
      <c r="I89" s="87">
        <f t="shared" si="15"/>
        <v>0</v>
      </c>
      <c r="J89" s="87">
        <f t="shared" si="16"/>
        <v>0</v>
      </c>
      <c r="K89" s="120">
        <f t="shared" si="18"/>
        <v>0</v>
      </c>
      <c r="O89" s="116">
        <f>Amnt_Deposited!B84</f>
        <v>2070</v>
      </c>
      <c r="P89" s="119">
        <f>Amnt_Deposited!O84</f>
        <v>0</v>
      </c>
      <c r="Q89" s="319">
        <f>MCF!R88</f>
        <v>0.8</v>
      </c>
      <c r="R89" s="87">
        <f t="shared" si="17"/>
        <v>0</v>
      </c>
      <c r="S89" s="87">
        <f t="shared" si="19"/>
        <v>0</v>
      </c>
      <c r="T89" s="87">
        <f t="shared" si="20"/>
        <v>0</v>
      </c>
      <c r="U89" s="87">
        <f t="shared" si="21"/>
        <v>0</v>
      </c>
      <c r="V89" s="87">
        <f t="shared" si="22"/>
        <v>0</v>
      </c>
      <c r="W89" s="120">
        <f t="shared" si="23"/>
        <v>0</v>
      </c>
    </row>
    <row r="90" spans="2:23">
      <c r="B90" s="116">
        <f>Amnt_Deposited!B85</f>
        <v>2071</v>
      </c>
      <c r="C90" s="119">
        <f>Amnt_Deposited!O85</f>
        <v>0</v>
      </c>
      <c r="D90" s="453">
        <f>Dry_Matter_Content!O77</f>
        <v>0</v>
      </c>
      <c r="E90" s="319">
        <f>MCF!R89</f>
        <v>0.8</v>
      </c>
      <c r="F90" s="87">
        <f t="shared" si="12"/>
        <v>0</v>
      </c>
      <c r="G90" s="87">
        <f t="shared" si="13"/>
        <v>0</v>
      </c>
      <c r="H90" s="87">
        <f t="shared" si="14"/>
        <v>0</v>
      </c>
      <c r="I90" s="87">
        <f t="shared" si="15"/>
        <v>0</v>
      </c>
      <c r="J90" s="87">
        <f t="shared" si="16"/>
        <v>0</v>
      </c>
      <c r="K90" s="120">
        <f t="shared" si="18"/>
        <v>0</v>
      </c>
      <c r="O90" s="116">
        <f>Amnt_Deposited!B85</f>
        <v>2071</v>
      </c>
      <c r="P90" s="119">
        <f>Amnt_Deposited!O85</f>
        <v>0</v>
      </c>
      <c r="Q90" s="319">
        <f>MCF!R89</f>
        <v>0.8</v>
      </c>
      <c r="R90" s="87">
        <f t="shared" si="17"/>
        <v>0</v>
      </c>
      <c r="S90" s="87">
        <f t="shared" si="19"/>
        <v>0</v>
      </c>
      <c r="T90" s="87">
        <f t="shared" si="20"/>
        <v>0</v>
      </c>
      <c r="U90" s="87">
        <f t="shared" si="21"/>
        <v>0</v>
      </c>
      <c r="V90" s="87">
        <f t="shared" si="22"/>
        <v>0</v>
      </c>
      <c r="W90" s="120">
        <f t="shared" si="23"/>
        <v>0</v>
      </c>
    </row>
    <row r="91" spans="2:23">
      <c r="B91" s="116">
        <f>Amnt_Deposited!B86</f>
        <v>2072</v>
      </c>
      <c r="C91" s="119">
        <f>Amnt_Deposited!O86</f>
        <v>0</v>
      </c>
      <c r="D91" s="453">
        <f>Dry_Matter_Content!O78</f>
        <v>0</v>
      </c>
      <c r="E91" s="319">
        <f>MCF!R90</f>
        <v>0.8</v>
      </c>
      <c r="F91" s="87">
        <f t="shared" si="12"/>
        <v>0</v>
      </c>
      <c r="G91" s="87">
        <f t="shared" si="13"/>
        <v>0</v>
      </c>
      <c r="H91" s="87">
        <f t="shared" si="14"/>
        <v>0</v>
      </c>
      <c r="I91" s="87">
        <f t="shared" si="15"/>
        <v>0</v>
      </c>
      <c r="J91" s="87">
        <f t="shared" si="16"/>
        <v>0</v>
      </c>
      <c r="K91" s="120">
        <f t="shared" si="18"/>
        <v>0</v>
      </c>
      <c r="O91" s="116">
        <f>Amnt_Deposited!B86</f>
        <v>2072</v>
      </c>
      <c r="P91" s="119">
        <f>Amnt_Deposited!O86</f>
        <v>0</v>
      </c>
      <c r="Q91" s="319">
        <f>MCF!R90</f>
        <v>0.8</v>
      </c>
      <c r="R91" s="87">
        <f t="shared" si="17"/>
        <v>0</v>
      </c>
      <c r="S91" s="87">
        <f t="shared" si="19"/>
        <v>0</v>
      </c>
      <c r="T91" s="87">
        <f t="shared" si="20"/>
        <v>0</v>
      </c>
      <c r="U91" s="87">
        <f t="shared" si="21"/>
        <v>0</v>
      </c>
      <c r="V91" s="87">
        <f t="shared" si="22"/>
        <v>0</v>
      </c>
      <c r="W91" s="120">
        <f t="shared" si="23"/>
        <v>0</v>
      </c>
    </row>
    <row r="92" spans="2:23">
      <c r="B92" s="116">
        <f>Amnt_Deposited!B87</f>
        <v>2073</v>
      </c>
      <c r="C92" s="119">
        <f>Amnt_Deposited!O87</f>
        <v>0</v>
      </c>
      <c r="D92" s="453">
        <f>Dry_Matter_Content!O79</f>
        <v>0</v>
      </c>
      <c r="E92" s="319">
        <f>MCF!R91</f>
        <v>0.8</v>
      </c>
      <c r="F92" s="87">
        <f t="shared" si="12"/>
        <v>0</v>
      </c>
      <c r="G92" s="87">
        <f t="shared" si="13"/>
        <v>0</v>
      </c>
      <c r="H92" s="87">
        <f t="shared" si="14"/>
        <v>0</v>
      </c>
      <c r="I92" s="87">
        <f t="shared" si="15"/>
        <v>0</v>
      </c>
      <c r="J92" s="87">
        <f t="shared" si="16"/>
        <v>0</v>
      </c>
      <c r="K92" s="120">
        <f t="shared" si="18"/>
        <v>0</v>
      </c>
      <c r="O92" s="116">
        <f>Amnt_Deposited!B87</f>
        <v>2073</v>
      </c>
      <c r="P92" s="119">
        <f>Amnt_Deposited!O87</f>
        <v>0</v>
      </c>
      <c r="Q92" s="319">
        <f>MCF!R91</f>
        <v>0.8</v>
      </c>
      <c r="R92" s="87">
        <f t="shared" si="17"/>
        <v>0</v>
      </c>
      <c r="S92" s="87">
        <f t="shared" si="19"/>
        <v>0</v>
      </c>
      <c r="T92" s="87">
        <f t="shared" si="20"/>
        <v>0</v>
      </c>
      <c r="U92" s="87">
        <f t="shared" si="21"/>
        <v>0</v>
      </c>
      <c r="V92" s="87">
        <f t="shared" si="22"/>
        <v>0</v>
      </c>
      <c r="W92" s="120">
        <f t="shared" si="23"/>
        <v>0</v>
      </c>
    </row>
    <row r="93" spans="2:23">
      <c r="B93" s="116">
        <f>Amnt_Deposited!B88</f>
        <v>2074</v>
      </c>
      <c r="C93" s="119">
        <f>Amnt_Deposited!O88</f>
        <v>0</v>
      </c>
      <c r="D93" s="453">
        <f>Dry_Matter_Content!O80</f>
        <v>0</v>
      </c>
      <c r="E93" s="319">
        <f>MCF!R92</f>
        <v>0.8</v>
      </c>
      <c r="F93" s="87">
        <f t="shared" si="12"/>
        <v>0</v>
      </c>
      <c r="G93" s="87">
        <f t="shared" si="13"/>
        <v>0</v>
      </c>
      <c r="H93" s="87">
        <f t="shared" si="14"/>
        <v>0</v>
      </c>
      <c r="I93" s="87">
        <f t="shared" si="15"/>
        <v>0</v>
      </c>
      <c r="J93" s="87">
        <f t="shared" si="16"/>
        <v>0</v>
      </c>
      <c r="K93" s="120">
        <f t="shared" si="18"/>
        <v>0</v>
      </c>
      <c r="O93" s="116">
        <f>Amnt_Deposited!B88</f>
        <v>2074</v>
      </c>
      <c r="P93" s="119">
        <f>Amnt_Deposited!O88</f>
        <v>0</v>
      </c>
      <c r="Q93" s="319">
        <f>MCF!R92</f>
        <v>0.8</v>
      </c>
      <c r="R93" s="87">
        <f t="shared" si="17"/>
        <v>0</v>
      </c>
      <c r="S93" s="87">
        <f t="shared" si="19"/>
        <v>0</v>
      </c>
      <c r="T93" s="87">
        <f t="shared" si="20"/>
        <v>0</v>
      </c>
      <c r="U93" s="87">
        <f t="shared" si="21"/>
        <v>0</v>
      </c>
      <c r="V93" s="87">
        <f t="shared" si="22"/>
        <v>0</v>
      </c>
      <c r="W93" s="120">
        <f t="shared" si="23"/>
        <v>0</v>
      </c>
    </row>
    <row r="94" spans="2:23">
      <c r="B94" s="116">
        <f>Amnt_Deposited!B89</f>
        <v>2075</v>
      </c>
      <c r="C94" s="119">
        <f>Amnt_Deposited!O89</f>
        <v>0</v>
      </c>
      <c r="D94" s="453">
        <f>Dry_Matter_Content!O81</f>
        <v>0</v>
      </c>
      <c r="E94" s="319">
        <f>MCF!R93</f>
        <v>0.8</v>
      </c>
      <c r="F94" s="87">
        <f t="shared" si="12"/>
        <v>0</v>
      </c>
      <c r="G94" s="87">
        <f t="shared" si="13"/>
        <v>0</v>
      </c>
      <c r="H94" s="87">
        <f t="shared" si="14"/>
        <v>0</v>
      </c>
      <c r="I94" s="87">
        <f t="shared" si="15"/>
        <v>0</v>
      </c>
      <c r="J94" s="87">
        <f t="shared" si="16"/>
        <v>0</v>
      </c>
      <c r="K94" s="120">
        <f t="shared" si="18"/>
        <v>0</v>
      </c>
      <c r="O94" s="116">
        <f>Amnt_Deposited!B89</f>
        <v>2075</v>
      </c>
      <c r="P94" s="119">
        <f>Amnt_Deposited!O89</f>
        <v>0</v>
      </c>
      <c r="Q94" s="319">
        <f>MCF!R93</f>
        <v>0.8</v>
      </c>
      <c r="R94" s="87">
        <f t="shared" si="17"/>
        <v>0</v>
      </c>
      <c r="S94" s="87">
        <f t="shared" si="19"/>
        <v>0</v>
      </c>
      <c r="T94" s="87">
        <f t="shared" si="20"/>
        <v>0</v>
      </c>
      <c r="U94" s="87">
        <f t="shared" si="21"/>
        <v>0</v>
      </c>
      <c r="V94" s="87">
        <f t="shared" si="22"/>
        <v>0</v>
      </c>
      <c r="W94" s="120">
        <f t="shared" si="23"/>
        <v>0</v>
      </c>
    </row>
    <row r="95" spans="2:23">
      <c r="B95" s="116">
        <f>Amnt_Deposited!B90</f>
        <v>2076</v>
      </c>
      <c r="C95" s="119">
        <f>Amnt_Deposited!O90</f>
        <v>0</v>
      </c>
      <c r="D95" s="453">
        <f>Dry_Matter_Content!O82</f>
        <v>0</v>
      </c>
      <c r="E95" s="319">
        <f>MCF!R94</f>
        <v>0.8</v>
      </c>
      <c r="F95" s="87">
        <f t="shared" si="12"/>
        <v>0</v>
      </c>
      <c r="G95" s="87">
        <f t="shared" si="13"/>
        <v>0</v>
      </c>
      <c r="H95" s="87">
        <f t="shared" si="14"/>
        <v>0</v>
      </c>
      <c r="I95" s="87">
        <f t="shared" si="15"/>
        <v>0</v>
      </c>
      <c r="J95" s="87">
        <f t="shared" si="16"/>
        <v>0</v>
      </c>
      <c r="K95" s="120">
        <f t="shared" si="18"/>
        <v>0</v>
      </c>
      <c r="O95" s="116">
        <f>Amnt_Deposited!B90</f>
        <v>2076</v>
      </c>
      <c r="P95" s="119">
        <f>Amnt_Deposited!O90</f>
        <v>0</v>
      </c>
      <c r="Q95" s="319">
        <f>MCF!R94</f>
        <v>0.8</v>
      </c>
      <c r="R95" s="87">
        <f t="shared" si="17"/>
        <v>0</v>
      </c>
      <c r="S95" s="87">
        <f t="shared" si="19"/>
        <v>0</v>
      </c>
      <c r="T95" s="87">
        <f t="shared" si="20"/>
        <v>0</v>
      </c>
      <c r="U95" s="87">
        <f t="shared" si="21"/>
        <v>0</v>
      </c>
      <c r="V95" s="87">
        <f t="shared" si="22"/>
        <v>0</v>
      </c>
      <c r="W95" s="120">
        <f t="shared" si="23"/>
        <v>0</v>
      </c>
    </row>
    <row r="96" spans="2:23">
      <c r="B96" s="116">
        <f>Amnt_Deposited!B91</f>
        <v>2077</v>
      </c>
      <c r="C96" s="119">
        <f>Amnt_Deposited!O91</f>
        <v>0</v>
      </c>
      <c r="D96" s="453">
        <f>Dry_Matter_Content!O83</f>
        <v>0</v>
      </c>
      <c r="E96" s="319">
        <f>MCF!R95</f>
        <v>0.8</v>
      </c>
      <c r="F96" s="87">
        <f t="shared" si="12"/>
        <v>0</v>
      </c>
      <c r="G96" s="87">
        <f t="shared" si="13"/>
        <v>0</v>
      </c>
      <c r="H96" s="87">
        <f t="shared" si="14"/>
        <v>0</v>
      </c>
      <c r="I96" s="87">
        <f t="shared" si="15"/>
        <v>0</v>
      </c>
      <c r="J96" s="87">
        <f t="shared" si="16"/>
        <v>0</v>
      </c>
      <c r="K96" s="120">
        <f t="shared" si="18"/>
        <v>0</v>
      </c>
      <c r="O96" s="116">
        <f>Amnt_Deposited!B91</f>
        <v>2077</v>
      </c>
      <c r="P96" s="119">
        <f>Amnt_Deposited!O91</f>
        <v>0</v>
      </c>
      <c r="Q96" s="319">
        <f>MCF!R95</f>
        <v>0.8</v>
      </c>
      <c r="R96" s="87">
        <f t="shared" si="17"/>
        <v>0</v>
      </c>
      <c r="S96" s="87">
        <f t="shared" si="19"/>
        <v>0</v>
      </c>
      <c r="T96" s="87">
        <f t="shared" si="20"/>
        <v>0</v>
      </c>
      <c r="U96" s="87">
        <f t="shared" si="21"/>
        <v>0</v>
      </c>
      <c r="V96" s="87">
        <f t="shared" si="22"/>
        <v>0</v>
      </c>
      <c r="W96" s="120">
        <f t="shared" si="23"/>
        <v>0</v>
      </c>
    </row>
    <row r="97" spans="2:23">
      <c r="B97" s="116">
        <f>Amnt_Deposited!B92</f>
        <v>2078</v>
      </c>
      <c r="C97" s="119">
        <f>Amnt_Deposited!O92</f>
        <v>0</v>
      </c>
      <c r="D97" s="453">
        <f>Dry_Matter_Content!O84</f>
        <v>0</v>
      </c>
      <c r="E97" s="319">
        <f>MCF!R96</f>
        <v>0.8</v>
      </c>
      <c r="F97" s="87">
        <f t="shared" si="12"/>
        <v>0</v>
      </c>
      <c r="G97" s="87">
        <f t="shared" si="13"/>
        <v>0</v>
      </c>
      <c r="H97" s="87">
        <f t="shared" si="14"/>
        <v>0</v>
      </c>
      <c r="I97" s="87">
        <f t="shared" si="15"/>
        <v>0</v>
      </c>
      <c r="J97" s="87">
        <f t="shared" si="16"/>
        <v>0</v>
      </c>
      <c r="K97" s="120">
        <f t="shared" si="18"/>
        <v>0</v>
      </c>
      <c r="O97" s="116">
        <f>Amnt_Deposited!B92</f>
        <v>2078</v>
      </c>
      <c r="P97" s="119">
        <f>Amnt_Deposited!O92</f>
        <v>0</v>
      </c>
      <c r="Q97" s="319">
        <f>MCF!R96</f>
        <v>0.8</v>
      </c>
      <c r="R97" s="87">
        <f t="shared" si="17"/>
        <v>0</v>
      </c>
      <c r="S97" s="87">
        <f t="shared" si="19"/>
        <v>0</v>
      </c>
      <c r="T97" s="87">
        <f t="shared" si="20"/>
        <v>0</v>
      </c>
      <c r="U97" s="87">
        <f t="shared" si="21"/>
        <v>0</v>
      </c>
      <c r="V97" s="87">
        <f t="shared" si="22"/>
        <v>0</v>
      </c>
      <c r="W97" s="120">
        <f t="shared" si="23"/>
        <v>0</v>
      </c>
    </row>
    <row r="98" spans="2:23">
      <c r="B98" s="116">
        <f>Amnt_Deposited!B93</f>
        <v>2079</v>
      </c>
      <c r="C98" s="119">
        <f>Amnt_Deposited!O93</f>
        <v>0</v>
      </c>
      <c r="D98" s="453">
        <f>Dry_Matter_Content!O85</f>
        <v>0</v>
      </c>
      <c r="E98" s="319">
        <f>MCF!R97</f>
        <v>0.8</v>
      </c>
      <c r="F98" s="87">
        <f t="shared" si="12"/>
        <v>0</v>
      </c>
      <c r="G98" s="87">
        <f t="shared" si="13"/>
        <v>0</v>
      </c>
      <c r="H98" s="87">
        <f t="shared" si="14"/>
        <v>0</v>
      </c>
      <c r="I98" s="87">
        <f t="shared" si="15"/>
        <v>0</v>
      </c>
      <c r="J98" s="87">
        <f t="shared" si="16"/>
        <v>0</v>
      </c>
      <c r="K98" s="120">
        <f t="shared" si="18"/>
        <v>0</v>
      </c>
      <c r="O98" s="116">
        <f>Amnt_Deposited!B93</f>
        <v>2079</v>
      </c>
      <c r="P98" s="119">
        <f>Amnt_Deposited!O93</f>
        <v>0</v>
      </c>
      <c r="Q98" s="319">
        <f>MCF!R97</f>
        <v>0.8</v>
      </c>
      <c r="R98" s="87">
        <f t="shared" si="17"/>
        <v>0</v>
      </c>
      <c r="S98" s="87">
        <f t="shared" si="19"/>
        <v>0</v>
      </c>
      <c r="T98" s="87">
        <f t="shared" si="20"/>
        <v>0</v>
      </c>
      <c r="U98" s="87">
        <f t="shared" si="21"/>
        <v>0</v>
      </c>
      <c r="V98" s="87">
        <f t="shared" si="22"/>
        <v>0</v>
      </c>
      <c r="W98" s="120">
        <f t="shared" si="23"/>
        <v>0</v>
      </c>
    </row>
    <row r="99" spans="2:23" ht="13.5" thickBot="1">
      <c r="B99" s="117">
        <f>Amnt_Deposited!B94</f>
        <v>2080</v>
      </c>
      <c r="C99" s="119">
        <f>Amnt_Deposited!O94</f>
        <v>0</v>
      </c>
      <c r="D99" s="454">
        <f>Dry_Matter_Content!O86</f>
        <v>0</v>
      </c>
      <c r="E99" s="320">
        <f>MCF!R98</f>
        <v>0.8</v>
      </c>
      <c r="F99" s="88">
        <f t="shared" si="12"/>
        <v>0</v>
      </c>
      <c r="G99" s="88">
        <f t="shared" si="13"/>
        <v>0</v>
      </c>
      <c r="H99" s="88">
        <f t="shared" si="14"/>
        <v>0</v>
      </c>
      <c r="I99" s="88">
        <f t="shared" si="15"/>
        <v>0</v>
      </c>
      <c r="J99" s="88">
        <f t="shared" si="16"/>
        <v>0</v>
      </c>
      <c r="K99" s="122">
        <f t="shared" si="18"/>
        <v>0</v>
      </c>
      <c r="O99" s="117">
        <f>Amnt_Deposited!B94</f>
        <v>2080</v>
      </c>
      <c r="P99" s="119">
        <f>Amnt_Deposited!O94</f>
        <v>0</v>
      </c>
      <c r="Q99" s="320">
        <f>MCF!R98</f>
        <v>0.8</v>
      </c>
      <c r="R99" s="88">
        <f t="shared" si="17"/>
        <v>0</v>
      </c>
      <c r="S99" s="88">
        <f>R99*$W$12</f>
        <v>0</v>
      </c>
      <c r="T99" s="88">
        <f>R99*(1-$W$12)</f>
        <v>0</v>
      </c>
      <c r="U99" s="88">
        <f>S99+U98*$W$10</f>
        <v>0</v>
      </c>
      <c r="V99" s="88">
        <f>U98*(1-$W$10)+T99</f>
        <v>0</v>
      </c>
      <c r="W99" s="12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13" workbookViewId="0">
      <selection activeCell="P19" sqref="P19"/>
    </sheetView>
  </sheetViews>
  <sheetFormatPr defaultColWidth="8.85546875" defaultRowHeight="12.75"/>
  <cols>
    <col min="1" max="1" width="3.42578125" style="67" customWidth="1"/>
    <col min="2" max="2" width="5.28515625" style="67" customWidth="1"/>
    <col min="3" max="4" width="9" style="67" customWidth="1"/>
    <col min="5" max="5" width="7.42578125" style="249" customWidth="1"/>
    <col min="6" max="6" width="10.85546875" style="67" customWidth="1"/>
    <col min="7" max="7" width="10.7109375" style="67" customWidth="1"/>
    <col min="8" max="8" width="10.140625" style="67" customWidth="1"/>
    <col min="9" max="9" width="14.42578125" style="67" customWidth="1"/>
    <col min="10" max="10" width="12" style="67" customWidth="1"/>
    <col min="11" max="11" width="10.28515625" style="67" customWidth="1"/>
    <col min="12" max="12" width="8.85546875" style="6"/>
    <col min="13" max="13" width="2.7109375" style="427" customWidth="1"/>
    <col min="14" max="16384" width="8.85546875" style="6"/>
  </cols>
  <sheetData>
    <row r="2" spans="1:23" ht="15.75">
      <c r="B2" s="65" t="s">
        <v>310</v>
      </c>
      <c r="C2" s="251"/>
      <c r="D2" s="251"/>
      <c r="E2" s="252"/>
      <c r="F2" s="253"/>
      <c r="G2" s="253"/>
      <c r="H2" s="253"/>
      <c r="I2" s="253"/>
      <c r="J2" s="253"/>
      <c r="K2" s="253"/>
    </row>
    <row r="3" spans="1:23" ht="15">
      <c r="B3" s="275"/>
      <c r="C3" s="251"/>
      <c r="D3" s="251"/>
      <c r="E3" s="252"/>
      <c r="F3" s="253"/>
      <c r="G3" s="253"/>
      <c r="H3" s="253"/>
      <c r="I3" s="253"/>
      <c r="J3" s="253"/>
      <c r="K3" s="253"/>
    </row>
    <row r="4" spans="1:23" ht="16.5" thickBot="1">
      <c r="B4" s="254"/>
      <c r="C4" s="255"/>
      <c r="D4" s="255"/>
      <c r="E4" s="289"/>
      <c r="F4" s="256"/>
      <c r="G4" s="256"/>
      <c r="H4" s="256"/>
      <c r="I4" s="256"/>
      <c r="J4" s="256"/>
      <c r="K4" s="256"/>
    </row>
    <row r="5" spans="1:23" ht="26.25" thickBot="1">
      <c r="B5" s="257"/>
      <c r="C5" s="258"/>
      <c r="D5" s="258"/>
      <c r="F5" s="259"/>
      <c r="G5" s="243"/>
      <c r="H5" s="243"/>
      <c r="I5" s="243"/>
      <c r="J5" s="243"/>
      <c r="K5" s="135" t="s">
        <v>7</v>
      </c>
      <c r="O5" s="257"/>
      <c r="P5" s="258"/>
      <c r="Q5" s="249"/>
      <c r="R5" s="259"/>
      <c r="S5" s="243"/>
      <c r="T5" s="243"/>
      <c r="U5" s="243"/>
      <c r="V5" s="243"/>
      <c r="W5" s="135" t="s">
        <v>7</v>
      </c>
    </row>
    <row r="6" spans="1:23">
      <c r="B6" s="257"/>
      <c r="C6" s="258"/>
      <c r="D6" s="258"/>
      <c r="F6" s="128" t="s">
        <v>9</v>
      </c>
      <c r="G6" s="129"/>
      <c r="H6" s="129"/>
      <c r="I6" s="133"/>
      <c r="J6" s="140" t="s">
        <v>9</v>
      </c>
      <c r="K6" s="293">
        <f>Parameters!O28</f>
        <v>0</v>
      </c>
      <c r="O6" s="257"/>
      <c r="P6" s="258"/>
      <c r="Q6" s="249"/>
      <c r="R6" s="128" t="s">
        <v>9</v>
      </c>
      <c r="S6" s="129"/>
      <c r="T6" s="129"/>
      <c r="U6" s="133"/>
      <c r="V6" s="140" t="s">
        <v>9</v>
      </c>
      <c r="W6" s="293">
        <f>Parameters!R28</f>
        <v>0.15</v>
      </c>
    </row>
    <row r="7" spans="1:23" ht="13.5" thickBot="1">
      <c r="B7" s="257"/>
      <c r="C7" s="258"/>
      <c r="D7" s="258"/>
      <c r="F7" s="283" t="s">
        <v>12</v>
      </c>
      <c r="G7" s="284"/>
      <c r="H7" s="284"/>
      <c r="I7" s="285"/>
      <c r="J7" s="286" t="s">
        <v>12</v>
      </c>
      <c r="K7" s="287">
        <f>DOCF</f>
        <v>0.5</v>
      </c>
      <c r="O7" s="257"/>
      <c r="P7" s="258"/>
      <c r="Q7" s="249"/>
      <c r="R7" s="283" t="s">
        <v>12</v>
      </c>
      <c r="S7" s="284"/>
      <c r="T7" s="284"/>
      <c r="U7" s="285"/>
      <c r="V7" s="286" t="s">
        <v>12</v>
      </c>
      <c r="W7" s="287">
        <f>DOCF</f>
        <v>0.5</v>
      </c>
    </row>
    <row r="8" spans="1:23">
      <c r="F8" s="128" t="s">
        <v>192</v>
      </c>
      <c r="G8" s="129"/>
      <c r="H8" s="129"/>
      <c r="I8" s="133"/>
      <c r="J8" s="140" t="s">
        <v>188</v>
      </c>
      <c r="K8" s="134">
        <f>Parameters!O47</f>
        <v>0.17</v>
      </c>
      <c r="O8" s="67"/>
      <c r="P8" s="67"/>
      <c r="Q8" s="249"/>
      <c r="R8" s="128" t="s">
        <v>192</v>
      </c>
      <c r="S8" s="129"/>
      <c r="T8" s="129"/>
      <c r="U8" s="133"/>
      <c r="V8" s="140" t="s">
        <v>188</v>
      </c>
      <c r="W8" s="134">
        <f>Parameters!O47</f>
        <v>0.17</v>
      </c>
    </row>
    <row r="9" spans="1:23" ht="15.75">
      <c r="F9" s="279" t="s">
        <v>190</v>
      </c>
      <c r="G9" s="280"/>
      <c r="H9" s="280"/>
      <c r="I9" s="281"/>
      <c r="J9" s="282" t="s">
        <v>189</v>
      </c>
      <c r="K9" s="288">
        <f>LN(2)/$K$8</f>
        <v>4.077336356234972</v>
      </c>
      <c r="O9" s="67"/>
      <c r="P9" s="67"/>
      <c r="Q9" s="249"/>
      <c r="R9" s="279" t="s">
        <v>190</v>
      </c>
      <c r="S9" s="280"/>
      <c r="T9" s="280"/>
      <c r="U9" s="281"/>
      <c r="V9" s="282" t="s">
        <v>189</v>
      </c>
      <c r="W9" s="288">
        <f>LN(2)/$W$8</f>
        <v>4.077336356234972</v>
      </c>
    </row>
    <row r="10" spans="1:23">
      <c r="F10" s="130" t="s">
        <v>84</v>
      </c>
      <c r="G10" s="131"/>
      <c r="H10" s="131"/>
      <c r="I10" s="132"/>
      <c r="J10" s="141" t="s">
        <v>148</v>
      </c>
      <c r="K10" s="69">
        <f>EXP(-$K$8)</f>
        <v>0.8436648165963837</v>
      </c>
      <c r="O10" s="67"/>
      <c r="P10" s="67"/>
      <c r="Q10" s="249"/>
      <c r="R10" s="130" t="s">
        <v>84</v>
      </c>
      <c r="S10" s="131"/>
      <c r="T10" s="131"/>
      <c r="U10" s="132"/>
      <c r="V10" s="141" t="s">
        <v>148</v>
      </c>
      <c r="W10" s="69">
        <f>EXP(-$W$8)</f>
        <v>0.8436648165963837</v>
      </c>
    </row>
    <row r="11" spans="1:23">
      <c r="F11" s="130" t="s">
        <v>8</v>
      </c>
      <c r="G11" s="131"/>
      <c r="H11" s="131"/>
      <c r="I11" s="132"/>
      <c r="J11" s="141" t="s">
        <v>83</v>
      </c>
      <c r="K11" s="69">
        <v>13</v>
      </c>
      <c r="O11" s="67"/>
      <c r="P11" s="67"/>
      <c r="Q11" s="249"/>
      <c r="R11" s="130" t="s">
        <v>8</v>
      </c>
      <c r="S11" s="131"/>
      <c r="T11" s="131"/>
      <c r="U11" s="132"/>
      <c r="V11" s="141" t="s">
        <v>83</v>
      </c>
      <c r="W11" s="69">
        <v>13</v>
      </c>
    </row>
    <row r="12" spans="1:23" ht="13.5" thickBot="1">
      <c r="F12" s="244" t="s">
        <v>85</v>
      </c>
      <c r="G12" s="245"/>
      <c r="H12" s="245"/>
      <c r="I12" s="246"/>
      <c r="J12" s="247" t="s">
        <v>179</v>
      </c>
      <c r="K12" s="248">
        <f>EXP(-$K$8*((13-K11)/12))</f>
        <v>1</v>
      </c>
      <c r="O12" s="67"/>
      <c r="P12" s="67"/>
      <c r="Q12" s="249"/>
      <c r="R12" s="244" t="s">
        <v>85</v>
      </c>
      <c r="S12" s="245"/>
      <c r="T12" s="245"/>
      <c r="U12" s="246"/>
      <c r="V12" s="247" t="s">
        <v>179</v>
      </c>
      <c r="W12" s="248">
        <f>EXP(-$W$8*((13-W11)/12))</f>
        <v>1</v>
      </c>
    </row>
    <row r="13" spans="1:23" ht="13.5" thickBot="1">
      <c r="C13" s="70"/>
      <c r="D13" s="70"/>
      <c r="F13" s="136" t="s">
        <v>86</v>
      </c>
      <c r="G13" s="137"/>
      <c r="H13" s="137"/>
      <c r="I13" s="138"/>
      <c r="J13" s="142" t="s">
        <v>82</v>
      </c>
      <c r="K13" s="139">
        <f>CH4_fraction</f>
        <v>0.5</v>
      </c>
      <c r="O13" s="67"/>
      <c r="P13" s="70"/>
      <c r="Q13" s="249"/>
      <c r="R13" s="136" t="s">
        <v>86</v>
      </c>
      <c r="S13" s="137"/>
      <c r="T13" s="137"/>
      <c r="U13" s="138"/>
      <c r="V13" s="142" t="s">
        <v>82</v>
      </c>
      <c r="W13" s="139">
        <f>CH4_fraction</f>
        <v>0.5</v>
      </c>
    </row>
    <row r="14" spans="1:23" ht="13.5" thickBot="1">
      <c r="F14" s="68"/>
      <c r="G14" s="68"/>
      <c r="H14" s="68"/>
      <c r="I14" s="68"/>
      <c r="J14" s="68"/>
      <c r="K14" s="68"/>
      <c r="O14" s="67"/>
      <c r="P14" s="67"/>
      <c r="Q14" s="249"/>
      <c r="R14" s="68"/>
      <c r="S14" s="68"/>
      <c r="T14" s="68"/>
      <c r="U14" s="68"/>
      <c r="V14" s="68"/>
      <c r="W14" s="68"/>
    </row>
    <row r="15" spans="1:23" ht="89.25">
      <c r="B15" s="71" t="s">
        <v>1</v>
      </c>
      <c r="C15" s="72" t="s">
        <v>10</v>
      </c>
      <c r="D15" s="414" t="s">
        <v>239</v>
      </c>
      <c r="E15" s="73" t="s">
        <v>11</v>
      </c>
      <c r="F15" s="74" t="s">
        <v>180</v>
      </c>
      <c r="G15" s="74" t="s">
        <v>181</v>
      </c>
      <c r="H15" s="74" t="s">
        <v>182</v>
      </c>
      <c r="I15" s="74" t="s">
        <v>183</v>
      </c>
      <c r="J15" s="74" t="s">
        <v>184</v>
      </c>
      <c r="K15" s="278" t="s">
        <v>185</v>
      </c>
      <c r="O15" s="71" t="s">
        <v>1</v>
      </c>
      <c r="P15" s="72" t="s">
        <v>10</v>
      </c>
      <c r="Q15" s="73" t="s">
        <v>11</v>
      </c>
      <c r="R15" s="74" t="s">
        <v>180</v>
      </c>
      <c r="S15" s="74" t="s">
        <v>181</v>
      </c>
      <c r="T15" s="74" t="s">
        <v>182</v>
      </c>
      <c r="U15" s="74" t="s">
        <v>183</v>
      </c>
      <c r="V15" s="74" t="s">
        <v>184</v>
      </c>
      <c r="W15" s="278" t="s">
        <v>185</v>
      </c>
    </row>
    <row r="16" spans="1:23" ht="45">
      <c r="A16" s="260"/>
      <c r="B16" s="123"/>
      <c r="C16" s="124" t="s">
        <v>186</v>
      </c>
      <c r="D16" s="124" t="s">
        <v>240</v>
      </c>
      <c r="E16" s="125" t="s">
        <v>11</v>
      </c>
      <c r="F16" s="126" t="s">
        <v>254</v>
      </c>
      <c r="G16" s="126" t="s">
        <v>149</v>
      </c>
      <c r="H16" s="126" t="s">
        <v>150</v>
      </c>
      <c r="I16" s="126" t="s">
        <v>151</v>
      </c>
      <c r="J16" s="126" t="s">
        <v>191</v>
      </c>
      <c r="K16" s="127" t="s">
        <v>152</v>
      </c>
      <c r="O16" s="123"/>
      <c r="P16" s="124" t="s">
        <v>186</v>
      </c>
      <c r="Q16" s="125" t="s">
        <v>11</v>
      </c>
      <c r="R16" s="126" t="s">
        <v>187</v>
      </c>
      <c r="S16" s="126" t="s">
        <v>149</v>
      </c>
      <c r="T16" s="126" t="s">
        <v>150</v>
      </c>
      <c r="U16" s="126" t="s">
        <v>151</v>
      </c>
      <c r="V16" s="126" t="s">
        <v>191</v>
      </c>
      <c r="W16" s="127" t="s">
        <v>152</v>
      </c>
    </row>
    <row r="17" spans="2:23" ht="13.5" thickBot="1">
      <c r="B17" s="75"/>
      <c r="C17" s="76" t="s">
        <v>15</v>
      </c>
      <c r="D17" s="77" t="s">
        <v>20</v>
      </c>
      <c r="E17" s="77" t="s">
        <v>20</v>
      </c>
      <c r="F17" s="78" t="s">
        <v>15</v>
      </c>
      <c r="G17" s="78" t="s">
        <v>15</v>
      </c>
      <c r="H17" s="78" t="s">
        <v>15</v>
      </c>
      <c r="I17" s="78" t="s">
        <v>15</v>
      </c>
      <c r="J17" s="78" t="s">
        <v>15</v>
      </c>
      <c r="K17" s="79" t="s">
        <v>15</v>
      </c>
      <c r="O17" s="75"/>
      <c r="P17" s="76" t="s">
        <v>15</v>
      </c>
      <c r="Q17" s="77" t="s">
        <v>20</v>
      </c>
      <c r="R17" s="78" t="s">
        <v>15</v>
      </c>
      <c r="S17" s="78" t="s">
        <v>15</v>
      </c>
      <c r="T17" s="78" t="s">
        <v>15</v>
      </c>
      <c r="U17" s="78" t="s">
        <v>15</v>
      </c>
      <c r="V17" s="78" t="s">
        <v>15</v>
      </c>
      <c r="W17" s="79" t="s">
        <v>15</v>
      </c>
    </row>
    <row r="18" spans="2:23" ht="13.5" thickBot="1">
      <c r="B18" s="80"/>
      <c r="C18" s="81"/>
      <c r="D18" s="81"/>
      <c r="E18" s="82"/>
      <c r="F18" s="151"/>
      <c r="G18" s="83"/>
      <c r="H18" s="83"/>
      <c r="I18" s="83"/>
      <c r="J18" s="83"/>
      <c r="K18" s="84"/>
      <c r="O18" s="80"/>
      <c r="P18" s="81"/>
      <c r="Q18" s="82"/>
      <c r="R18" s="151"/>
      <c r="S18" s="83"/>
      <c r="T18" s="83"/>
      <c r="U18" s="83"/>
      <c r="V18" s="83"/>
      <c r="W18" s="84"/>
    </row>
    <row r="19" spans="2:23">
      <c r="B19" s="115">
        <f>Amnt_Deposited!B14</f>
        <v>2000</v>
      </c>
      <c r="C19" s="118">
        <f>Amnt_Deposited!P14</f>
        <v>0</v>
      </c>
      <c r="D19" s="451">
        <f>Dry_Matter_Content!P6</f>
        <v>0</v>
      </c>
      <c r="E19" s="318">
        <f>MCF!R18</f>
        <v>0.8</v>
      </c>
      <c r="F19" s="150">
        <f t="shared" ref="F19:F82" si="0">C19*D19*$K$6*DOCF*E19</f>
        <v>0</v>
      </c>
      <c r="G19" s="85">
        <f t="shared" ref="G19:G82" si="1">F19*$K$12</f>
        <v>0</v>
      </c>
      <c r="H19" s="85">
        <f t="shared" ref="H19:H82" si="2">F19*(1-$K$12)</f>
        <v>0</v>
      </c>
      <c r="I19" s="85">
        <f t="shared" ref="I19:I82" si="3">G19+I18*$K$10</f>
        <v>0</v>
      </c>
      <c r="J19" s="85">
        <f t="shared" ref="J19:J82" si="4">I18*(1-$K$10)+H19</f>
        <v>0</v>
      </c>
      <c r="K19" s="86">
        <f>J19*CH4_fraction*conv</f>
        <v>0</v>
      </c>
      <c r="O19" s="115">
        <f>Amnt_Deposited!B14</f>
        <v>2000</v>
      </c>
      <c r="P19" s="118">
        <f>Amnt_Deposited!P14</f>
        <v>0</v>
      </c>
      <c r="Q19" s="318">
        <f>MCF!R18</f>
        <v>0.8</v>
      </c>
      <c r="R19" s="150">
        <f t="shared" ref="R19:R82" si="5">P19*$W$6*DOCF*Q19</f>
        <v>0</v>
      </c>
      <c r="S19" s="85">
        <f>R19*$W$12</f>
        <v>0</v>
      </c>
      <c r="T19" s="85">
        <f>R19*(1-$W$12)</f>
        <v>0</v>
      </c>
      <c r="U19" s="85">
        <f>S19+U18*$W$10</f>
        <v>0</v>
      </c>
      <c r="V19" s="85">
        <f>U18*(1-$W$10)+T19</f>
        <v>0</v>
      </c>
      <c r="W19" s="86">
        <f>V19*CH4_fraction*conv</f>
        <v>0</v>
      </c>
    </row>
    <row r="20" spans="2:23">
      <c r="B20" s="116">
        <f>Amnt_Deposited!B15</f>
        <v>2001</v>
      </c>
      <c r="C20" s="119">
        <f>Amnt_Deposited!P15</f>
        <v>0</v>
      </c>
      <c r="D20" s="453">
        <f>Dry_Matter_Content!P7</f>
        <v>0</v>
      </c>
      <c r="E20" s="319">
        <f>MCF!R19</f>
        <v>0.8</v>
      </c>
      <c r="F20" s="87">
        <f t="shared" si="0"/>
        <v>0</v>
      </c>
      <c r="G20" s="87">
        <f t="shared" si="1"/>
        <v>0</v>
      </c>
      <c r="H20" s="87">
        <f t="shared" si="2"/>
        <v>0</v>
      </c>
      <c r="I20" s="87">
        <f t="shared" si="3"/>
        <v>0</v>
      </c>
      <c r="J20" s="87">
        <f t="shared" si="4"/>
        <v>0</v>
      </c>
      <c r="K20" s="120">
        <f>J20*CH4_fraction*conv</f>
        <v>0</v>
      </c>
      <c r="M20" s="428"/>
      <c r="O20" s="116">
        <f>Amnt_Deposited!B15</f>
        <v>2001</v>
      </c>
      <c r="P20" s="119">
        <f>Amnt_Deposited!P15</f>
        <v>0</v>
      </c>
      <c r="Q20" s="319">
        <f>MCF!R19</f>
        <v>0.8</v>
      </c>
      <c r="R20" s="87">
        <f t="shared" si="5"/>
        <v>0</v>
      </c>
      <c r="S20" s="87">
        <f>R20*$W$12</f>
        <v>0</v>
      </c>
      <c r="T20" s="87">
        <f>R20*(1-$W$12)</f>
        <v>0</v>
      </c>
      <c r="U20" s="87">
        <f>S20+U19*$W$10</f>
        <v>0</v>
      </c>
      <c r="V20" s="87">
        <f>U19*(1-$W$10)+T20</f>
        <v>0</v>
      </c>
      <c r="W20" s="120">
        <f>V20*CH4_fraction*conv</f>
        <v>0</v>
      </c>
    </row>
    <row r="21" spans="2:23">
      <c r="B21" s="116">
        <f>Amnt_Deposited!B16</f>
        <v>2002</v>
      </c>
      <c r="C21" s="119">
        <f>Amnt_Deposited!P16</f>
        <v>0</v>
      </c>
      <c r="D21" s="453">
        <f>Dry_Matter_Content!P8</f>
        <v>0</v>
      </c>
      <c r="E21" s="319">
        <f>MCF!R20</f>
        <v>0.8</v>
      </c>
      <c r="F21" s="87">
        <f t="shared" si="0"/>
        <v>0</v>
      </c>
      <c r="G21" s="87">
        <f t="shared" si="1"/>
        <v>0</v>
      </c>
      <c r="H21" s="87">
        <f t="shared" si="2"/>
        <v>0</v>
      </c>
      <c r="I21" s="87">
        <f t="shared" si="3"/>
        <v>0</v>
      </c>
      <c r="J21" s="87">
        <f t="shared" si="4"/>
        <v>0</v>
      </c>
      <c r="K21" s="120">
        <f t="shared" ref="K21:K84" si="6">J21*CH4_fraction*conv</f>
        <v>0</v>
      </c>
      <c r="O21" s="116">
        <f>Amnt_Deposited!B16</f>
        <v>2002</v>
      </c>
      <c r="P21" s="119">
        <f>Amnt_Deposited!P16</f>
        <v>0</v>
      </c>
      <c r="Q21" s="319">
        <f>MCF!R20</f>
        <v>0.8</v>
      </c>
      <c r="R21" s="87">
        <f t="shared" si="5"/>
        <v>0</v>
      </c>
      <c r="S21" s="87">
        <f t="shared" ref="S21:S84" si="7">R21*$W$12</f>
        <v>0</v>
      </c>
      <c r="T21" s="87">
        <f t="shared" ref="T21:T84" si="8">R21*(1-$W$12)</f>
        <v>0</v>
      </c>
      <c r="U21" s="87">
        <f t="shared" ref="U21:U84" si="9">S21+U20*$W$10</f>
        <v>0</v>
      </c>
      <c r="V21" s="87">
        <f t="shared" ref="V21:V84" si="10">U20*(1-$W$10)+T21</f>
        <v>0</v>
      </c>
      <c r="W21" s="120">
        <f t="shared" ref="W21:W84" si="11">V21*CH4_fraction*conv</f>
        <v>0</v>
      </c>
    </row>
    <row r="22" spans="2:23">
      <c r="B22" s="116">
        <f>Amnt_Deposited!B17</f>
        <v>2003</v>
      </c>
      <c r="C22" s="119">
        <f>Amnt_Deposited!P17</f>
        <v>0</v>
      </c>
      <c r="D22" s="453">
        <f>Dry_Matter_Content!P9</f>
        <v>0</v>
      </c>
      <c r="E22" s="319">
        <f>MCF!R21</f>
        <v>0.8</v>
      </c>
      <c r="F22" s="87">
        <f t="shared" si="0"/>
        <v>0</v>
      </c>
      <c r="G22" s="87">
        <f t="shared" si="1"/>
        <v>0</v>
      </c>
      <c r="H22" s="87">
        <f t="shared" si="2"/>
        <v>0</v>
      </c>
      <c r="I22" s="87">
        <f t="shared" si="3"/>
        <v>0</v>
      </c>
      <c r="J22" s="87">
        <f t="shared" si="4"/>
        <v>0</v>
      </c>
      <c r="K22" s="120">
        <f t="shared" si="6"/>
        <v>0</v>
      </c>
      <c r="N22" s="290"/>
      <c r="O22" s="116">
        <f>Amnt_Deposited!B17</f>
        <v>2003</v>
      </c>
      <c r="P22" s="119">
        <f>Amnt_Deposited!P17</f>
        <v>0</v>
      </c>
      <c r="Q22" s="319">
        <f>MCF!R21</f>
        <v>0.8</v>
      </c>
      <c r="R22" s="87">
        <f t="shared" si="5"/>
        <v>0</v>
      </c>
      <c r="S22" s="87">
        <f t="shared" si="7"/>
        <v>0</v>
      </c>
      <c r="T22" s="87">
        <f t="shared" si="8"/>
        <v>0</v>
      </c>
      <c r="U22" s="87">
        <f t="shared" si="9"/>
        <v>0</v>
      </c>
      <c r="V22" s="87">
        <f t="shared" si="10"/>
        <v>0</v>
      </c>
      <c r="W22" s="120">
        <f t="shared" si="11"/>
        <v>0</v>
      </c>
    </row>
    <row r="23" spans="2:23">
      <c r="B23" s="116">
        <f>Amnt_Deposited!B18</f>
        <v>2004</v>
      </c>
      <c r="C23" s="119">
        <f>Amnt_Deposited!P18</f>
        <v>0</v>
      </c>
      <c r="D23" s="453">
        <f>Dry_Matter_Content!P10</f>
        <v>0</v>
      </c>
      <c r="E23" s="319">
        <f>MCF!R22</f>
        <v>0.8</v>
      </c>
      <c r="F23" s="87">
        <f t="shared" si="0"/>
        <v>0</v>
      </c>
      <c r="G23" s="87">
        <f t="shared" si="1"/>
        <v>0</v>
      </c>
      <c r="H23" s="87">
        <f t="shared" si="2"/>
        <v>0</v>
      </c>
      <c r="I23" s="87">
        <f t="shared" si="3"/>
        <v>0</v>
      </c>
      <c r="J23" s="87">
        <f t="shared" si="4"/>
        <v>0</v>
      </c>
      <c r="K23" s="120">
        <f t="shared" si="6"/>
        <v>0</v>
      </c>
      <c r="N23" s="290"/>
      <c r="O23" s="116">
        <f>Amnt_Deposited!B18</f>
        <v>2004</v>
      </c>
      <c r="P23" s="119">
        <f>Amnt_Deposited!P18</f>
        <v>0</v>
      </c>
      <c r="Q23" s="319">
        <f>MCF!R22</f>
        <v>0.8</v>
      </c>
      <c r="R23" s="87">
        <f t="shared" si="5"/>
        <v>0</v>
      </c>
      <c r="S23" s="87">
        <f t="shared" si="7"/>
        <v>0</v>
      </c>
      <c r="T23" s="87">
        <f t="shared" si="8"/>
        <v>0</v>
      </c>
      <c r="U23" s="87">
        <f t="shared" si="9"/>
        <v>0</v>
      </c>
      <c r="V23" s="87">
        <f t="shared" si="10"/>
        <v>0</v>
      </c>
      <c r="W23" s="120">
        <f t="shared" si="11"/>
        <v>0</v>
      </c>
    </row>
    <row r="24" spans="2:23">
      <c r="B24" s="116">
        <f>Amnt_Deposited!B19</f>
        <v>2005</v>
      </c>
      <c r="C24" s="119">
        <f>Amnt_Deposited!P19</f>
        <v>0</v>
      </c>
      <c r="D24" s="453">
        <f>Dry_Matter_Content!P11</f>
        <v>0</v>
      </c>
      <c r="E24" s="319">
        <f>MCF!R23</f>
        <v>0.8</v>
      </c>
      <c r="F24" s="87">
        <f t="shared" si="0"/>
        <v>0</v>
      </c>
      <c r="G24" s="87">
        <f t="shared" si="1"/>
        <v>0</v>
      </c>
      <c r="H24" s="87">
        <f t="shared" si="2"/>
        <v>0</v>
      </c>
      <c r="I24" s="87">
        <f t="shared" si="3"/>
        <v>0</v>
      </c>
      <c r="J24" s="87">
        <f t="shared" si="4"/>
        <v>0</v>
      </c>
      <c r="K24" s="120">
        <f t="shared" si="6"/>
        <v>0</v>
      </c>
      <c r="N24" s="290"/>
      <c r="O24" s="116">
        <f>Amnt_Deposited!B19</f>
        <v>2005</v>
      </c>
      <c r="P24" s="119">
        <f>Amnt_Deposited!P19</f>
        <v>0</v>
      </c>
      <c r="Q24" s="319">
        <f>MCF!R23</f>
        <v>0.8</v>
      </c>
      <c r="R24" s="87">
        <f t="shared" si="5"/>
        <v>0</v>
      </c>
      <c r="S24" s="87">
        <f t="shared" si="7"/>
        <v>0</v>
      </c>
      <c r="T24" s="87">
        <f t="shared" si="8"/>
        <v>0</v>
      </c>
      <c r="U24" s="87">
        <f t="shared" si="9"/>
        <v>0</v>
      </c>
      <c r="V24" s="87">
        <f t="shared" si="10"/>
        <v>0</v>
      </c>
      <c r="W24" s="120">
        <f t="shared" si="11"/>
        <v>0</v>
      </c>
    </row>
    <row r="25" spans="2:23">
      <c r="B25" s="116">
        <f>Amnt_Deposited!B20</f>
        <v>2006</v>
      </c>
      <c r="C25" s="119">
        <f>Amnt_Deposited!P20</f>
        <v>0</v>
      </c>
      <c r="D25" s="453">
        <f>Dry_Matter_Content!P12</f>
        <v>0</v>
      </c>
      <c r="E25" s="319">
        <f>MCF!R24</f>
        <v>0.8</v>
      </c>
      <c r="F25" s="87">
        <f t="shared" si="0"/>
        <v>0</v>
      </c>
      <c r="G25" s="87">
        <f t="shared" si="1"/>
        <v>0</v>
      </c>
      <c r="H25" s="87">
        <f t="shared" si="2"/>
        <v>0</v>
      </c>
      <c r="I25" s="87">
        <f t="shared" si="3"/>
        <v>0</v>
      </c>
      <c r="J25" s="87">
        <f t="shared" si="4"/>
        <v>0</v>
      </c>
      <c r="K25" s="120">
        <f t="shared" si="6"/>
        <v>0</v>
      </c>
      <c r="N25" s="290"/>
      <c r="O25" s="116">
        <f>Amnt_Deposited!B20</f>
        <v>2006</v>
      </c>
      <c r="P25" s="119">
        <f>Amnt_Deposited!P20</f>
        <v>0</v>
      </c>
      <c r="Q25" s="319">
        <f>MCF!R24</f>
        <v>0.8</v>
      </c>
      <c r="R25" s="87">
        <f t="shared" si="5"/>
        <v>0</v>
      </c>
      <c r="S25" s="87">
        <f t="shared" si="7"/>
        <v>0</v>
      </c>
      <c r="T25" s="87">
        <f t="shared" si="8"/>
        <v>0</v>
      </c>
      <c r="U25" s="87">
        <f t="shared" si="9"/>
        <v>0</v>
      </c>
      <c r="V25" s="87">
        <f t="shared" si="10"/>
        <v>0</v>
      </c>
      <c r="W25" s="120">
        <f t="shared" si="11"/>
        <v>0</v>
      </c>
    </row>
    <row r="26" spans="2:23">
      <c r="B26" s="116">
        <f>Amnt_Deposited!B21</f>
        <v>2007</v>
      </c>
      <c r="C26" s="119">
        <f>Amnt_Deposited!P21</f>
        <v>0</v>
      </c>
      <c r="D26" s="453">
        <f>Dry_Matter_Content!P13</f>
        <v>0</v>
      </c>
      <c r="E26" s="319">
        <f>MCF!R25</f>
        <v>0.8</v>
      </c>
      <c r="F26" s="87">
        <f t="shared" si="0"/>
        <v>0</v>
      </c>
      <c r="G26" s="87">
        <f t="shared" si="1"/>
        <v>0</v>
      </c>
      <c r="H26" s="87">
        <f t="shared" si="2"/>
        <v>0</v>
      </c>
      <c r="I26" s="87">
        <f t="shared" si="3"/>
        <v>0</v>
      </c>
      <c r="J26" s="87">
        <f t="shared" si="4"/>
        <v>0</v>
      </c>
      <c r="K26" s="120">
        <f t="shared" si="6"/>
        <v>0</v>
      </c>
      <c r="N26" s="290"/>
      <c r="O26" s="116">
        <f>Amnt_Deposited!B21</f>
        <v>2007</v>
      </c>
      <c r="P26" s="119">
        <f>Amnt_Deposited!P21</f>
        <v>0</v>
      </c>
      <c r="Q26" s="319">
        <f>MCF!R25</f>
        <v>0.8</v>
      </c>
      <c r="R26" s="87">
        <f t="shared" si="5"/>
        <v>0</v>
      </c>
      <c r="S26" s="87">
        <f t="shared" si="7"/>
        <v>0</v>
      </c>
      <c r="T26" s="87">
        <f t="shared" si="8"/>
        <v>0</v>
      </c>
      <c r="U26" s="87">
        <f t="shared" si="9"/>
        <v>0</v>
      </c>
      <c r="V26" s="87">
        <f t="shared" si="10"/>
        <v>0</v>
      </c>
      <c r="W26" s="120">
        <f t="shared" si="11"/>
        <v>0</v>
      </c>
    </row>
    <row r="27" spans="2:23">
      <c r="B27" s="116">
        <f>Amnt_Deposited!B22</f>
        <v>2008</v>
      </c>
      <c r="C27" s="119">
        <f>Amnt_Deposited!P22</f>
        <v>0</v>
      </c>
      <c r="D27" s="453">
        <f>Dry_Matter_Content!P14</f>
        <v>0</v>
      </c>
      <c r="E27" s="319">
        <f>MCF!R26</f>
        <v>0.8</v>
      </c>
      <c r="F27" s="87">
        <f t="shared" si="0"/>
        <v>0</v>
      </c>
      <c r="G27" s="87">
        <f t="shared" si="1"/>
        <v>0</v>
      </c>
      <c r="H27" s="87">
        <f t="shared" si="2"/>
        <v>0</v>
      </c>
      <c r="I27" s="87">
        <f t="shared" si="3"/>
        <v>0</v>
      </c>
      <c r="J27" s="87">
        <f t="shared" si="4"/>
        <v>0</v>
      </c>
      <c r="K27" s="120">
        <f t="shared" si="6"/>
        <v>0</v>
      </c>
      <c r="N27" s="290"/>
      <c r="O27" s="116">
        <f>Amnt_Deposited!B22</f>
        <v>2008</v>
      </c>
      <c r="P27" s="119">
        <f>Amnt_Deposited!P22</f>
        <v>0</v>
      </c>
      <c r="Q27" s="319">
        <f>MCF!R26</f>
        <v>0.8</v>
      </c>
      <c r="R27" s="87">
        <f t="shared" si="5"/>
        <v>0</v>
      </c>
      <c r="S27" s="87">
        <f t="shared" si="7"/>
        <v>0</v>
      </c>
      <c r="T27" s="87">
        <f t="shared" si="8"/>
        <v>0</v>
      </c>
      <c r="U27" s="87">
        <f t="shared" si="9"/>
        <v>0</v>
      </c>
      <c r="V27" s="87">
        <f t="shared" si="10"/>
        <v>0</v>
      </c>
      <c r="W27" s="120">
        <f t="shared" si="11"/>
        <v>0</v>
      </c>
    </row>
    <row r="28" spans="2:23">
      <c r="B28" s="116">
        <f>Amnt_Deposited!B23</f>
        <v>2009</v>
      </c>
      <c r="C28" s="119">
        <f>Amnt_Deposited!P23</f>
        <v>0</v>
      </c>
      <c r="D28" s="453">
        <f>Dry_Matter_Content!P15</f>
        <v>0</v>
      </c>
      <c r="E28" s="319">
        <f>MCF!R27</f>
        <v>0.8</v>
      </c>
      <c r="F28" s="87">
        <f t="shared" si="0"/>
        <v>0</v>
      </c>
      <c r="G28" s="87">
        <f t="shared" si="1"/>
        <v>0</v>
      </c>
      <c r="H28" s="87">
        <f t="shared" si="2"/>
        <v>0</v>
      </c>
      <c r="I28" s="87">
        <f t="shared" si="3"/>
        <v>0</v>
      </c>
      <c r="J28" s="87">
        <f t="shared" si="4"/>
        <v>0</v>
      </c>
      <c r="K28" s="120">
        <f t="shared" si="6"/>
        <v>0</v>
      </c>
      <c r="N28" s="290"/>
      <c r="O28" s="116">
        <f>Amnt_Deposited!B23</f>
        <v>2009</v>
      </c>
      <c r="P28" s="119">
        <f>Amnt_Deposited!P23</f>
        <v>0</v>
      </c>
      <c r="Q28" s="319">
        <f>MCF!R27</f>
        <v>0.8</v>
      </c>
      <c r="R28" s="87">
        <f t="shared" si="5"/>
        <v>0</v>
      </c>
      <c r="S28" s="87">
        <f t="shared" si="7"/>
        <v>0</v>
      </c>
      <c r="T28" s="87">
        <f t="shared" si="8"/>
        <v>0</v>
      </c>
      <c r="U28" s="87">
        <f t="shared" si="9"/>
        <v>0</v>
      </c>
      <c r="V28" s="87">
        <f t="shared" si="10"/>
        <v>0</v>
      </c>
      <c r="W28" s="120">
        <f t="shared" si="11"/>
        <v>0</v>
      </c>
    </row>
    <row r="29" spans="2:23">
      <c r="B29" s="116">
        <f>Amnt_Deposited!B24</f>
        <v>2010</v>
      </c>
      <c r="C29" s="119">
        <f>Amnt_Deposited!P24</f>
        <v>0</v>
      </c>
      <c r="D29" s="453">
        <f>Dry_Matter_Content!P16</f>
        <v>0</v>
      </c>
      <c r="E29" s="319">
        <f>MCF!R28</f>
        <v>0.8</v>
      </c>
      <c r="F29" s="87">
        <f t="shared" si="0"/>
        <v>0</v>
      </c>
      <c r="G29" s="87">
        <f t="shared" si="1"/>
        <v>0</v>
      </c>
      <c r="H29" s="87">
        <f t="shared" si="2"/>
        <v>0</v>
      </c>
      <c r="I29" s="87">
        <f t="shared" si="3"/>
        <v>0</v>
      </c>
      <c r="J29" s="87">
        <f t="shared" si="4"/>
        <v>0</v>
      </c>
      <c r="K29" s="120">
        <f t="shared" si="6"/>
        <v>0</v>
      </c>
      <c r="O29" s="116">
        <f>Amnt_Deposited!B24</f>
        <v>2010</v>
      </c>
      <c r="P29" s="119">
        <f>Amnt_Deposited!P24</f>
        <v>0</v>
      </c>
      <c r="Q29" s="319">
        <f>MCF!R28</f>
        <v>0.8</v>
      </c>
      <c r="R29" s="87">
        <f t="shared" si="5"/>
        <v>0</v>
      </c>
      <c r="S29" s="87">
        <f t="shared" si="7"/>
        <v>0</v>
      </c>
      <c r="T29" s="87">
        <f t="shared" si="8"/>
        <v>0</v>
      </c>
      <c r="U29" s="87">
        <f t="shared" si="9"/>
        <v>0</v>
      </c>
      <c r="V29" s="87">
        <f t="shared" si="10"/>
        <v>0</v>
      </c>
      <c r="W29" s="120">
        <f t="shared" si="11"/>
        <v>0</v>
      </c>
    </row>
    <row r="30" spans="2:23">
      <c r="B30" s="116">
        <f>Amnt_Deposited!B25</f>
        <v>2011</v>
      </c>
      <c r="C30" s="119">
        <f>Amnt_Deposited!P25</f>
        <v>0</v>
      </c>
      <c r="D30" s="453">
        <f>Dry_Matter_Content!P17</f>
        <v>0</v>
      </c>
      <c r="E30" s="319">
        <f>MCF!R29</f>
        <v>0.8</v>
      </c>
      <c r="F30" s="87">
        <f t="shared" si="0"/>
        <v>0</v>
      </c>
      <c r="G30" s="87">
        <f t="shared" si="1"/>
        <v>0</v>
      </c>
      <c r="H30" s="87">
        <f t="shared" si="2"/>
        <v>0</v>
      </c>
      <c r="I30" s="87">
        <f t="shared" si="3"/>
        <v>0</v>
      </c>
      <c r="J30" s="87">
        <f t="shared" si="4"/>
        <v>0</v>
      </c>
      <c r="K30" s="120">
        <f t="shared" si="6"/>
        <v>0</v>
      </c>
      <c r="O30" s="116">
        <f>Amnt_Deposited!B25</f>
        <v>2011</v>
      </c>
      <c r="P30" s="119">
        <f>Amnt_Deposited!P25</f>
        <v>0</v>
      </c>
      <c r="Q30" s="319">
        <f>MCF!R29</f>
        <v>0.8</v>
      </c>
      <c r="R30" s="87">
        <f t="shared" si="5"/>
        <v>0</v>
      </c>
      <c r="S30" s="87">
        <f t="shared" si="7"/>
        <v>0</v>
      </c>
      <c r="T30" s="87">
        <f t="shared" si="8"/>
        <v>0</v>
      </c>
      <c r="U30" s="87">
        <f t="shared" si="9"/>
        <v>0</v>
      </c>
      <c r="V30" s="87">
        <f t="shared" si="10"/>
        <v>0</v>
      </c>
      <c r="W30" s="120">
        <f t="shared" si="11"/>
        <v>0</v>
      </c>
    </row>
    <row r="31" spans="2:23">
      <c r="B31" s="116">
        <f>Amnt_Deposited!B26</f>
        <v>2012</v>
      </c>
      <c r="C31" s="119">
        <f>Amnt_Deposited!P26</f>
        <v>0</v>
      </c>
      <c r="D31" s="453">
        <f>Dry_Matter_Content!P18</f>
        <v>0</v>
      </c>
      <c r="E31" s="319">
        <f>MCF!R30</f>
        <v>0.8</v>
      </c>
      <c r="F31" s="87">
        <f t="shared" si="0"/>
        <v>0</v>
      </c>
      <c r="G31" s="87">
        <f t="shared" si="1"/>
        <v>0</v>
      </c>
      <c r="H31" s="87">
        <f t="shared" si="2"/>
        <v>0</v>
      </c>
      <c r="I31" s="87">
        <f t="shared" si="3"/>
        <v>0</v>
      </c>
      <c r="J31" s="87">
        <f t="shared" si="4"/>
        <v>0</v>
      </c>
      <c r="K31" s="120">
        <f t="shared" si="6"/>
        <v>0</v>
      </c>
      <c r="O31" s="116">
        <f>Amnt_Deposited!B26</f>
        <v>2012</v>
      </c>
      <c r="P31" s="119">
        <f>Amnt_Deposited!P26</f>
        <v>0</v>
      </c>
      <c r="Q31" s="319">
        <f>MCF!R30</f>
        <v>0.8</v>
      </c>
      <c r="R31" s="87">
        <f t="shared" si="5"/>
        <v>0</v>
      </c>
      <c r="S31" s="87">
        <f t="shared" si="7"/>
        <v>0</v>
      </c>
      <c r="T31" s="87">
        <f t="shared" si="8"/>
        <v>0</v>
      </c>
      <c r="U31" s="87">
        <f t="shared" si="9"/>
        <v>0</v>
      </c>
      <c r="V31" s="87">
        <f t="shared" si="10"/>
        <v>0</v>
      </c>
      <c r="W31" s="120">
        <f t="shared" si="11"/>
        <v>0</v>
      </c>
    </row>
    <row r="32" spans="2:23">
      <c r="B32" s="116">
        <f>Amnt_Deposited!B27</f>
        <v>2013</v>
      </c>
      <c r="C32" s="119">
        <f>Amnt_Deposited!P27</f>
        <v>0</v>
      </c>
      <c r="D32" s="453">
        <f>Dry_Matter_Content!P19</f>
        <v>0</v>
      </c>
      <c r="E32" s="319">
        <f>MCF!R31</f>
        <v>0.8</v>
      </c>
      <c r="F32" s="87">
        <f t="shared" si="0"/>
        <v>0</v>
      </c>
      <c r="G32" s="87">
        <f t="shared" si="1"/>
        <v>0</v>
      </c>
      <c r="H32" s="87">
        <f t="shared" si="2"/>
        <v>0</v>
      </c>
      <c r="I32" s="87">
        <f t="shared" si="3"/>
        <v>0</v>
      </c>
      <c r="J32" s="87">
        <f t="shared" si="4"/>
        <v>0</v>
      </c>
      <c r="K32" s="120">
        <f t="shared" si="6"/>
        <v>0</v>
      </c>
      <c r="O32" s="116">
        <f>Amnt_Deposited!B27</f>
        <v>2013</v>
      </c>
      <c r="P32" s="119">
        <f>Amnt_Deposited!P27</f>
        <v>0</v>
      </c>
      <c r="Q32" s="319">
        <f>MCF!R31</f>
        <v>0.8</v>
      </c>
      <c r="R32" s="87">
        <f t="shared" si="5"/>
        <v>0</v>
      </c>
      <c r="S32" s="87">
        <f t="shared" si="7"/>
        <v>0</v>
      </c>
      <c r="T32" s="87">
        <f t="shared" si="8"/>
        <v>0</v>
      </c>
      <c r="U32" s="87">
        <f t="shared" si="9"/>
        <v>0</v>
      </c>
      <c r="V32" s="87">
        <f t="shared" si="10"/>
        <v>0</v>
      </c>
      <c r="W32" s="120">
        <f t="shared" si="11"/>
        <v>0</v>
      </c>
    </row>
    <row r="33" spans="2:23">
      <c r="B33" s="116">
        <f>Amnt_Deposited!B28</f>
        <v>2014</v>
      </c>
      <c r="C33" s="119">
        <f>Amnt_Deposited!P28</f>
        <v>0</v>
      </c>
      <c r="D33" s="453">
        <f>Dry_Matter_Content!P20</f>
        <v>0</v>
      </c>
      <c r="E33" s="319">
        <f>MCF!R32</f>
        <v>0.8</v>
      </c>
      <c r="F33" s="87">
        <f t="shared" si="0"/>
        <v>0</v>
      </c>
      <c r="G33" s="87">
        <f t="shared" si="1"/>
        <v>0</v>
      </c>
      <c r="H33" s="87">
        <f t="shared" si="2"/>
        <v>0</v>
      </c>
      <c r="I33" s="87">
        <f t="shared" si="3"/>
        <v>0</v>
      </c>
      <c r="J33" s="87">
        <f t="shared" si="4"/>
        <v>0</v>
      </c>
      <c r="K33" s="120">
        <f t="shared" si="6"/>
        <v>0</v>
      </c>
      <c r="O33" s="116">
        <f>Amnt_Deposited!B28</f>
        <v>2014</v>
      </c>
      <c r="P33" s="119">
        <f>Amnt_Deposited!P28</f>
        <v>0</v>
      </c>
      <c r="Q33" s="319">
        <f>MCF!R32</f>
        <v>0.8</v>
      </c>
      <c r="R33" s="87">
        <f t="shared" si="5"/>
        <v>0</v>
      </c>
      <c r="S33" s="87">
        <f t="shared" si="7"/>
        <v>0</v>
      </c>
      <c r="T33" s="87">
        <f t="shared" si="8"/>
        <v>0</v>
      </c>
      <c r="U33" s="87">
        <f t="shared" si="9"/>
        <v>0</v>
      </c>
      <c r="V33" s="87">
        <f t="shared" si="10"/>
        <v>0</v>
      </c>
      <c r="W33" s="120">
        <f t="shared" si="11"/>
        <v>0</v>
      </c>
    </row>
    <row r="34" spans="2:23">
      <c r="B34" s="116">
        <f>Amnt_Deposited!B29</f>
        <v>2015</v>
      </c>
      <c r="C34" s="119">
        <f>Amnt_Deposited!P29</f>
        <v>0</v>
      </c>
      <c r="D34" s="453">
        <f>Dry_Matter_Content!P21</f>
        <v>0</v>
      </c>
      <c r="E34" s="319">
        <f>MCF!R33</f>
        <v>0.8</v>
      </c>
      <c r="F34" s="87">
        <f t="shared" si="0"/>
        <v>0</v>
      </c>
      <c r="G34" s="87">
        <f t="shared" si="1"/>
        <v>0</v>
      </c>
      <c r="H34" s="87">
        <f t="shared" si="2"/>
        <v>0</v>
      </c>
      <c r="I34" s="87">
        <f t="shared" si="3"/>
        <v>0</v>
      </c>
      <c r="J34" s="87">
        <f t="shared" si="4"/>
        <v>0</v>
      </c>
      <c r="K34" s="120">
        <f t="shared" si="6"/>
        <v>0</v>
      </c>
      <c r="O34" s="116">
        <f>Amnt_Deposited!B29</f>
        <v>2015</v>
      </c>
      <c r="P34" s="119">
        <f>Amnt_Deposited!P29</f>
        <v>0</v>
      </c>
      <c r="Q34" s="319">
        <f>MCF!R33</f>
        <v>0.8</v>
      </c>
      <c r="R34" s="87">
        <f t="shared" si="5"/>
        <v>0</v>
      </c>
      <c r="S34" s="87">
        <f t="shared" si="7"/>
        <v>0</v>
      </c>
      <c r="T34" s="87">
        <f t="shared" si="8"/>
        <v>0</v>
      </c>
      <c r="U34" s="87">
        <f t="shared" si="9"/>
        <v>0</v>
      </c>
      <c r="V34" s="87">
        <f t="shared" si="10"/>
        <v>0</v>
      </c>
      <c r="W34" s="120">
        <f t="shared" si="11"/>
        <v>0</v>
      </c>
    </row>
    <row r="35" spans="2:23">
      <c r="B35" s="116">
        <f>Amnt_Deposited!B30</f>
        <v>2016</v>
      </c>
      <c r="C35" s="119">
        <f>Amnt_Deposited!P30</f>
        <v>0</v>
      </c>
      <c r="D35" s="453">
        <f>Dry_Matter_Content!P22</f>
        <v>0</v>
      </c>
      <c r="E35" s="319">
        <f>MCF!R34</f>
        <v>0.8</v>
      </c>
      <c r="F35" s="87">
        <f t="shared" si="0"/>
        <v>0</v>
      </c>
      <c r="G35" s="87">
        <f t="shared" si="1"/>
        <v>0</v>
      </c>
      <c r="H35" s="87">
        <f t="shared" si="2"/>
        <v>0</v>
      </c>
      <c r="I35" s="87">
        <f t="shared" si="3"/>
        <v>0</v>
      </c>
      <c r="J35" s="87">
        <f t="shared" si="4"/>
        <v>0</v>
      </c>
      <c r="K35" s="120">
        <f t="shared" si="6"/>
        <v>0</v>
      </c>
      <c r="O35" s="116">
        <f>Amnt_Deposited!B30</f>
        <v>2016</v>
      </c>
      <c r="P35" s="119">
        <f>Amnt_Deposited!P30</f>
        <v>0</v>
      </c>
      <c r="Q35" s="319">
        <f>MCF!R34</f>
        <v>0.8</v>
      </c>
      <c r="R35" s="87">
        <f t="shared" si="5"/>
        <v>0</v>
      </c>
      <c r="S35" s="87">
        <f t="shared" si="7"/>
        <v>0</v>
      </c>
      <c r="T35" s="87">
        <f t="shared" si="8"/>
        <v>0</v>
      </c>
      <c r="U35" s="87">
        <f t="shared" si="9"/>
        <v>0</v>
      </c>
      <c r="V35" s="87">
        <f t="shared" si="10"/>
        <v>0</v>
      </c>
      <c r="W35" s="120">
        <f t="shared" si="11"/>
        <v>0</v>
      </c>
    </row>
    <row r="36" spans="2:23">
      <c r="B36" s="116">
        <f>Amnt_Deposited!B31</f>
        <v>2017</v>
      </c>
      <c r="C36" s="119">
        <f>Amnt_Deposited!P31</f>
        <v>0</v>
      </c>
      <c r="D36" s="453">
        <f>Dry_Matter_Content!P23</f>
        <v>0</v>
      </c>
      <c r="E36" s="319">
        <f>MCF!R35</f>
        <v>0.8</v>
      </c>
      <c r="F36" s="87">
        <f t="shared" si="0"/>
        <v>0</v>
      </c>
      <c r="G36" s="87">
        <f t="shared" si="1"/>
        <v>0</v>
      </c>
      <c r="H36" s="87">
        <f t="shared" si="2"/>
        <v>0</v>
      </c>
      <c r="I36" s="87">
        <f t="shared" si="3"/>
        <v>0</v>
      </c>
      <c r="J36" s="87">
        <f t="shared" si="4"/>
        <v>0</v>
      </c>
      <c r="K36" s="120">
        <f t="shared" si="6"/>
        <v>0</v>
      </c>
      <c r="O36" s="116">
        <f>Amnt_Deposited!B31</f>
        <v>2017</v>
      </c>
      <c r="P36" s="119">
        <f>Amnt_Deposited!P31</f>
        <v>0</v>
      </c>
      <c r="Q36" s="319">
        <f>MCF!R35</f>
        <v>0.8</v>
      </c>
      <c r="R36" s="87">
        <f t="shared" si="5"/>
        <v>0</v>
      </c>
      <c r="S36" s="87">
        <f t="shared" si="7"/>
        <v>0</v>
      </c>
      <c r="T36" s="87">
        <f t="shared" si="8"/>
        <v>0</v>
      </c>
      <c r="U36" s="87">
        <f t="shared" si="9"/>
        <v>0</v>
      </c>
      <c r="V36" s="87">
        <f t="shared" si="10"/>
        <v>0</v>
      </c>
      <c r="W36" s="120">
        <f t="shared" si="11"/>
        <v>0</v>
      </c>
    </row>
    <row r="37" spans="2:23">
      <c r="B37" s="116">
        <f>Amnt_Deposited!B32</f>
        <v>2018</v>
      </c>
      <c r="C37" s="119">
        <f>Amnt_Deposited!P32</f>
        <v>0</v>
      </c>
      <c r="D37" s="453">
        <f>Dry_Matter_Content!P24</f>
        <v>0</v>
      </c>
      <c r="E37" s="319">
        <f>MCF!R36</f>
        <v>0.8</v>
      </c>
      <c r="F37" s="87">
        <f t="shared" si="0"/>
        <v>0</v>
      </c>
      <c r="G37" s="87">
        <f t="shared" si="1"/>
        <v>0</v>
      </c>
      <c r="H37" s="87">
        <f t="shared" si="2"/>
        <v>0</v>
      </c>
      <c r="I37" s="87">
        <f t="shared" si="3"/>
        <v>0</v>
      </c>
      <c r="J37" s="87">
        <f t="shared" si="4"/>
        <v>0</v>
      </c>
      <c r="K37" s="120">
        <f t="shared" si="6"/>
        <v>0</v>
      </c>
      <c r="O37" s="116">
        <f>Amnt_Deposited!B32</f>
        <v>2018</v>
      </c>
      <c r="P37" s="119">
        <f>Amnt_Deposited!P32</f>
        <v>0</v>
      </c>
      <c r="Q37" s="319">
        <f>MCF!R36</f>
        <v>0.8</v>
      </c>
      <c r="R37" s="87">
        <f t="shared" si="5"/>
        <v>0</v>
      </c>
      <c r="S37" s="87">
        <f t="shared" si="7"/>
        <v>0</v>
      </c>
      <c r="T37" s="87">
        <f t="shared" si="8"/>
        <v>0</v>
      </c>
      <c r="U37" s="87">
        <f t="shared" si="9"/>
        <v>0</v>
      </c>
      <c r="V37" s="87">
        <f t="shared" si="10"/>
        <v>0</v>
      </c>
      <c r="W37" s="120">
        <f t="shared" si="11"/>
        <v>0</v>
      </c>
    </row>
    <row r="38" spans="2:23">
      <c r="B38" s="116">
        <f>Amnt_Deposited!B33</f>
        <v>2019</v>
      </c>
      <c r="C38" s="119">
        <f>Amnt_Deposited!P33</f>
        <v>0</v>
      </c>
      <c r="D38" s="453">
        <f>Dry_Matter_Content!P25</f>
        <v>0</v>
      </c>
      <c r="E38" s="319">
        <f>MCF!R37</f>
        <v>0.8</v>
      </c>
      <c r="F38" s="87">
        <f t="shared" si="0"/>
        <v>0</v>
      </c>
      <c r="G38" s="87">
        <f t="shared" si="1"/>
        <v>0</v>
      </c>
      <c r="H38" s="87">
        <f t="shared" si="2"/>
        <v>0</v>
      </c>
      <c r="I38" s="87">
        <f t="shared" si="3"/>
        <v>0</v>
      </c>
      <c r="J38" s="87">
        <f t="shared" si="4"/>
        <v>0</v>
      </c>
      <c r="K38" s="120">
        <f t="shared" si="6"/>
        <v>0</v>
      </c>
      <c r="O38" s="116">
        <f>Amnt_Deposited!B33</f>
        <v>2019</v>
      </c>
      <c r="P38" s="119">
        <f>Amnt_Deposited!P33</f>
        <v>0</v>
      </c>
      <c r="Q38" s="319">
        <f>MCF!R37</f>
        <v>0.8</v>
      </c>
      <c r="R38" s="87">
        <f t="shared" si="5"/>
        <v>0</v>
      </c>
      <c r="S38" s="87">
        <f t="shared" si="7"/>
        <v>0</v>
      </c>
      <c r="T38" s="87">
        <f t="shared" si="8"/>
        <v>0</v>
      </c>
      <c r="U38" s="87">
        <f t="shared" si="9"/>
        <v>0</v>
      </c>
      <c r="V38" s="87">
        <f t="shared" si="10"/>
        <v>0</v>
      </c>
      <c r="W38" s="120">
        <f t="shared" si="11"/>
        <v>0</v>
      </c>
    </row>
    <row r="39" spans="2:23">
      <c r="B39" s="116">
        <f>Amnt_Deposited!B34</f>
        <v>2020</v>
      </c>
      <c r="C39" s="119">
        <f>Amnt_Deposited!P34</f>
        <v>0</v>
      </c>
      <c r="D39" s="453">
        <f>Dry_Matter_Content!P26</f>
        <v>0</v>
      </c>
      <c r="E39" s="319">
        <f>MCF!R38</f>
        <v>0.8</v>
      </c>
      <c r="F39" s="87">
        <f t="shared" si="0"/>
        <v>0</v>
      </c>
      <c r="G39" s="87">
        <f t="shared" si="1"/>
        <v>0</v>
      </c>
      <c r="H39" s="87">
        <f t="shared" si="2"/>
        <v>0</v>
      </c>
      <c r="I39" s="87">
        <f t="shared" si="3"/>
        <v>0</v>
      </c>
      <c r="J39" s="87">
        <f t="shared" si="4"/>
        <v>0</v>
      </c>
      <c r="K39" s="120">
        <f t="shared" si="6"/>
        <v>0</v>
      </c>
      <c r="O39" s="116">
        <f>Amnt_Deposited!B34</f>
        <v>2020</v>
      </c>
      <c r="P39" s="119">
        <f>Amnt_Deposited!P34</f>
        <v>0</v>
      </c>
      <c r="Q39" s="319">
        <f>MCF!R38</f>
        <v>0.8</v>
      </c>
      <c r="R39" s="87">
        <f t="shared" si="5"/>
        <v>0</v>
      </c>
      <c r="S39" s="87">
        <f t="shared" si="7"/>
        <v>0</v>
      </c>
      <c r="T39" s="87">
        <f t="shared" si="8"/>
        <v>0</v>
      </c>
      <c r="U39" s="87">
        <f t="shared" si="9"/>
        <v>0</v>
      </c>
      <c r="V39" s="87">
        <f t="shared" si="10"/>
        <v>0</v>
      </c>
      <c r="W39" s="120">
        <f t="shared" si="11"/>
        <v>0</v>
      </c>
    </row>
    <row r="40" spans="2:23">
      <c r="B40" s="116">
        <f>Amnt_Deposited!B35</f>
        <v>2021</v>
      </c>
      <c r="C40" s="119">
        <f>Amnt_Deposited!P35</f>
        <v>0</v>
      </c>
      <c r="D40" s="453">
        <f>Dry_Matter_Content!P27</f>
        <v>0</v>
      </c>
      <c r="E40" s="319">
        <f>MCF!R39</f>
        <v>0.8</v>
      </c>
      <c r="F40" s="87">
        <f t="shared" si="0"/>
        <v>0</v>
      </c>
      <c r="G40" s="87">
        <f t="shared" si="1"/>
        <v>0</v>
      </c>
      <c r="H40" s="87">
        <f t="shared" si="2"/>
        <v>0</v>
      </c>
      <c r="I40" s="87">
        <f t="shared" si="3"/>
        <v>0</v>
      </c>
      <c r="J40" s="87">
        <f t="shared" si="4"/>
        <v>0</v>
      </c>
      <c r="K40" s="120">
        <f t="shared" si="6"/>
        <v>0</v>
      </c>
      <c r="O40" s="116">
        <f>Amnt_Deposited!B35</f>
        <v>2021</v>
      </c>
      <c r="P40" s="119">
        <f>Amnt_Deposited!P35</f>
        <v>0</v>
      </c>
      <c r="Q40" s="319">
        <f>MCF!R39</f>
        <v>0.8</v>
      </c>
      <c r="R40" s="87">
        <f t="shared" si="5"/>
        <v>0</v>
      </c>
      <c r="S40" s="87">
        <f t="shared" si="7"/>
        <v>0</v>
      </c>
      <c r="T40" s="87">
        <f t="shared" si="8"/>
        <v>0</v>
      </c>
      <c r="U40" s="87">
        <f t="shared" si="9"/>
        <v>0</v>
      </c>
      <c r="V40" s="87">
        <f t="shared" si="10"/>
        <v>0</v>
      </c>
      <c r="W40" s="120">
        <f t="shared" si="11"/>
        <v>0</v>
      </c>
    </row>
    <row r="41" spans="2:23">
      <c r="B41" s="116">
        <f>Amnt_Deposited!B36</f>
        <v>2022</v>
      </c>
      <c r="C41" s="119">
        <f>Amnt_Deposited!P36</f>
        <v>0</v>
      </c>
      <c r="D41" s="453">
        <f>Dry_Matter_Content!P28</f>
        <v>0</v>
      </c>
      <c r="E41" s="319">
        <f>MCF!R40</f>
        <v>0.8</v>
      </c>
      <c r="F41" s="87">
        <f t="shared" si="0"/>
        <v>0</v>
      </c>
      <c r="G41" s="87">
        <f t="shared" si="1"/>
        <v>0</v>
      </c>
      <c r="H41" s="87">
        <f t="shared" si="2"/>
        <v>0</v>
      </c>
      <c r="I41" s="87">
        <f t="shared" si="3"/>
        <v>0</v>
      </c>
      <c r="J41" s="87">
        <f t="shared" si="4"/>
        <v>0</v>
      </c>
      <c r="K41" s="120">
        <f t="shared" si="6"/>
        <v>0</v>
      </c>
      <c r="O41" s="116">
        <f>Amnt_Deposited!B36</f>
        <v>2022</v>
      </c>
      <c r="P41" s="119">
        <f>Amnt_Deposited!P36</f>
        <v>0</v>
      </c>
      <c r="Q41" s="319">
        <f>MCF!R40</f>
        <v>0.8</v>
      </c>
      <c r="R41" s="87">
        <f t="shared" si="5"/>
        <v>0</v>
      </c>
      <c r="S41" s="87">
        <f t="shared" si="7"/>
        <v>0</v>
      </c>
      <c r="T41" s="87">
        <f t="shared" si="8"/>
        <v>0</v>
      </c>
      <c r="U41" s="87">
        <f t="shared" si="9"/>
        <v>0</v>
      </c>
      <c r="V41" s="87">
        <f t="shared" si="10"/>
        <v>0</v>
      </c>
      <c r="W41" s="120">
        <f t="shared" si="11"/>
        <v>0</v>
      </c>
    </row>
    <row r="42" spans="2:23">
      <c r="B42" s="116">
        <f>Amnt_Deposited!B37</f>
        <v>2023</v>
      </c>
      <c r="C42" s="119">
        <f>Amnt_Deposited!P37</f>
        <v>0</v>
      </c>
      <c r="D42" s="453">
        <f>Dry_Matter_Content!P29</f>
        <v>0</v>
      </c>
      <c r="E42" s="319">
        <f>MCF!R41</f>
        <v>0.8</v>
      </c>
      <c r="F42" s="87">
        <f t="shared" si="0"/>
        <v>0</v>
      </c>
      <c r="G42" s="87">
        <f t="shared" si="1"/>
        <v>0</v>
      </c>
      <c r="H42" s="87">
        <f t="shared" si="2"/>
        <v>0</v>
      </c>
      <c r="I42" s="87">
        <f t="shared" si="3"/>
        <v>0</v>
      </c>
      <c r="J42" s="87">
        <f t="shared" si="4"/>
        <v>0</v>
      </c>
      <c r="K42" s="120">
        <f t="shared" si="6"/>
        <v>0</v>
      </c>
      <c r="O42" s="116">
        <f>Amnt_Deposited!B37</f>
        <v>2023</v>
      </c>
      <c r="P42" s="119">
        <f>Amnt_Deposited!P37</f>
        <v>0</v>
      </c>
      <c r="Q42" s="319">
        <f>MCF!R41</f>
        <v>0.8</v>
      </c>
      <c r="R42" s="87">
        <f t="shared" si="5"/>
        <v>0</v>
      </c>
      <c r="S42" s="87">
        <f t="shared" si="7"/>
        <v>0</v>
      </c>
      <c r="T42" s="87">
        <f t="shared" si="8"/>
        <v>0</v>
      </c>
      <c r="U42" s="87">
        <f t="shared" si="9"/>
        <v>0</v>
      </c>
      <c r="V42" s="87">
        <f t="shared" si="10"/>
        <v>0</v>
      </c>
      <c r="W42" s="120">
        <f t="shared" si="11"/>
        <v>0</v>
      </c>
    </row>
    <row r="43" spans="2:23">
      <c r="B43" s="116">
        <f>Amnt_Deposited!B38</f>
        <v>2024</v>
      </c>
      <c r="C43" s="119">
        <f>Amnt_Deposited!P38</f>
        <v>0</v>
      </c>
      <c r="D43" s="453">
        <f>Dry_Matter_Content!P30</f>
        <v>0</v>
      </c>
      <c r="E43" s="319">
        <f>MCF!R42</f>
        <v>0.8</v>
      </c>
      <c r="F43" s="87">
        <f t="shared" si="0"/>
        <v>0</v>
      </c>
      <c r="G43" s="87">
        <f t="shared" si="1"/>
        <v>0</v>
      </c>
      <c r="H43" s="87">
        <f t="shared" si="2"/>
        <v>0</v>
      </c>
      <c r="I43" s="87">
        <f t="shared" si="3"/>
        <v>0</v>
      </c>
      <c r="J43" s="87">
        <f t="shared" si="4"/>
        <v>0</v>
      </c>
      <c r="K43" s="120">
        <f t="shared" si="6"/>
        <v>0</v>
      </c>
      <c r="O43" s="116">
        <f>Amnt_Deposited!B38</f>
        <v>2024</v>
      </c>
      <c r="P43" s="119">
        <f>Amnt_Deposited!P38</f>
        <v>0</v>
      </c>
      <c r="Q43" s="319">
        <f>MCF!R42</f>
        <v>0.8</v>
      </c>
      <c r="R43" s="87">
        <f t="shared" si="5"/>
        <v>0</v>
      </c>
      <c r="S43" s="87">
        <f t="shared" si="7"/>
        <v>0</v>
      </c>
      <c r="T43" s="87">
        <f t="shared" si="8"/>
        <v>0</v>
      </c>
      <c r="U43" s="87">
        <f t="shared" si="9"/>
        <v>0</v>
      </c>
      <c r="V43" s="87">
        <f t="shared" si="10"/>
        <v>0</v>
      </c>
      <c r="W43" s="120">
        <f t="shared" si="11"/>
        <v>0</v>
      </c>
    </row>
    <row r="44" spans="2:23">
      <c r="B44" s="116">
        <f>Amnt_Deposited!B39</f>
        <v>2025</v>
      </c>
      <c r="C44" s="119">
        <f>Amnt_Deposited!P39</f>
        <v>0</v>
      </c>
      <c r="D44" s="453">
        <f>Dry_Matter_Content!P31</f>
        <v>0</v>
      </c>
      <c r="E44" s="319">
        <f>MCF!R43</f>
        <v>0.8</v>
      </c>
      <c r="F44" s="87">
        <f t="shared" si="0"/>
        <v>0</v>
      </c>
      <c r="G44" s="87">
        <f t="shared" si="1"/>
        <v>0</v>
      </c>
      <c r="H44" s="87">
        <f t="shared" si="2"/>
        <v>0</v>
      </c>
      <c r="I44" s="87">
        <f t="shared" si="3"/>
        <v>0</v>
      </c>
      <c r="J44" s="87">
        <f t="shared" si="4"/>
        <v>0</v>
      </c>
      <c r="K44" s="120">
        <f t="shared" si="6"/>
        <v>0</v>
      </c>
      <c r="O44" s="116">
        <f>Amnt_Deposited!B39</f>
        <v>2025</v>
      </c>
      <c r="P44" s="119">
        <f>Amnt_Deposited!P39</f>
        <v>0</v>
      </c>
      <c r="Q44" s="319">
        <f>MCF!R43</f>
        <v>0.8</v>
      </c>
      <c r="R44" s="87">
        <f t="shared" si="5"/>
        <v>0</v>
      </c>
      <c r="S44" s="87">
        <f t="shared" si="7"/>
        <v>0</v>
      </c>
      <c r="T44" s="87">
        <f t="shared" si="8"/>
        <v>0</v>
      </c>
      <c r="U44" s="87">
        <f t="shared" si="9"/>
        <v>0</v>
      </c>
      <c r="V44" s="87">
        <f t="shared" si="10"/>
        <v>0</v>
      </c>
      <c r="W44" s="120">
        <f t="shared" si="11"/>
        <v>0</v>
      </c>
    </row>
    <row r="45" spans="2:23">
      <c r="B45" s="116">
        <f>Amnt_Deposited!B40</f>
        <v>2026</v>
      </c>
      <c r="C45" s="119">
        <f>Amnt_Deposited!P40</f>
        <v>0</v>
      </c>
      <c r="D45" s="453">
        <f>Dry_Matter_Content!P32</f>
        <v>0</v>
      </c>
      <c r="E45" s="319">
        <f>MCF!R44</f>
        <v>0.8</v>
      </c>
      <c r="F45" s="87">
        <f t="shared" si="0"/>
        <v>0</v>
      </c>
      <c r="G45" s="87">
        <f t="shared" si="1"/>
        <v>0</v>
      </c>
      <c r="H45" s="87">
        <f t="shared" si="2"/>
        <v>0</v>
      </c>
      <c r="I45" s="87">
        <f t="shared" si="3"/>
        <v>0</v>
      </c>
      <c r="J45" s="87">
        <f t="shared" si="4"/>
        <v>0</v>
      </c>
      <c r="K45" s="120">
        <f t="shared" si="6"/>
        <v>0</v>
      </c>
      <c r="O45" s="116">
        <f>Amnt_Deposited!B40</f>
        <v>2026</v>
      </c>
      <c r="P45" s="119">
        <f>Amnt_Deposited!P40</f>
        <v>0</v>
      </c>
      <c r="Q45" s="319">
        <f>MCF!R44</f>
        <v>0.8</v>
      </c>
      <c r="R45" s="87">
        <f t="shared" si="5"/>
        <v>0</v>
      </c>
      <c r="S45" s="87">
        <f t="shared" si="7"/>
        <v>0</v>
      </c>
      <c r="T45" s="87">
        <f t="shared" si="8"/>
        <v>0</v>
      </c>
      <c r="U45" s="87">
        <f t="shared" si="9"/>
        <v>0</v>
      </c>
      <c r="V45" s="87">
        <f t="shared" si="10"/>
        <v>0</v>
      </c>
      <c r="W45" s="120">
        <f t="shared" si="11"/>
        <v>0</v>
      </c>
    </row>
    <row r="46" spans="2:23">
      <c r="B46" s="116">
        <f>Amnt_Deposited!B41</f>
        <v>2027</v>
      </c>
      <c r="C46" s="119">
        <f>Amnt_Deposited!P41</f>
        <v>0</v>
      </c>
      <c r="D46" s="453">
        <f>Dry_Matter_Content!P33</f>
        <v>0</v>
      </c>
      <c r="E46" s="319">
        <f>MCF!R45</f>
        <v>0.8</v>
      </c>
      <c r="F46" s="87">
        <f t="shared" si="0"/>
        <v>0</v>
      </c>
      <c r="G46" s="87">
        <f t="shared" si="1"/>
        <v>0</v>
      </c>
      <c r="H46" s="87">
        <f t="shared" si="2"/>
        <v>0</v>
      </c>
      <c r="I46" s="87">
        <f t="shared" si="3"/>
        <v>0</v>
      </c>
      <c r="J46" s="87">
        <f t="shared" si="4"/>
        <v>0</v>
      </c>
      <c r="K46" s="120">
        <f t="shared" si="6"/>
        <v>0</v>
      </c>
      <c r="O46" s="116">
        <f>Amnt_Deposited!B41</f>
        <v>2027</v>
      </c>
      <c r="P46" s="119">
        <f>Amnt_Deposited!P41</f>
        <v>0</v>
      </c>
      <c r="Q46" s="319">
        <f>MCF!R45</f>
        <v>0.8</v>
      </c>
      <c r="R46" s="87">
        <f t="shared" si="5"/>
        <v>0</v>
      </c>
      <c r="S46" s="87">
        <f t="shared" si="7"/>
        <v>0</v>
      </c>
      <c r="T46" s="87">
        <f t="shared" si="8"/>
        <v>0</v>
      </c>
      <c r="U46" s="87">
        <f t="shared" si="9"/>
        <v>0</v>
      </c>
      <c r="V46" s="87">
        <f t="shared" si="10"/>
        <v>0</v>
      </c>
      <c r="W46" s="120">
        <f t="shared" si="11"/>
        <v>0</v>
      </c>
    </row>
    <row r="47" spans="2:23">
      <c r="B47" s="116">
        <f>Amnt_Deposited!B42</f>
        <v>2028</v>
      </c>
      <c r="C47" s="119">
        <f>Amnt_Deposited!P42</f>
        <v>0</v>
      </c>
      <c r="D47" s="453">
        <f>Dry_Matter_Content!P34</f>
        <v>0</v>
      </c>
      <c r="E47" s="319">
        <f>MCF!R46</f>
        <v>0.8</v>
      </c>
      <c r="F47" s="87">
        <f t="shared" si="0"/>
        <v>0</v>
      </c>
      <c r="G47" s="87">
        <f t="shared" si="1"/>
        <v>0</v>
      </c>
      <c r="H47" s="87">
        <f t="shared" si="2"/>
        <v>0</v>
      </c>
      <c r="I47" s="87">
        <f t="shared" si="3"/>
        <v>0</v>
      </c>
      <c r="J47" s="87">
        <f t="shared" si="4"/>
        <v>0</v>
      </c>
      <c r="K47" s="120">
        <f t="shared" si="6"/>
        <v>0</v>
      </c>
      <c r="O47" s="116">
        <f>Amnt_Deposited!B42</f>
        <v>2028</v>
      </c>
      <c r="P47" s="119">
        <f>Amnt_Deposited!P42</f>
        <v>0</v>
      </c>
      <c r="Q47" s="319">
        <f>MCF!R46</f>
        <v>0.8</v>
      </c>
      <c r="R47" s="87">
        <f t="shared" si="5"/>
        <v>0</v>
      </c>
      <c r="S47" s="87">
        <f t="shared" si="7"/>
        <v>0</v>
      </c>
      <c r="T47" s="87">
        <f t="shared" si="8"/>
        <v>0</v>
      </c>
      <c r="U47" s="87">
        <f t="shared" si="9"/>
        <v>0</v>
      </c>
      <c r="V47" s="87">
        <f t="shared" si="10"/>
        <v>0</v>
      </c>
      <c r="W47" s="120">
        <f t="shared" si="11"/>
        <v>0</v>
      </c>
    </row>
    <row r="48" spans="2:23">
      <c r="B48" s="116">
        <f>Amnt_Deposited!B43</f>
        <v>2029</v>
      </c>
      <c r="C48" s="119">
        <f>Amnt_Deposited!P43</f>
        <v>0</v>
      </c>
      <c r="D48" s="453">
        <f>Dry_Matter_Content!P35</f>
        <v>0</v>
      </c>
      <c r="E48" s="319">
        <f>MCF!R47</f>
        <v>0.8</v>
      </c>
      <c r="F48" s="87">
        <f t="shared" si="0"/>
        <v>0</v>
      </c>
      <c r="G48" s="87">
        <f t="shared" si="1"/>
        <v>0</v>
      </c>
      <c r="H48" s="87">
        <f t="shared" si="2"/>
        <v>0</v>
      </c>
      <c r="I48" s="87">
        <f t="shared" si="3"/>
        <v>0</v>
      </c>
      <c r="J48" s="87">
        <f t="shared" si="4"/>
        <v>0</v>
      </c>
      <c r="K48" s="120">
        <f t="shared" si="6"/>
        <v>0</v>
      </c>
      <c r="O48" s="116">
        <f>Amnt_Deposited!B43</f>
        <v>2029</v>
      </c>
      <c r="P48" s="119">
        <f>Amnt_Deposited!P43</f>
        <v>0</v>
      </c>
      <c r="Q48" s="319">
        <f>MCF!R47</f>
        <v>0.8</v>
      </c>
      <c r="R48" s="87">
        <f t="shared" si="5"/>
        <v>0</v>
      </c>
      <c r="S48" s="87">
        <f t="shared" si="7"/>
        <v>0</v>
      </c>
      <c r="T48" s="87">
        <f t="shared" si="8"/>
        <v>0</v>
      </c>
      <c r="U48" s="87">
        <f t="shared" si="9"/>
        <v>0</v>
      </c>
      <c r="V48" s="87">
        <f t="shared" si="10"/>
        <v>0</v>
      </c>
      <c r="W48" s="120">
        <f t="shared" si="11"/>
        <v>0</v>
      </c>
    </row>
    <row r="49" spans="2:23">
      <c r="B49" s="116">
        <f>Amnt_Deposited!B44</f>
        <v>2030</v>
      </c>
      <c r="C49" s="119">
        <f>Amnt_Deposited!P44</f>
        <v>0</v>
      </c>
      <c r="D49" s="453">
        <f>Dry_Matter_Content!P36</f>
        <v>0</v>
      </c>
      <c r="E49" s="319">
        <f>MCF!R48</f>
        <v>0.8</v>
      </c>
      <c r="F49" s="87">
        <f t="shared" si="0"/>
        <v>0</v>
      </c>
      <c r="G49" s="87">
        <f t="shared" si="1"/>
        <v>0</v>
      </c>
      <c r="H49" s="87">
        <f t="shared" si="2"/>
        <v>0</v>
      </c>
      <c r="I49" s="87">
        <f t="shared" si="3"/>
        <v>0</v>
      </c>
      <c r="J49" s="87">
        <f t="shared" si="4"/>
        <v>0</v>
      </c>
      <c r="K49" s="120">
        <f t="shared" si="6"/>
        <v>0</v>
      </c>
      <c r="O49" s="116">
        <f>Amnt_Deposited!B44</f>
        <v>2030</v>
      </c>
      <c r="P49" s="119">
        <f>Amnt_Deposited!P44</f>
        <v>0</v>
      </c>
      <c r="Q49" s="319">
        <f>MCF!R48</f>
        <v>0.8</v>
      </c>
      <c r="R49" s="87">
        <f t="shared" si="5"/>
        <v>0</v>
      </c>
      <c r="S49" s="87">
        <f t="shared" si="7"/>
        <v>0</v>
      </c>
      <c r="T49" s="87">
        <f t="shared" si="8"/>
        <v>0</v>
      </c>
      <c r="U49" s="87">
        <f t="shared" si="9"/>
        <v>0</v>
      </c>
      <c r="V49" s="87">
        <f t="shared" si="10"/>
        <v>0</v>
      </c>
      <c r="W49" s="120">
        <f t="shared" si="11"/>
        <v>0</v>
      </c>
    </row>
    <row r="50" spans="2:23">
      <c r="B50" s="116">
        <f>Amnt_Deposited!B45</f>
        <v>2031</v>
      </c>
      <c r="C50" s="119">
        <f>Amnt_Deposited!P45</f>
        <v>0</v>
      </c>
      <c r="D50" s="453">
        <f>Dry_Matter_Content!P37</f>
        <v>0</v>
      </c>
      <c r="E50" s="319">
        <f>MCF!R49</f>
        <v>0.8</v>
      </c>
      <c r="F50" s="87">
        <f t="shared" si="0"/>
        <v>0</v>
      </c>
      <c r="G50" s="87">
        <f t="shared" si="1"/>
        <v>0</v>
      </c>
      <c r="H50" s="87">
        <f t="shared" si="2"/>
        <v>0</v>
      </c>
      <c r="I50" s="87">
        <f t="shared" si="3"/>
        <v>0</v>
      </c>
      <c r="J50" s="87">
        <f t="shared" si="4"/>
        <v>0</v>
      </c>
      <c r="K50" s="120">
        <f t="shared" si="6"/>
        <v>0</v>
      </c>
      <c r="O50" s="116">
        <f>Amnt_Deposited!B45</f>
        <v>2031</v>
      </c>
      <c r="P50" s="119">
        <f>Amnt_Deposited!P45</f>
        <v>0</v>
      </c>
      <c r="Q50" s="319">
        <f>MCF!R49</f>
        <v>0.8</v>
      </c>
      <c r="R50" s="87">
        <f t="shared" si="5"/>
        <v>0</v>
      </c>
      <c r="S50" s="87">
        <f t="shared" si="7"/>
        <v>0</v>
      </c>
      <c r="T50" s="87">
        <f t="shared" si="8"/>
        <v>0</v>
      </c>
      <c r="U50" s="87">
        <f t="shared" si="9"/>
        <v>0</v>
      </c>
      <c r="V50" s="87">
        <f t="shared" si="10"/>
        <v>0</v>
      </c>
      <c r="W50" s="120">
        <f t="shared" si="11"/>
        <v>0</v>
      </c>
    </row>
    <row r="51" spans="2:23">
      <c r="B51" s="116">
        <f>Amnt_Deposited!B46</f>
        <v>2032</v>
      </c>
      <c r="C51" s="119">
        <f>Amnt_Deposited!P46</f>
        <v>0</v>
      </c>
      <c r="D51" s="453">
        <f>Dry_Matter_Content!P38</f>
        <v>0</v>
      </c>
      <c r="E51" s="319">
        <f>MCF!R50</f>
        <v>0.8</v>
      </c>
      <c r="F51" s="87">
        <f t="shared" si="0"/>
        <v>0</v>
      </c>
      <c r="G51" s="87">
        <f t="shared" si="1"/>
        <v>0</v>
      </c>
      <c r="H51" s="87">
        <f t="shared" si="2"/>
        <v>0</v>
      </c>
      <c r="I51" s="87">
        <f t="shared" si="3"/>
        <v>0</v>
      </c>
      <c r="J51" s="87">
        <f t="shared" si="4"/>
        <v>0</v>
      </c>
      <c r="K51" s="120">
        <f t="shared" si="6"/>
        <v>0</v>
      </c>
      <c r="O51" s="116">
        <f>Amnt_Deposited!B46</f>
        <v>2032</v>
      </c>
      <c r="P51" s="119">
        <f>Amnt_Deposited!P46</f>
        <v>0</v>
      </c>
      <c r="Q51" s="319">
        <f>MCF!R50</f>
        <v>0.8</v>
      </c>
      <c r="R51" s="87">
        <f t="shared" si="5"/>
        <v>0</v>
      </c>
      <c r="S51" s="87">
        <f t="shared" si="7"/>
        <v>0</v>
      </c>
      <c r="T51" s="87">
        <f t="shared" si="8"/>
        <v>0</v>
      </c>
      <c r="U51" s="87">
        <f t="shared" si="9"/>
        <v>0</v>
      </c>
      <c r="V51" s="87">
        <f t="shared" si="10"/>
        <v>0</v>
      </c>
      <c r="W51" s="120">
        <f t="shared" si="11"/>
        <v>0</v>
      </c>
    </row>
    <row r="52" spans="2:23">
      <c r="B52" s="116">
        <f>Amnt_Deposited!B47</f>
        <v>2033</v>
      </c>
      <c r="C52" s="119">
        <f>Amnt_Deposited!P47</f>
        <v>0</v>
      </c>
      <c r="D52" s="453">
        <f>Dry_Matter_Content!P39</f>
        <v>0</v>
      </c>
      <c r="E52" s="319">
        <f>MCF!R51</f>
        <v>0.8</v>
      </c>
      <c r="F52" s="87">
        <f t="shared" si="0"/>
        <v>0</v>
      </c>
      <c r="G52" s="87">
        <f t="shared" si="1"/>
        <v>0</v>
      </c>
      <c r="H52" s="87">
        <f t="shared" si="2"/>
        <v>0</v>
      </c>
      <c r="I52" s="87">
        <f t="shared" si="3"/>
        <v>0</v>
      </c>
      <c r="J52" s="87">
        <f t="shared" si="4"/>
        <v>0</v>
      </c>
      <c r="K52" s="120">
        <f t="shared" si="6"/>
        <v>0</v>
      </c>
      <c r="O52" s="116">
        <f>Amnt_Deposited!B47</f>
        <v>2033</v>
      </c>
      <c r="P52" s="119">
        <f>Amnt_Deposited!P47</f>
        <v>0</v>
      </c>
      <c r="Q52" s="319">
        <f>MCF!R51</f>
        <v>0.8</v>
      </c>
      <c r="R52" s="87">
        <f t="shared" si="5"/>
        <v>0</v>
      </c>
      <c r="S52" s="87">
        <f t="shared" si="7"/>
        <v>0</v>
      </c>
      <c r="T52" s="87">
        <f t="shared" si="8"/>
        <v>0</v>
      </c>
      <c r="U52" s="87">
        <f t="shared" si="9"/>
        <v>0</v>
      </c>
      <c r="V52" s="87">
        <f t="shared" si="10"/>
        <v>0</v>
      </c>
      <c r="W52" s="120">
        <f t="shared" si="11"/>
        <v>0</v>
      </c>
    </row>
    <row r="53" spans="2:23">
      <c r="B53" s="116">
        <f>Amnt_Deposited!B48</f>
        <v>2034</v>
      </c>
      <c r="C53" s="119">
        <f>Amnt_Deposited!P48</f>
        <v>0</v>
      </c>
      <c r="D53" s="453">
        <f>Dry_Matter_Content!P40</f>
        <v>0</v>
      </c>
      <c r="E53" s="319">
        <f>MCF!R52</f>
        <v>0.8</v>
      </c>
      <c r="F53" s="87">
        <f t="shared" si="0"/>
        <v>0</v>
      </c>
      <c r="G53" s="87">
        <f t="shared" si="1"/>
        <v>0</v>
      </c>
      <c r="H53" s="87">
        <f t="shared" si="2"/>
        <v>0</v>
      </c>
      <c r="I53" s="87">
        <f t="shared" si="3"/>
        <v>0</v>
      </c>
      <c r="J53" s="87">
        <f t="shared" si="4"/>
        <v>0</v>
      </c>
      <c r="K53" s="120">
        <f t="shared" si="6"/>
        <v>0</v>
      </c>
      <c r="O53" s="116">
        <f>Amnt_Deposited!B48</f>
        <v>2034</v>
      </c>
      <c r="P53" s="119">
        <f>Amnt_Deposited!P48</f>
        <v>0</v>
      </c>
      <c r="Q53" s="319">
        <f>MCF!R52</f>
        <v>0.8</v>
      </c>
      <c r="R53" s="87">
        <f t="shared" si="5"/>
        <v>0</v>
      </c>
      <c r="S53" s="87">
        <f t="shared" si="7"/>
        <v>0</v>
      </c>
      <c r="T53" s="87">
        <f t="shared" si="8"/>
        <v>0</v>
      </c>
      <c r="U53" s="87">
        <f t="shared" si="9"/>
        <v>0</v>
      </c>
      <c r="V53" s="87">
        <f t="shared" si="10"/>
        <v>0</v>
      </c>
      <c r="W53" s="120">
        <f t="shared" si="11"/>
        <v>0</v>
      </c>
    </row>
    <row r="54" spans="2:23">
      <c r="B54" s="116">
        <f>Amnt_Deposited!B49</f>
        <v>2035</v>
      </c>
      <c r="C54" s="119">
        <f>Amnt_Deposited!P49</f>
        <v>0</v>
      </c>
      <c r="D54" s="453">
        <f>Dry_Matter_Content!P41</f>
        <v>0</v>
      </c>
      <c r="E54" s="319">
        <f>MCF!R53</f>
        <v>0.8</v>
      </c>
      <c r="F54" s="87">
        <f t="shared" si="0"/>
        <v>0</v>
      </c>
      <c r="G54" s="87">
        <f t="shared" si="1"/>
        <v>0</v>
      </c>
      <c r="H54" s="87">
        <f t="shared" si="2"/>
        <v>0</v>
      </c>
      <c r="I54" s="87">
        <f t="shared" si="3"/>
        <v>0</v>
      </c>
      <c r="J54" s="87">
        <f t="shared" si="4"/>
        <v>0</v>
      </c>
      <c r="K54" s="120">
        <f t="shared" si="6"/>
        <v>0</v>
      </c>
      <c r="O54" s="116">
        <f>Amnt_Deposited!B49</f>
        <v>2035</v>
      </c>
      <c r="P54" s="119">
        <f>Amnt_Deposited!P49</f>
        <v>0</v>
      </c>
      <c r="Q54" s="319">
        <f>MCF!R53</f>
        <v>0.8</v>
      </c>
      <c r="R54" s="87">
        <f t="shared" si="5"/>
        <v>0</v>
      </c>
      <c r="S54" s="87">
        <f t="shared" si="7"/>
        <v>0</v>
      </c>
      <c r="T54" s="87">
        <f t="shared" si="8"/>
        <v>0</v>
      </c>
      <c r="U54" s="87">
        <f t="shared" si="9"/>
        <v>0</v>
      </c>
      <c r="V54" s="87">
        <f t="shared" si="10"/>
        <v>0</v>
      </c>
      <c r="W54" s="120">
        <f t="shared" si="11"/>
        <v>0</v>
      </c>
    </row>
    <row r="55" spans="2:23">
      <c r="B55" s="116">
        <f>Amnt_Deposited!B50</f>
        <v>2036</v>
      </c>
      <c r="C55" s="119">
        <f>Amnt_Deposited!P50</f>
        <v>0</v>
      </c>
      <c r="D55" s="453">
        <f>Dry_Matter_Content!P42</f>
        <v>0</v>
      </c>
      <c r="E55" s="319">
        <f>MCF!R54</f>
        <v>0.8</v>
      </c>
      <c r="F55" s="87">
        <f t="shared" si="0"/>
        <v>0</v>
      </c>
      <c r="G55" s="87">
        <f t="shared" si="1"/>
        <v>0</v>
      </c>
      <c r="H55" s="87">
        <f t="shared" si="2"/>
        <v>0</v>
      </c>
      <c r="I55" s="87">
        <f t="shared" si="3"/>
        <v>0</v>
      </c>
      <c r="J55" s="87">
        <f t="shared" si="4"/>
        <v>0</v>
      </c>
      <c r="K55" s="120">
        <f t="shared" si="6"/>
        <v>0</v>
      </c>
      <c r="O55" s="116">
        <f>Amnt_Deposited!B50</f>
        <v>2036</v>
      </c>
      <c r="P55" s="119">
        <f>Amnt_Deposited!P50</f>
        <v>0</v>
      </c>
      <c r="Q55" s="319">
        <f>MCF!R54</f>
        <v>0.8</v>
      </c>
      <c r="R55" s="87">
        <f t="shared" si="5"/>
        <v>0</v>
      </c>
      <c r="S55" s="87">
        <f t="shared" si="7"/>
        <v>0</v>
      </c>
      <c r="T55" s="87">
        <f t="shared" si="8"/>
        <v>0</v>
      </c>
      <c r="U55" s="87">
        <f t="shared" si="9"/>
        <v>0</v>
      </c>
      <c r="V55" s="87">
        <f t="shared" si="10"/>
        <v>0</v>
      </c>
      <c r="W55" s="120">
        <f t="shared" si="11"/>
        <v>0</v>
      </c>
    </row>
    <row r="56" spans="2:23">
      <c r="B56" s="116">
        <f>Amnt_Deposited!B51</f>
        <v>2037</v>
      </c>
      <c r="C56" s="119">
        <f>Amnt_Deposited!P51</f>
        <v>0</v>
      </c>
      <c r="D56" s="453">
        <f>Dry_Matter_Content!P43</f>
        <v>0</v>
      </c>
      <c r="E56" s="319">
        <f>MCF!R55</f>
        <v>0.8</v>
      </c>
      <c r="F56" s="87">
        <f t="shared" si="0"/>
        <v>0</v>
      </c>
      <c r="G56" s="87">
        <f t="shared" si="1"/>
        <v>0</v>
      </c>
      <c r="H56" s="87">
        <f t="shared" si="2"/>
        <v>0</v>
      </c>
      <c r="I56" s="87">
        <f t="shared" si="3"/>
        <v>0</v>
      </c>
      <c r="J56" s="87">
        <f t="shared" si="4"/>
        <v>0</v>
      </c>
      <c r="K56" s="120">
        <f t="shared" si="6"/>
        <v>0</v>
      </c>
      <c r="O56" s="116">
        <f>Amnt_Deposited!B51</f>
        <v>2037</v>
      </c>
      <c r="P56" s="119">
        <f>Amnt_Deposited!P51</f>
        <v>0</v>
      </c>
      <c r="Q56" s="319">
        <f>MCF!R55</f>
        <v>0.8</v>
      </c>
      <c r="R56" s="87">
        <f t="shared" si="5"/>
        <v>0</v>
      </c>
      <c r="S56" s="87">
        <f t="shared" si="7"/>
        <v>0</v>
      </c>
      <c r="T56" s="87">
        <f t="shared" si="8"/>
        <v>0</v>
      </c>
      <c r="U56" s="87">
        <f t="shared" si="9"/>
        <v>0</v>
      </c>
      <c r="V56" s="87">
        <f t="shared" si="10"/>
        <v>0</v>
      </c>
      <c r="W56" s="120">
        <f t="shared" si="11"/>
        <v>0</v>
      </c>
    </row>
    <row r="57" spans="2:23">
      <c r="B57" s="116">
        <f>Amnt_Deposited!B52</f>
        <v>2038</v>
      </c>
      <c r="C57" s="119">
        <f>Amnt_Deposited!P52</f>
        <v>0</v>
      </c>
      <c r="D57" s="453">
        <f>Dry_Matter_Content!P44</f>
        <v>0</v>
      </c>
      <c r="E57" s="319">
        <f>MCF!R56</f>
        <v>0.8</v>
      </c>
      <c r="F57" s="87">
        <f t="shared" si="0"/>
        <v>0</v>
      </c>
      <c r="G57" s="87">
        <f t="shared" si="1"/>
        <v>0</v>
      </c>
      <c r="H57" s="87">
        <f t="shared" si="2"/>
        <v>0</v>
      </c>
      <c r="I57" s="87">
        <f t="shared" si="3"/>
        <v>0</v>
      </c>
      <c r="J57" s="87">
        <f t="shared" si="4"/>
        <v>0</v>
      </c>
      <c r="K57" s="120">
        <f t="shared" si="6"/>
        <v>0</v>
      </c>
      <c r="O57" s="116">
        <f>Amnt_Deposited!B52</f>
        <v>2038</v>
      </c>
      <c r="P57" s="119">
        <f>Amnt_Deposited!P52</f>
        <v>0</v>
      </c>
      <c r="Q57" s="319">
        <f>MCF!R56</f>
        <v>0.8</v>
      </c>
      <c r="R57" s="87">
        <f t="shared" si="5"/>
        <v>0</v>
      </c>
      <c r="S57" s="87">
        <f t="shared" si="7"/>
        <v>0</v>
      </c>
      <c r="T57" s="87">
        <f t="shared" si="8"/>
        <v>0</v>
      </c>
      <c r="U57" s="87">
        <f t="shared" si="9"/>
        <v>0</v>
      </c>
      <c r="V57" s="87">
        <f t="shared" si="10"/>
        <v>0</v>
      </c>
      <c r="W57" s="120">
        <f t="shared" si="11"/>
        <v>0</v>
      </c>
    </row>
    <row r="58" spans="2:23">
      <c r="B58" s="116">
        <f>Amnt_Deposited!B53</f>
        <v>2039</v>
      </c>
      <c r="C58" s="119">
        <f>Amnt_Deposited!P53</f>
        <v>0</v>
      </c>
      <c r="D58" s="453">
        <f>Dry_Matter_Content!P45</f>
        <v>0</v>
      </c>
      <c r="E58" s="319">
        <f>MCF!R57</f>
        <v>0.8</v>
      </c>
      <c r="F58" s="87">
        <f t="shared" si="0"/>
        <v>0</v>
      </c>
      <c r="G58" s="87">
        <f t="shared" si="1"/>
        <v>0</v>
      </c>
      <c r="H58" s="87">
        <f t="shared" si="2"/>
        <v>0</v>
      </c>
      <c r="I58" s="87">
        <f t="shared" si="3"/>
        <v>0</v>
      </c>
      <c r="J58" s="87">
        <f t="shared" si="4"/>
        <v>0</v>
      </c>
      <c r="K58" s="120">
        <f t="shared" si="6"/>
        <v>0</v>
      </c>
      <c r="O58" s="116">
        <f>Amnt_Deposited!B53</f>
        <v>2039</v>
      </c>
      <c r="P58" s="119">
        <f>Amnt_Deposited!P53</f>
        <v>0</v>
      </c>
      <c r="Q58" s="319">
        <f>MCF!R57</f>
        <v>0.8</v>
      </c>
      <c r="R58" s="87">
        <f t="shared" si="5"/>
        <v>0</v>
      </c>
      <c r="S58" s="87">
        <f t="shared" si="7"/>
        <v>0</v>
      </c>
      <c r="T58" s="87">
        <f t="shared" si="8"/>
        <v>0</v>
      </c>
      <c r="U58" s="87">
        <f t="shared" si="9"/>
        <v>0</v>
      </c>
      <c r="V58" s="87">
        <f t="shared" si="10"/>
        <v>0</v>
      </c>
      <c r="W58" s="120">
        <f t="shared" si="11"/>
        <v>0</v>
      </c>
    </row>
    <row r="59" spans="2:23">
      <c r="B59" s="116">
        <f>Amnt_Deposited!B54</f>
        <v>2040</v>
      </c>
      <c r="C59" s="119">
        <f>Amnt_Deposited!P54</f>
        <v>0</v>
      </c>
      <c r="D59" s="453">
        <f>Dry_Matter_Content!P46</f>
        <v>0</v>
      </c>
      <c r="E59" s="319">
        <f>MCF!R58</f>
        <v>0.8</v>
      </c>
      <c r="F59" s="87">
        <f t="shared" si="0"/>
        <v>0</v>
      </c>
      <c r="G59" s="87">
        <f t="shared" si="1"/>
        <v>0</v>
      </c>
      <c r="H59" s="87">
        <f t="shared" si="2"/>
        <v>0</v>
      </c>
      <c r="I59" s="87">
        <f t="shared" si="3"/>
        <v>0</v>
      </c>
      <c r="J59" s="87">
        <f t="shared" si="4"/>
        <v>0</v>
      </c>
      <c r="K59" s="120">
        <f t="shared" si="6"/>
        <v>0</v>
      </c>
      <c r="O59" s="116">
        <f>Amnt_Deposited!B54</f>
        <v>2040</v>
      </c>
      <c r="P59" s="119">
        <f>Amnt_Deposited!P54</f>
        <v>0</v>
      </c>
      <c r="Q59" s="319">
        <f>MCF!R58</f>
        <v>0.8</v>
      </c>
      <c r="R59" s="87">
        <f t="shared" si="5"/>
        <v>0</v>
      </c>
      <c r="S59" s="87">
        <f t="shared" si="7"/>
        <v>0</v>
      </c>
      <c r="T59" s="87">
        <f t="shared" si="8"/>
        <v>0</v>
      </c>
      <c r="U59" s="87">
        <f t="shared" si="9"/>
        <v>0</v>
      </c>
      <c r="V59" s="87">
        <f t="shared" si="10"/>
        <v>0</v>
      </c>
      <c r="W59" s="120">
        <f t="shared" si="11"/>
        <v>0</v>
      </c>
    </row>
    <row r="60" spans="2:23">
      <c r="B60" s="116">
        <f>Amnt_Deposited!B55</f>
        <v>2041</v>
      </c>
      <c r="C60" s="119">
        <f>Amnt_Deposited!P55</f>
        <v>0</v>
      </c>
      <c r="D60" s="453">
        <f>Dry_Matter_Content!P47</f>
        <v>0</v>
      </c>
      <c r="E60" s="319">
        <f>MCF!R59</f>
        <v>0.8</v>
      </c>
      <c r="F60" s="87">
        <f t="shared" si="0"/>
        <v>0</v>
      </c>
      <c r="G60" s="87">
        <f t="shared" si="1"/>
        <v>0</v>
      </c>
      <c r="H60" s="87">
        <f t="shared" si="2"/>
        <v>0</v>
      </c>
      <c r="I60" s="87">
        <f t="shared" si="3"/>
        <v>0</v>
      </c>
      <c r="J60" s="87">
        <f t="shared" si="4"/>
        <v>0</v>
      </c>
      <c r="K60" s="120">
        <f t="shared" si="6"/>
        <v>0</v>
      </c>
      <c r="O60" s="116">
        <f>Amnt_Deposited!B55</f>
        <v>2041</v>
      </c>
      <c r="P60" s="119">
        <f>Amnt_Deposited!P55</f>
        <v>0</v>
      </c>
      <c r="Q60" s="319">
        <f>MCF!R59</f>
        <v>0.8</v>
      </c>
      <c r="R60" s="87">
        <f t="shared" si="5"/>
        <v>0</v>
      </c>
      <c r="S60" s="87">
        <f t="shared" si="7"/>
        <v>0</v>
      </c>
      <c r="T60" s="87">
        <f t="shared" si="8"/>
        <v>0</v>
      </c>
      <c r="U60" s="87">
        <f t="shared" si="9"/>
        <v>0</v>
      </c>
      <c r="V60" s="87">
        <f t="shared" si="10"/>
        <v>0</v>
      </c>
      <c r="W60" s="120">
        <f t="shared" si="11"/>
        <v>0</v>
      </c>
    </row>
    <row r="61" spans="2:23">
      <c r="B61" s="116">
        <f>Amnt_Deposited!B56</f>
        <v>2042</v>
      </c>
      <c r="C61" s="119">
        <f>Amnt_Deposited!P56</f>
        <v>0</v>
      </c>
      <c r="D61" s="453">
        <f>Dry_Matter_Content!P48</f>
        <v>0</v>
      </c>
      <c r="E61" s="319">
        <f>MCF!R60</f>
        <v>0.8</v>
      </c>
      <c r="F61" s="87">
        <f t="shared" si="0"/>
        <v>0</v>
      </c>
      <c r="G61" s="87">
        <f t="shared" si="1"/>
        <v>0</v>
      </c>
      <c r="H61" s="87">
        <f t="shared" si="2"/>
        <v>0</v>
      </c>
      <c r="I61" s="87">
        <f t="shared" si="3"/>
        <v>0</v>
      </c>
      <c r="J61" s="87">
        <f t="shared" si="4"/>
        <v>0</v>
      </c>
      <c r="K61" s="120">
        <f t="shared" si="6"/>
        <v>0</v>
      </c>
      <c r="O61" s="116">
        <f>Amnt_Deposited!B56</f>
        <v>2042</v>
      </c>
      <c r="P61" s="119">
        <f>Amnt_Deposited!P56</f>
        <v>0</v>
      </c>
      <c r="Q61" s="319">
        <f>MCF!R60</f>
        <v>0.8</v>
      </c>
      <c r="R61" s="87">
        <f t="shared" si="5"/>
        <v>0</v>
      </c>
      <c r="S61" s="87">
        <f t="shared" si="7"/>
        <v>0</v>
      </c>
      <c r="T61" s="87">
        <f t="shared" si="8"/>
        <v>0</v>
      </c>
      <c r="U61" s="87">
        <f t="shared" si="9"/>
        <v>0</v>
      </c>
      <c r="V61" s="87">
        <f t="shared" si="10"/>
        <v>0</v>
      </c>
      <c r="W61" s="120">
        <f t="shared" si="11"/>
        <v>0</v>
      </c>
    </row>
    <row r="62" spans="2:23">
      <c r="B62" s="116">
        <f>Amnt_Deposited!B57</f>
        <v>2043</v>
      </c>
      <c r="C62" s="119">
        <f>Amnt_Deposited!P57</f>
        <v>0</v>
      </c>
      <c r="D62" s="453">
        <f>Dry_Matter_Content!P49</f>
        <v>0</v>
      </c>
      <c r="E62" s="319">
        <f>MCF!R61</f>
        <v>0.8</v>
      </c>
      <c r="F62" s="87">
        <f t="shared" si="0"/>
        <v>0</v>
      </c>
      <c r="G62" s="87">
        <f t="shared" si="1"/>
        <v>0</v>
      </c>
      <c r="H62" s="87">
        <f t="shared" si="2"/>
        <v>0</v>
      </c>
      <c r="I62" s="87">
        <f t="shared" si="3"/>
        <v>0</v>
      </c>
      <c r="J62" s="87">
        <f t="shared" si="4"/>
        <v>0</v>
      </c>
      <c r="K62" s="120">
        <f t="shared" si="6"/>
        <v>0</v>
      </c>
      <c r="O62" s="116">
        <f>Amnt_Deposited!B57</f>
        <v>2043</v>
      </c>
      <c r="P62" s="119">
        <f>Amnt_Deposited!P57</f>
        <v>0</v>
      </c>
      <c r="Q62" s="319">
        <f>MCF!R61</f>
        <v>0.8</v>
      </c>
      <c r="R62" s="87">
        <f t="shared" si="5"/>
        <v>0</v>
      </c>
      <c r="S62" s="87">
        <f t="shared" si="7"/>
        <v>0</v>
      </c>
      <c r="T62" s="87">
        <f t="shared" si="8"/>
        <v>0</v>
      </c>
      <c r="U62" s="87">
        <f t="shared" si="9"/>
        <v>0</v>
      </c>
      <c r="V62" s="87">
        <f t="shared" si="10"/>
        <v>0</v>
      </c>
      <c r="W62" s="120">
        <f t="shared" si="11"/>
        <v>0</v>
      </c>
    </row>
    <row r="63" spans="2:23">
      <c r="B63" s="116">
        <f>Amnt_Deposited!B58</f>
        <v>2044</v>
      </c>
      <c r="C63" s="119">
        <f>Amnt_Deposited!P58</f>
        <v>0</v>
      </c>
      <c r="D63" s="453">
        <f>Dry_Matter_Content!P50</f>
        <v>0</v>
      </c>
      <c r="E63" s="319">
        <f>MCF!R62</f>
        <v>0.8</v>
      </c>
      <c r="F63" s="87">
        <f t="shared" si="0"/>
        <v>0</v>
      </c>
      <c r="G63" s="87">
        <f t="shared" si="1"/>
        <v>0</v>
      </c>
      <c r="H63" s="87">
        <f t="shared" si="2"/>
        <v>0</v>
      </c>
      <c r="I63" s="87">
        <f t="shared" si="3"/>
        <v>0</v>
      </c>
      <c r="J63" s="87">
        <f t="shared" si="4"/>
        <v>0</v>
      </c>
      <c r="K63" s="120">
        <f t="shared" si="6"/>
        <v>0</v>
      </c>
      <c r="O63" s="116">
        <f>Amnt_Deposited!B58</f>
        <v>2044</v>
      </c>
      <c r="P63" s="119">
        <f>Amnt_Deposited!P58</f>
        <v>0</v>
      </c>
      <c r="Q63" s="319">
        <f>MCF!R62</f>
        <v>0.8</v>
      </c>
      <c r="R63" s="87">
        <f t="shared" si="5"/>
        <v>0</v>
      </c>
      <c r="S63" s="87">
        <f t="shared" si="7"/>
        <v>0</v>
      </c>
      <c r="T63" s="87">
        <f t="shared" si="8"/>
        <v>0</v>
      </c>
      <c r="U63" s="87">
        <f t="shared" si="9"/>
        <v>0</v>
      </c>
      <c r="V63" s="87">
        <f t="shared" si="10"/>
        <v>0</v>
      </c>
      <c r="W63" s="120">
        <f t="shared" si="11"/>
        <v>0</v>
      </c>
    </row>
    <row r="64" spans="2:23">
      <c r="B64" s="116">
        <f>Amnt_Deposited!B59</f>
        <v>2045</v>
      </c>
      <c r="C64" s="119">
        <f>Amnt_Deposited!P59</f>
        <v>0</v>
      </c>
      <c r="D64" s="453">
        <f>Dry_Matter_Content!P51</f>
        <v>0</v>
      </c>
      <c r="E64" s="319">
        <f>MCF!R63</f>
        <v>0.8</v>
      </c>
      <c r="F64" s="87">
        <f t="shared" si="0"/>
        <v>0</v>
      </c>
      <c r="G64" s="87">
        <f t="shared" si="1"/>
        <v>0</v>
      </c>
      <c r="H64" s="87">
        <f t="shared" si="2"/>
        <v>0</v>
      </c>
      <c r="I64" s="87">
        <f t="shared" si="3"/>
        <v>0</v>
      </c>
      <c r="J64" s="87">
        <f t="shared" si="4"/>
        <v>0</v>
      </c>
      <c r="K64" s="120">
        <f t="shared" si="6"/>
        <v>0</v>
      </c>
      <c r="O64" s="116">
        <f>Amnt_Deposited!B59</f>
        <v>2045</v>
      </c>
      <c r="P64" s="119">
        <f>Amnt_Deposited!P59</f>
        <v>0</v>
      </c>
      <c r="Q64" s="319">
        <f>MCF!R63</f>
        <v>0.8</v>
      </c>
      <c r="R64" s="87">
        <f t="shared" si="5"/>
        <v>0</v>
      </c>
      <c r="S64" s="87">
        <f t="shared" si="7"/>
        <v>0</v>
      </c>
      <c r="T64" s="87">
        <f t="shared" si="8"/>
        <v>0</v>
      </c>
      <c r="U64" s="87">
        <f t="shared" si="9"/>
        <v>0</v>
      </c>
      <c r="V64" s="87">
        <f t="shared" si="10"/>
        <v>0</v>
      </c>
      <c r="W64" s="120">
        <f t="shared" si="11"/>
        <v>0</v>
      </c>
    </row>
    <row r="65" spans="2:23">
      <c r="B65" s="116">
        <f>Amnt_Deposited!B60</f>
        <v>2046</v>
      </c>
      <c r="C65" s="119">
        <f>Amnt_Deposited!P60</f>
        <v>0</v>
      </c>
      <c r="D65" s="453">
        <f>Dry_Matter_Content!P52</f>
        <v>0</v>
      </c>
      <c r="E65" s="319">
        <f>MCF!R64</f>
        <v>0.8</v>
      </c>
      <c r="F65" s="87">
        <f t="shared" si="0"/>
        <v>0</v>
      </c>
      <c r="G65" s="87">
        <f t="shared" si="1"/>
        <v>0</v>
      </c>
      <c r="H65" s="87">
        <f t="shared" si="2"/>
        <v>0</v>
      </c>
      <c r="I65" s="87">
        <f t="shared" si="3"/>
        <v>0</v>
      </c>
      <c r="J65" s="87">
        <f t="shared" si="4"/>
        <v>0</v>
      </c>
      <c r="K65" s="120">
        <f t="shared" si="6"/>
        <v>0</v>
      </c>
      <c r="O65" s="116">
        <f>Amnt_Deposited!B60</f>
        <v>2046</v>
      </c>
      <c r="P65" s="119">
        <f>Amnt_Deposited!P60</f>
        <v>0</v>
      </c>
      <c r="Q65" s="319">
        <f>MCF!R64</f>
        <v>0.8</v>
      </c>
      <c r="R65" s="87">
        <f t="shared" si="5"/>
        <v>0</v>
      </c>
      <c r="S65" s="87">
        <f t="shared" si="7"/>
        <v>0</v>
      </c>
      <c r="T65" s="87">
        <f t="shared" si="8"/>
        <v>0</v>
      </c>
      <c r="U65" s="87">
        <f t="shared" si="9"/>
        <v>0</v>
      </c>
      <c r="V65" s="87">
        <f t="shared" si="10"/>
        <v>0</v>
      </c>
      <c r="W65" s="120">
        <f t="shared" si="11"/>
        <v>0</v>
      </c>
    </row>
    <row r="66" spans="2:23">
      <c r="B66" s="116">
        <f>Amnt_Deposited!B61</f>
        <v>2047</v>
      </c>
      <c r="C66" s="119">
        <f>Amnt_Deposited!P61</f>
        <v>0</v>
      </c>
      <c r="D66" s="453">
        <f>Dry_Matter_Content!P53</f>
        <v>0</v>
      </c>
      <c r="E66" s="319">
        <f>MCF!R65</f>
        <v>0.8</v>
      </c>
      <c r="F66" s="87">
        <f t="shared" si="0"/>
        <v>0</v>
      </c>
      <c r="G66" s="87">
        <f t="shared" si="1"/>
        <v>0</v>
      </c>
      <c r="H66" s="87">
        <f t="shared" si="2"/>
        <v>0</v>
      </c>
      <c r="I66" s="87">
        <f t="shared" si="3"/>
        <v>0</v>
      </c>
      <c r="J66" s="87">
        <f t="shared" si="4"/>
        <v>0</v>
      </c>
      <c r="K66" s="120">
        <f t="shared" si="6"/>
        <v>0</v>
      </c>
      <c r="O66" s="116">
        <f>Amnt_Deposited!B61</f>
        <v>2047</v>
      </c>
      <c r="P66" s="119">
        <f>Amnt_Deposited!P61</f>
        <v>0</v>
      </c>
      <c r="Q66" s="319">
        <f>MCF!R65</f>
        <v>0.8</v>
      </c>
      <c r="R66" s="87">
        <f t="shared" si="5"/>
        <v>0</v>
      </c>
      <c r="S66" s="87">
        <f t="shared" si="7"/>
        <v>0</v>
      </c>
      <c r="T66" s="87">
        <f t="shared" si="8"/>
        <v>0</v>
      </c>
      <c r="U66" s="87">
        <f t="shared" si="9"/>
        <v>0</v>
      </c>
      <c r="V66" s="87">
        <f t="shared" si="10"/>
        <v>0</v>
      </c>
      <c r="W66" s="120">
        <f t="shared" si="11"/>
        <v>0</v>
      </c>
    </row>
    <row r="67" spans="2:23">
      <c r="B67" s="116">
        <f>Amnt_Deposited!B62</f>
        <v>2048</v>
      </c>
      <c r="C67" s="119">
        <f>Amnt_Deposited!P62</f>
        <v>0</v>
      </c>
      <c r="D67" s="453">
        <f>Dry_Matter_Content!P54</f>
        <v>0</v>
      </c>
      <c r="E67" s="319">
        <f>MCF!R66</f>
        <v>0.8</v>
      </c>
      <c r="F67" s="87">
        <f t="shared" si="0"/>
        <v>0</v>
      </c>
      <c r="G67" s="87">
        <f t="shared" si="1"/>
        <v>0</v>
      </c>
      <c r="H67" s="87">
        <f t="shared" si="2"/>
        <v>0</v>
      </c>
      <c r="I67" s="87">
        <f t="shared" si="3"/>
        <v>0</v>
      </c>
      <c r="J67" s="87">
        <f t="shared" si="4"/>
        <v>0</v>
      </c>
      <c r="K67" s="120">
        <f t="shared" si="6"/>
        <v>0</v>
      </c>
      <c r="O67" s="116">
        <f>Amnt_Deposited!B62</f>
        <v>2048</v>
      </c>
      <c r="P67" s="119">
        <f>Amnt_Deposited!P62</f>
        <v>0</v>
      </c>
      <c r="Q67" s="319">
        <f>MCF!R66</f>
        <v>0.8</v>
      </c>
      <c r="R67" s="87">
        <f t="shared" si="5"/>
        <v>0</v>
      </c>
      <c r="S67" s="87">
        <f t="shared" si="7"/>
        <v>0</v>
      </c>
      <c r="T67" s="87">
        <f t="shared" si="8"/>
        <v>0</v>
      </c>
      <c r="U67" s="87">
        <f t="shared" si="9"/>
        <v>0</v>
      </c>
      <c r="V67" s="87">
        <f t="shared" si="10"/>
        <v>0</v>
      </c>
      <c r="W67" s="120">
        <f t="shared" si="11"/>
        <v>0</v>
      </c>
    </row>
    <row r="68" spans="2:23">
      <c r="B68" s="116">
        <f>Amnt_Deposited!B63</f>
        <v>2049</v>
      </c>
      <c r="C68" s="119">
        <f>Amnt_Deposited!P63</f>
        <v>0</v>
      </c>
      <c r="D68" s="453">
        <f>Dry_Matter_Content!P55</f>
        <v>0</v>
      </c>
      <c r="E68" s="319">
        <f>MCF!R67</f>
        <v>0.8</v>
      </c>
      <c r="F68" s="87">
        <f t="shared" si="0"/>
        <v>0</v>
      </c>
      <c r="G68" s="87">
        <f t="shared" si="1"/>
        <v>0</v>
      </c>
      <c r="H68" s="87">
        <f t="shared" si="2"/>
        <v>0</v>
      </c>
      <c r="I68" s="87">
        <f t="shared" si="3"/>
        <v>0</v>
      </c>
      <c r="J68" s="87">
        <f t="shared" si="4"/>
        <v>0</v>
      </c>
      <c r="K68" s="120">
        <f t="shared" si="6"/>
        <v>0</v>
      </c>
      <c r="O68" s="116">
        <f>Amnt_Deposited!B63</f>
        <v>2049</v>
      </c>
      <c r="P68" s="119">
        <f>Amnt_Deposited!P63</f>
        <v>0</v>
      </c>
      <c r="Q68" s="319">
        <f>MCF!R67</f>
        <v>0.8</v>
      </c>
      <c r="R68" s="87">
        <f t="shared" si="5"/>
        <v>0</v>
      </c>
      <c r="S68" s="87">
        <f t="shared" si="7"/>
        <v>0</v>
      </c>
      <c r="T68" s="87">
        <f t="shared" si="8"/>
        <v>0</v>
      </c>
      <c r="U68" s="87">
        <f t="shared" si="9"/>
        <v>0</v>
      </c>
      <c r="V68" s="87">
        <f t="shared" si="10"/>
        <v>0</v>
      </c>
      <c r="W68" s="120">
        <f t="shared" si="11"/>
        <v>0</v>
      </c>
    </row>
    <row r="69" spans="2:23">
      <c r="B69" s="116">
        <f>Amnt_Deposited!B64</f>
        <v>2050</v>
      </c>
      <c r="C69" s="119">
        <f>Amnt_Deposited!P64</f>
        <v>0</v>
      </c>
      <c r="D69" s="453">
        <f>Dry_Matter_Content!P56</f>
        <v>0</v>
      </c>
      <c r="E69" s="319">
        <f>MCF!R68</f>
        <v>0.8</v>
      </c>
      <c r="F69" s="87">
        <f t="shared" si="0"/>
        <v>0</v>
      </c>
      <c r="G69" s="87">
        <f t="shared" si="1"/>
        <v>0</v>
      </c>
      <c r="H69" s="87">
        <f t="shared" si="2"/>
        <v>0</v>
      </c>
      <c r="I69" s="87">
        <f t="shared" si="3"/>
        <v>0</v>
      </c>
      <c r="J69" s="87">
        <f t="shared" si="4"/>
        <v>0</v>
      </c>
      <c r="K69" s="120">
        <f t="shared" si="6"/>
        <v>0</v>
      </c>
      <c r="O69" s="116">
        <f>Amnt_Deposited!B64</f>
        <v>2050</v>
      </c>
      <c r="P69" s="119">
        <f>Amnt_Deposited!P64</f>
        <v>0</v>
      </c>
      <c r="Q69" s="319">
        <f>MCF!R68</f>
        <v>0.8</v>
      </c>
      <c r="R69" s="87">
        <f t="shared" si="5"/>
        <v>0</v>
      </c>
      <c r="S69" s="87">
        <f t="shared" si="7"/>
        <v>0</v>
      </c>
      <c r="T69" s="87">
        <f t="shared" si="8"/>
        <v>0</v>
      </c>
      <c r="U69" s="87">
        <f t="shared" si="9"/>
        <v>0</v>
      </c>
      <c r="V69" s="87">
        <f t="shared" si="10"/>
        <v>0</v>
      </c>
      <c r="W69" s="120">
        <f t="shared" si="11"/>
        <v>0</v>
      </c>
    </row>
    <row r="70" spans="2:23">
      <c r="B70" s="116">
        <f>Amnt_Deposited!B65</f>
        <v>2051</v>
      </c>
      <c r="C70" s="119">
        <f>Amnt_Deposited!P65</f>
        <v>0</v>
      </c>
      <c r="D70" s="453">
        <f>Dry_Matter_Content!P57</f>
        <v>0</v>
      </c>
      <c r="E70" s="319">
        <f>MCF!R69</f>
        <v>0.8</v>
      </c>
      <c r="F70" s="87">
        <f t="shared" si="0"/>
        <v>0</v>
      </c>
      <c r="G70" s="87">
        <f t="shared" si="1"/>
        <v>0</v>
      </c>
      <c r="H70" s="87">
        <f t="shared" si="2"/>
        <v>0</v>
      </c>
      <c r="I70" s="87">
        <f t="shared" si="3"/>
        <v>0</v>
      </c>
      <c r="J70" s="87">
        <f t="shared" si="4"/>
        <v>0</v>
      </c>
      <c r="K70" s="120">
        <f t="shared" si="6"/>
        <v>0</v>
      </c>
      <c r="O70" s="116">
        <f>Amnt_Deposited!B65</f>
        <v>2051</v>
      </c>
      <c r="P70" s="119">
        <f>Amnt_Deposited!P65</f>
        <v>0</v>
      </c>
      <c r="Q70" s="319">
        <f>MCF!R69</f>
        <v>0.8</v>
      </c>
      <c r="R70" s="87">
        <f t="shared" si="5"/>
        <v>0</v>
      </c>
      <c r="S70" s="87">
        <f t="shared" si="7"/>
        <v>0</v>
      </c>
      <c r="T70" s="87">
        <f t="shared" si="8"/>
        <v>0</v>
      </c>
      <c r="U70" s="87">
        <f t="shared" si="9"/>
        <v>0</v>
      </c>
      <c r="V70" s="87">
        <f t="shared" si="10"/>
        <v>0</v>
      </c>
      <c r="W70" s="120">
        <f t="shared" si="11"/>
        <v>0</v>
      </c>
    </row>
    <row r="71" spans="2:23">
      <c r="B71" s="116">
        <f>Amnt_Deposited!B66</f>
        <v>2052</v>
      </c>
      <c r="C71" s="119">
        <f>Amnt_Deposited!P66</f>
        <v>0</v>
      </c>
      <c r="D71" s="453">
        <f>Dry_Matter_Content!P58</f>
        <v>0</v>
      </c>
      <c r="E71" s="319">
        <f>MCF!R70</f>
        <v>0.8</v>
      </c>
      <c r="F71" s="87">
        <f t="shared" si="0"/>
        <v>0</v>
      </c>
      <c r="G71" s="87">
        <f t="shared" si="1"/>
        <v>0</v>
      </c>
      <c r="H71" s="87">
        <f t="shared" si="2"/>
        <v>0</v>
      </c>
      <c r="I71" s="87">
        <f t="shared" si="3"/>
        <v>0</v>
      </c>
      <c r="J71" s="87">
        <f t="shared" si="4"/>
        <v>0</v>
      </c>
      <c r="K71" s="120">
        <f t="shared" si="6"/>
        <v>0</v>
      </c>
      <c r="O71" s="116">
        <f>Amnt_Deposited!B66</f>
        <v>2052</v>
      </c>
      <c r="P71" s="119">
        <f>Amnt_Deposited!P66</f>
        <v>0</v>
      </c>
      <c r="Q71" s="319">
        <f>MCF!R70</f>
        <v>0.8</v>
      </c>
      <c r="R71" s="87">
        <f t="shared" si="5"/>
        <v>0</v>
      </c>
      <c r="S71" s="87">
        <f t="shared" si="7"/>
        <v>0</v>
      </c>
      <c r="T71" s="87">
        <f t="shared" si="8"/>
        <v>0</v>
      </c>
      <c r="U71" s="87">
        <f t="shared" si="9"/>
        <v>0</v>
      </c>
      <c r="V71" s="87">
        <f t="shared" si="10"/>
        <v>0</v>
      </c>
      <c r="W71" s="120">
        <f t="shared" si="11"/>
        <v>0</v>
      </c>
    </row>
    <row r="72" spans="2:23">
      <c r="B72" s="116">
        <f>Amnt_Deposited!B67</f>
        <v>2053</v>
      </c>
      <c r="C72" s="119">
        <f>Amnt_Deposited!P67</f>
        <v>0</v>
      </c>
      <c r="D72" s="453">
        <f>Dry_Matter_Content!P59</f>
        <v>0</v>
      </c>
      <c r="E72" s="319">
        <f>MCF!R71</f>
        <v>0.8</v>
      </c>
      <c r="F72" s="87">
        <f t="shared" si="0"/>
        <v>0</v>
      </c>
      <c r="G72" s="87">
        <f t="shared" si="1"/>
        <v>0</v>
      </c>
      <c r="H72" s="87">
        <f t="shared" si="2"/>
        <v>0</v>
      </c>
      <c r="I72" s="87">
        <f t="shared" si="3"/>
        <v>0</v>
      </c>
      <c r="J72" s="87">
        <f t="shared" si="4"/>
        <v>0</v>
      </c>
      <c r="K72" s="120">
        <f t="shared" si="6"/>
        <v>0</v>
      </c>
      <c r="O72" s="116">
        <f>Amnt_Deposited!B67</f>
        <v>2053</v>
      </c>
      <c r="P72" s="119">
        <f>Amnt_Deposited!P67</f>
        <v>0</v>
      </c>
      <c r="Q72" s="319">
        <f>MCF!R71</f>
        <v>0.8</v>
      </c>
      <c r="R72" s="87">
        <f t="shared" si="5"/>
        <v>0</v>
      </c>
      <c r="S72" s="87">
        <f t="shared" si="7"/>
        <v>0</v>
      </c>
      <c r="T72" s="87">
        <f t="shared" si="8"/>
        <v>0</v>
      </c>
      <c r="U72" s="87">
        <f t="shared" si="9"/>
        <v>0</v>
      </c>
      <c r="V72" s="87">
        <f t="shared" si="10"/>
        <v>0</v>
      </c>
      <c r="W72" s="120">
        <f t="shared" si="11"/>
        <v>0</v>
      </c>
    </row>
    <row r="73" spans="2:23">
      <c r="B73" s="116">
        <f>Amnt_Deposited!B68</f>
        <v>2054</v>
      </c>
      <c r="C73" s="119">
        <f>Amnt_Deposited!P68</f>
        <v>0</v>
      </c>
      <c r="D73" s="453">
        <f>Dry_Matter_Content!P60</f>
        <v>0</v>
      </c>
      <c r="E73" s="319">
        <f>MCF!R72</f>
        <v>0.8</v>
      </c>
      <c r="F73" s="87">
        <f t="shared" si="0"/>
        <v>0</v>
      </c>
      <c r="G73" s="87">
        <f t="shared" si="1"/>
        <v>0</v>
      </c>
      <c r="H73" s="87">
        <f t="shared" si="2"/>
        <v>0</v>
      </c>
      <c r="I73" s="87">
        <f t="shared" si="3"/>
        <v>0</v>
      </c>
      <c r="J73" s="87">
        <f t="shared" si="4"/>
        <v>0</v>
      </c>
      <c r="K73" s="120">
        <f t="shared" si="6"/>
        <v>0</v>
      </c>
      <c r="O73" s="116">
        <f>Amnt_Deposited!B68</f>
        <v>2054</v>
      </c>
      <c r="P73" s="119">
        <f>Amnt_Deposited!P68</f>
        <v>0</v>
      </c>
      <c r="Q73" s="319">
        <f>MCF!R72</f>
        <v>0.8</v>
      </c>
      <c r="R73" s="87">
        <f t="shared" si="5"/>
        <v>0</v>
      </c>
      <c r="S73" s="87">
        <f t="shared" si="7"/>
        <v>0</v>
      </c>
      <c r="T73" s="87">
        <f t="shared" si="8"/>
        <v>0</v>
      </c>
      <c r="U73" s="87">
        <f t="shared" si="9"/>
        <v>0</v>
      </c>
      <c r="V73" s="87">
        <f t="shared" si="10"/>
        <v>0</v>
      </c>
      <c r="W73" s="120">
        <f t="shared" si="11"/>
        <v>0</v>
      </c>
    </row>
    <row r="74" spans="2:23">
      <c r="B74" s="116">
        <f>Amnt_Deposited!B69</f>
        <v>2055</v>
      </c>
      <c r="C74" s="119">
        <f>Amnt_Deposited!P69</f>
        <v>0</v>
      </c>
      <c r="D74" s="453">
        <f>Dry_Matter_Content!P61</f>
        <v>0</v>
      </c>
      <c r="E74" s="319">
        <f>MCF!R73</f>
        <v>0.8</v>
      </c>
      <c r="F74" s="87">
        <f t="shared" si="0"/>
        <v>0</v>
      </c>
      <c r="G74" s="87">
        <f t="shared" si="1"/>
        <v>0</v>
      </c>
      <c r="H74" s="87">
        <f t="shared" si="2"/>
        <v>0</v>
      </c>
      <c r="I74" s="87">
        <f t="shared" si="3"/>
        <v>0</v>
      </c>
      <c r="J74" s="87">
        <f t="shared" si="4"/>
        <v>0</v>
      </c>
      <c r="K74" s="120">
        <f t="shared" si="6"/>
        <v>0</v>
      </c>
      <c r="O74" s="116">
        <f>Amnt_Deposited!B69</f>
        <v>2055</v>
      </c>
      <c r="P74" s="119">
        <f>Amnt_Deposited!P69</f>
        <v>0</v>
      </c>
      <c r="Q74" s="319">
        <f>MCF!R73</f>
        <v>0.8</v>
      </c>
      <c r="R74" s="87">
        <f t="shared" si="5"/>
        <v>0</v>
      </c>
      <c r="S74" s="87">
        <f t="shared" si="7"/>
        <v>0</v>
      </c>
      <c r="T74" s="87">
        <f t="shared" si="8"/>
        <v>0</v>
      </c>
      <c r="U74" s="87">
        <f t="shared" si="9"/>
        <v>0</v>
      </c>
      <c r="V74" s="87">
        <f t="shared" si="10"/>
        <v>0</v>
      </c>
      <c r="W74" s="120">
        <f t="shared" si="11"/>
        <v>0</v>
      </c>
    </row>
    <row r="75" spans="2:23">
      <c r="B75" s="116">
        <f>Amnt_Deposited!B70</f>
        <v>2056</v>
      </c>
      <c r="C75" s="119">
        <f>Amnt_Deposited!P70</f>
        <v>0</v>
      </c>
      <c r="D75" s="453">
        <f>Dry_Matter_Content!P62</f>
        <v>0</v>
      </c>
      <c r="E75" s="319">
        <f>MCF!R74</f>
        <v>0.8</v>
      </c>
      <c r="F75" s="87">
        <f t="shared" si="0"/>
        <v>0</v>
      </c>
      <c r="G75" s="87">
        <f t="shared" si="1"/>
        <v>0</v>
      </c>
      <c r="H75" s="87">
        <f t="shared" si="2"/>
        <v>0</v>
      </c>
      <c r="I75" s="87">
        <f t="shared" si="3"/>
        <v>0</v>
      </c>
      <c r="J75" s="87">
        <f t="shared" si="4"/>
        <v>0</v>
      </c>
      <c r="K75" s="120">
        <f t="shared" si="6"/>
        <v>0</v>
      </c>
      <c r="O75" s="116">
        <f>Amnt_Deposited!B70</f>
        <v>2056</v>
      </c>
      <c r="P75" s="119">
        <f>Amnt_Deposited!P70</f>
        <v>0</v>
      </c>
      <c r="Q75" s="319">
        <f>MCF!R74</f>
        <v>0.8</v>
      </c>
      <c r="R75" s="87">
        <f t="shared" si="5"/>
        <v>0</v>
      </c>
      <c r="S75" s="87">
        <f t="shared" si="7"/>
        <v>0</v>
      </c>
      <c r="T75" s="87">
        <f t="shared" si="8"/>
        <v>0</v>
      </c>
      <c r="U75" s="87">
        <f t="shared" si="9"/>
        <v>0</v>
      </c>
      <c r="V75" s="87">
        <f t="shared" si="10"/>
        <v>0</v>
      </c>
      <c r="W75" s="120">
        <f t="shared" si="11"/>
        <v>0</v>
      </c>
    </row>
    <row r="76" spans="2:23">
      <c r="B76" s="116">
        <f>Amnt_Deposited!B71</f>
        <v>2057</v>
      </c>
      <c r="C76" s="119">
        <f>Amnt_Deposited!P71</f>
        <v>0</v>
      </c>
      <c r="D76" s="453">
        <f>Dry_Matter_Content!P63</f>
        <v>0</v>
      </c>
      <c r="E76" s="319">
        <f>MCF!R75</f>
        <v>0.8</v>
      </c>
      <c r="F76" s="87">
        <f t="shared" si="0"/>
        <v>0</v>
      </c>
      <c r="G76" s="87">
        <f t="shared" si="1"/>
        <v>0</v>
      </c>
      <c r="H76" s="87">
        <f t="shared" si="2"/>
        <v>0</v>
      </c>
      <c r="I76" s="87">
        <f t="shared" si="3"/>
        <v>0</v>
      </c>
      <c r="J76" s="87">
        <f t="shared" si="4"/>
        <v>0</v>
      </c>
      <c r="K76" s="120">
        <f t="shared" si="6"/>
        <v>0</v>
      </c>
      <c r="O76" s="116">
        <f>Amnt_Deposited!B71</f>
        <v>2057</v>
      </c>
      <c r="P76" s="119">
        <f>Amnt_Deposited!P71</f>
        <v>0</v>
      </c>
      <c r="Q76" s="319">
        <f>MCF!R75</f>
        <v>0.8</v>
      </c>
      <c r="R76" s="87">
        <f t="shared" si="5"/>
        <v>0</v>
      </c>
      <c r="S76" s="87">
        <f t="shared" si="7"/>
        <v>0</v>
      </c>
      <c r="T76" s="87">
        <f t="shared" si="8"/>
        <v>0</v>
      </c>
      <c r="U76" s="87">
        <f t="shared" si="9"/>
        <v>0</v>
      </c>
      <c r="V76" s="87">
        <f t="shared" si="10"/>
        <v>0</v>
      </c>
      <c r="W76" s="120">
        <f t="shared" si="11"/>
        <v>0</v>
      </c>
    </row>
    <row r="77" spans="2:23">
      <c r="B77" s="116">
        <f>Amnt_Deposited!B72</f>
        <v>2058</v>
      </c>
      <c r="C77" s="119">
        <f>Amnt_Deposited!P72</f>
        <v>0</v>
      </c>
      <c r="D77" s="453">
        <f>Dry_Matter_Content!P64</f>
        <v>0</v>
      </c>
      <c r="E77" s="319">
        <f>MCF!R76</f>
        <v>0.8</v>
      </c>
      <c r="F77" s="87">
        <f t="shared" si="0"/>
        <v>0</v>
      </c>
      <c r="G77" s="87">
        <f t="shared" si="1"/>
        <v>0</v>
      </c>
      <c r="H77" s="87">
        <f t="shared" si="2"/>
        <v>0</v>
      </c>
      <c r="I77" s="87">
        <f t="shared" si="3"/>
        <v>0</v>
      </c>
      <c r="J77" s="87">
        <f t="shared" si="4"/>
        <v>0</v>
      </c>
      <c r="K77" s="120">
        <f t="shared" si="6"/>
        <v>0</v>
      </c>
      <c r="O77" s="116">
        <f>Amnt_Deposited!B72</f>
        <v>2058</v>
      </c>
      <c r="P77" s="119">
        <f>Amnt_Deposited!P72</f>
        <v>0</v>
      </c>
      <c r="Q77" s="319">
        <f>MCF!R76</f>
        <v>0.8</v>
      </c>
      <c r="R77" s="87">
        <f t="shared" si="5"/>
        <v>0</v>
      </c>
      <c r="S77" s="87">
        <f t="shared" si="7"/>
        <v>0</v>
      </c>
      <c r="T77" s="87">
        <f t="shared" si="8"/>
        <v>0</v>
      </c>
      <c r="U77" s="87">
        <f t="shared" si="9"/>
        <v>0</v>
      </c>
      <c r="V77" s="87">
        <f t="shared" si="10"/>
        <v>0</v>
      </c>
      <c r="W77" s="120">
        <f t="shared" si="11"/>
        <v>0</v>
      </c>
    </row>
    <row r="78" spans="2:23">
      <c r="B78" s="116">
        <f>Amnt_Deposited!B73</f>
        <v>2059</v>
      </c>
      <c r="C78" s="119">
        <f>Amnt_Deposited!P73</f>
        <v>0</v>
      </c>
      <c r="D78" s="453">
        <f>Dry_Matter_Content!P65</f>
        <v>0</v>
      </c>
      <c r="E78" s="319">
        <f>MCF!R77</f>
        <v>0.8</v>
      </c>
      <c r="F78" s="87">
        <f t="shared" si="0"/>
        <v>0</v>
      </c>
      <c r="G78" s="87">
        <f t="shared" si="1"/>
        <v>0</v>
      </c>
      <c r="H78" s="87">
        <f t="shared" si="2"/>
        <v>0</v>
      </c>
      <c r="I78" s="87">
        <f t="shared" si="3"/>
        <v>0</v>
      </c>
      <c r="J78" s="87">
        <f t="shared" si="4"/>
        <v>0</v>
      </c>
      <c r="K78" s="120">
        <f t="shared" si="6"/>
        <v>0</v>
      </c>
      <c r="O78" s="116">
        <f>Amnt_Deposited!B73</f>
        <v>2059</v>
      </c>
      <c r="P78" s="119">
        <f>Amnt_Deposited!P73</f>
        <v>0</v>
      </c>
      <c r="Q78" s="319">
        <f>MCF!R77</f>
        <v>0.8</v>
      </c>
      <c r="R78" s="87">
        <f t="shared" si="5"/>
        <v>0</v>
      </c>
      <c r="S78" s="87">
        <f t="shared" si="7"/>
        <v>0</v>
      </c>
      <c r="T78" s="87">
        <f t="shared" si="8"/>
        <v>0</v>
      </c>
      <c r="U78" s="87">
        <f t="shared" si="9"/>
        <v>0</v>
      </c>
      <c r="V78" s="87">
        <f t="shared" si="10"/>
        <v>0</v>
      </c>
      <c r="W78" s="120">
        <f t="shared" si="11"/>
        <v>0</v>
      </c>
    </row>
    <row r="79" spans="2:23">
      <c r="B79" s="116">
        <f>Amnt_Deposited!B74</f>
        <v>2060</v>
      </c>
      <c r="C79" s="119">
        <f>Amnt_Deposited!P74</f>
        <v>0</v>
      </c>
      <c r="D79" s="453">
        <f>Dry_Matter_Content!P66</f>
        <v>0</v>
      </c>
      <c r="E79" s="319">
        <f>MCF!R78</f>
        <v>0.8</v>
      </c>
      <c r="F79" s="87">
        <f t="shared" si="0"/>
        <v>0</v>
      </c>
      <c r="G79" s="87">
        <f t="shared" si="1"/>
        <v>0</v>
      </c>
      <c r="H79" s="87">
        <f t="shared" si="2"/>
        <v>0</v>
      </c>
      <c r="I79" s="87">
        <f t="shared" si="3"/>
        <v>0</v>
      </c>
      <c r="J79" s="87">
        <f t="shared" si="4"/>
        <v>0</v>
      </c>
      <c r="K79" s="120">
        <f t="shared" si="6"/>
        <v>0</v>
      </c>
      <c r="O79" s="116">
        <f>Amnt_Deposited!B74</f>
        <v>2060</v>
      </c>
      <c r="P79" s="119">
        <f>Amnt_Deposited!P74</f>
        <v>0</v>
      </c>
      <c r="Q79" s="319">
        <f>MCF!R78</f>
        <v>0.8</v>
      </c>
      <c r="R79" s="87">
        <f t="shared" si="5"/>
        <v>0</v>
      </c>
      <c r="S79" s="87">
        <f t="shared" si="7"/>
        <v>0</v>
      </c>
      <c r="T79" s="87">
        <f t="shared" si="8"/>
        <v>0</v>
      </c>
      <c r="U79" s="87">
        <f t="shared" si="9"/>
        <v>0</v>
      </c>
      <c r="V79" s="87">
        <f t="shared" si="10"/>
        <v>0</v>
      </c>
      <c r="W79" s="120">
        <f t="shared" si="11"/>
        <v>0</v>
      </c>
    </row>
    <row r="80" spans="2:23">
      <c r="B80" s="116">
        <f>Amnt_Deposited!B75</f>
        <v>2061</v>
      </c>
      <c r="C80" s="119">
        <f>Amnt_Deposited!P75</f>
        <v>0</v>
      </c>
      <c r="D80" s="453">
        <f>Dry_Matter_Content!P67</f>
        <v>0</v>
      </c>
      <c r="E80" s="319">
        <f>MCF!R79</f>
        <v>0.8</v>
      </c>
      <c r="F80" s="87">
        <f t="shared" si="0"/>
        <v>0</v>
      </c>
      <c r="G80" s="87">
        <f t="shared" si="1"/>
        <v>0</v>
      </c>
      <c r="H80" s="87">
        <f t="shared" si="2"/>
        <v>0</v>
      </c>
      <c r="I80" s="87">
        <f t="shared" si="3"/>
        <v>0</v>
      </c>
      <c r="J80" s="87">
        <f t="shared" si="4"/>
        <v>0</v>
      </c>
      <c r="K80" s="120">
        <f t="shared" si="6"/>
        <v>0</v>
      </c>
      <c r="O80" s="116">
        <f>Amnt_Deposited!B75</f>
        <v>2061</v>
      </c>
      <c r="P80" s="119">
        <f>Amnt_Deposited!P75</f>
        <v>0</v>
      </c>
      <c r="Q80" s="319">
        <f>MCF!R79</f>
        <v>0.8</v>
      </c>
      <c r="R80" s="87">
        <f t="shared" si="5"/>
        <v>0</v>
      </c>
      <c r="S80" s="87">
        <f t="shared" si="7"/>
        <v>0</v>
      </c>
      <c r="T80" s="87">
        <f t="shared" si="8"/>
        <v>0</v>
      </c>
      <c r="U80" s="87">
        <f t="shared" si="9"/>
        <v>0</v>
      </c>
      <c r="V80" s="87">
        <f t="shared" si="10"/>
        <v>0</v>
      </c>
      <c r="W80" s="120">
        <f t="shared" si="11"/>
        <v>0</v>
      </c>
    </row>
    <row r="81" spans="2:23">
      <c r="B81" s="116">
        <f>Amnt_Deposited!B76</f>
        <v>2062</v>
      </c>
      <c r="C81" s="119">
        <f>Amnt_Deposited!P76</f>
        <v>0</v>
      </c>
      <c r="D81" s="453">
        <f>Dry_Matter_Content!P68</f>
        <v>0</v>
      </c>
      <c r="E81" s="319">
        <f>MCF!R80</f>
        <v>0.8</v>
      </c>
      <c r="F81" s="87">
        <f t="shared" si="0"/>
        <v>0</v>
      </c>
      <c r="G81" s="87">
        <f t="shared" si="1"/>
        <v>0</v>
      </c>
      <c r="H81" s="87">
        <f t="shared" si="2"/>
        <v>0</v>
      </c>
      <c r="I81" s="87">
        <f t="shared" si="3"/>
        <v>0</v>
      </c>
      <c r="J81" s="87">
        <f t="shared" si="4"/>
        <v>0</v>
      </c>
      <c r="K81" s="120">
        <f t="shared" si="6"/>
        <v>0</v>
      </c>
      <c r="O81" s="116">
        <f>Amnt_Deposited!B76</f>
        <v>2062</v>
      </c>
      <c r="P81" s="119">
        <f>Amnt_Deposited!P76</f>
        <v>0</v>
      </c>
      <c r="Q81" s="319">
        <f>MCF!R80</f>
        <v>0.8</v>
      </c>
      <c r="R81" s="87">
        <f t="shared" si="5"/>
        <v>0</v>
      </c>
      <c r="S81" s="87">
        <f t="shared" si="7"/>
        <v>0</v>
      </c>
      <c r="T81" s="87">
        <f t="shared" si="8"/>
        <v>0</v>
      </c>
      <c r="U81" s="87">
        <f t="shared" si="9"/>
        <v>0</v>
      </c>
      <c r="V81" s="87">
        <f t="shared" si="10"/>
        <v>0</v>
      </c>
      <c r="W81" s="120">
        <f t="shared" si="11"/>
        <v>0</v>
      </c>
    </row>
    <row r="82" spans="2:23">
      <c r="B82" s="116">
        <f>Amnt_Deposited!B77</f>
        <v>2063</v>
      </c>
      <c r="C82" s="119">
        <f>Amnt_Deposited!P77</f>
        <v>0</v>
      </c>
      <c r="D82" s="453">
        <f>Dry_Matter_Content!P69</f>
        <v>0</v>
      </c>
      <c r="E82" s="319">
        <f>MCF!R81</f>
        <v>0.8</v>
      </c>
      <c r="F82" s="87">
        <f t="shared" si="0"/>
        <v>0</v>
      </c>
      <c r="G82" s="87">
        <f t="shared" si="1"/>
        <v>0</v>
      </c>
      <c r="H82" s="87">
        <f t="shared" si="2"/>
        <v>0</v>
      </c>
      <c r="I82" s="87">
        <f t="shared" si="3"/>
        <v>0</v>
      </c>
      <c r="J82" s="87">
        <f t="shared" si="4"/>
        <v>0</v>
      </c>
      <c r="K82" s="120">
        <f t="shared" si="6"/>
        <v>0</v>
      </c>
      <c r="O82" s="116">
        <f>Amnt_Deposited!B77</f>
        <v>2063</v>
      </c>
      <c r="P82" s="119">
        <f>Amnt_Deposited!P77</f>
        <v>0</v>
      </c>
      <c r="Q82" s="319">
        <f>MCF!R81</f>
        <v>0.8</v>
      </c>
      <c r="R82" s="87">
        <f t="shared" si="5"/>
        <v>0</v>
      </c>
      <c r="S82" s="87">
        <f t="shared" si="7"/>
        <v>0</v>
      </c>
      <c r="T82" s="87">
        <f t="shared" si="8"/>
        <v>0</v>
      </c>
      <c r="U82" s="87">
        <f t="shared" si="9"/>
        <v>0</v>
      </c>
      <c r="V82" s="87">
        <f t="shared" si="10"/>
        <v>0</v>
      </c>
      <c r="W82" s="120">
        <f t="shared" si="11"/>
        <v>0</v>
      </c>
    </row>
    <row r="83" spans="2:23">
      <c r="B83" s="116">
        <f>Amnt_Deposited!B78</f>
        <v>2064</v>
      </c>
      <c r="C83" s="119">
        <f>Amnt_Deposited!P78</f>
        <v>0</v>
      </c>
      <c r="D83" s="453">
        <f>Dry_Matter_Content!P70</f>
        <v>0</v>
      </c>
      <c r="E83" s="319">
        <f>MCF!R82</f>
        <v>0.8</v>
      </c>
      <c r="F83" s="87">
        <f t="shared" ref="F83:F99" si="12">C83*D83*$K$6*DOCF*E83</f>
        <v>0</v>
      </c>
      <c r="G83" s="87">
        <f t="shared" ref="G83:G99" si="13">F83*$K$12</f>
        <v>0</v>
      </c>
      <c r="H83" s="87">
        <f t="shared" ref="H83:H99" si="14">F83*(1-$K$12)</f>
        <v>0</v>
      </c>
      <c r="I83" s="87">
        <f t="shared" ref="I83:I99" si="15">G83+I82*$K$10</f>
        <v>0</v>
      </c>
      <c r="J83" s="87">
        <f t="shared" ref="J83:J99" si="16">I82*(1-$K$10)+H83</f>
        <v>0</v>
      </c>
      <c r="K83" s="120">
        <f t="shared" si="6"/>
        <v>0</v>
      </c>
      <c r="O83" s="116">
        <f>Amnt_Deposited!B78</f>
        <v>2064</v>
      </c>
      <c r="P83" s="119">
        <f>Amnt_Deposited!P78</f>
        <v>0</v>
      </c>
      <c r="Q83" s="319">
        <f>MCF!R82</f>
        <v>0.8</v>
      </c>
      <c r="R83" s="87">
        <f t="shared" ref="R83:R99" si="17">P83*$W$6*DOCF*Q83</f>
        <v>0</v>
      </c>
      <c r="S83" s="87">
        <f t="shared" si="7"/>
        <v>0</v>
      </c>
      <c r="T83" s="87">
        <f t="shared" si="8"/>
        <v>0</v>
      </c>
      <c r="U83" s="87">
        <f t="shared" si="9"/>
        <v>0</v>
      </c>
      <c r="V83" s="87">
        <f t="shared" si="10"/>
        <v>0</v>
      </c>
      <c r="W83" s="120">
        <f t="shared" si="11"/>
        <v>0</v>
      </c>
    </row>
    <row r="84" spans="2:23">
      <c r="B84" s="116">
        <f>Amnt_Deposited!B79</f>
        <v>2065</v>
      </c>
      <c r="C84" s="119">
        <f>Amnt_Deposited!P79</f>
        <v>0</v>
      </c>
      <c r="D84" s="453">
        <f>Dry_Matter_Content!P71</f>
        <v>0</v>
      </c>
      <c r="E84" s="319">
        <f>MCF!R83</f>
        <v>0.8</v>
      </c>
      <c r="F84" s="87">
        <f t="shared" si="12"/>
        <v>0</v>
      </c>
      <c r="G84" s="87">
        <f t="shared" si="13"/>
        <v>0</v>
      </c>
      <c r="H84" s="87">
        <f t="shared" si="14"/>
        <v>0</v>
      </c>
      <c r="I84" s="87">
        <f t="shared" si="15"/>
        <v>0</v>
      </c>
      <c r="J84" s="87">
        <f t="shared" si="16"/>
        <v>0</v>
      </c>
      <c r="K84" s="120">
        <f t="shared" si="6"/>
        <v>0</v>
      </c>
      <c r="O84" s="116">
        <f>Amnt_Deposited!B79</f>
        <v>2065</v>
      </c>
      <c r="P84" s="119">
        <f>Amnt_Deposited!P79</f>
        <v>0</v>
      </c>
      <c r="Q84" s="319">
        <f>MCF!R83</f>
        <v>0.8</v>
      </c>
      <c r="R84" s="87">
        <f t="shared" si="17"/>
        <v>0</v>
      </c>
      <c r="S84" s="87">
        <f t="shared" si="7"/>
        <v>0</v>
      </c>
      <c r="T84" s="87">
        <f t="shared" si="8"/>
        <v>0</v>
      </c>
      <c r="U84" s="87">
        <f t="shared" si="9"/>
        <v>0</v>
      </c>
      <c r="V84" s="87">
        <f t="shared" si="10"/>
        <v>0</v>
      </c>
      <c r="W84" s="120">
        <f t="shared" si="11"/>
        <v>0</v>
      </c>
    </row>
    <row r="85" spans="2:23">
      <c r="B85" s="116">
        <f>Amnt_Deposited!B80</f>
        <v>2066</v>
      </c>
      <c r="C85" s="119">
        <f>Amnt_Deposited!P80</f>
        <v>0</v>
      </c>
      <c r="D85" s="453">
        <f>Dry_Matter_Content!P72</f>
        <v>0</v>
      </c>
      <c r="E85" s="319">
        <f>MCF!R84</f>
        <v>0.8</v>
      </c>
      <c r="F85" s="87">
        <f t="shared" si="12"/>
        <v>0</v>
      </c>
      <c r="G85" s="87">
        <f t="shared" si="13"/>
        <v>0</v>
      </c>
      <c r="H85" s="87">
        <f t="shared" si="14"/>
        <v>0</v>
      </c>
      <c r="I85" s="87">
        <f t="shared" si="15"/>
        <v>0</v>
      </c>
      <c r="J85" s="87">
        <f t="shared" si="16"/>
        <v>0</v>
      </c>
      <c r="K85" s="120">
        <f t="shared" ref="K85:K99" si="18">J85*CH4_fraction*conv</f>
        <v>0</v>
      </c>
      <c r="O85" s="116">
        <f>Amnt_Deposited!B80</f>
        <v>2066</v>
      </c>
      <c r="P85" s="119">
        <f>Amnt_Deposited!P80</f>
        <v>0</v>
      </c>
      <c r="Q85" s="319">
        <f>MCF!R84</f>
        <v>0.8</v>
      </c>
      <c r="R85" s="87">
        <f t="shared" si="17"/>
        <v>0</v>
      </c>
      <c r="S85" s="87">
        <f t="shared" ref="S85:S98" si="19">R85*$W$12</f>
        <v>0</v>
      </c>
      <c r="T85" s="87">
        <f t="shared" ref="T85:T98" si="20">R85*(1-$W$12)</f>
        <v>0</v>
      </c>
      <c r="U85" s="87">
        <f t="shared" ref="U85:U98" si="21">S85+U84*$W$10</f>
        <v>0</v>
      </c>
      <c r="V85" s="87">
        <f t="shared" ref="V85:V98" si="22">U84*(1-$W$10)+T85</f>
        <v>0</v>
      </c>
      <c r="W85" s="120">
        <f t="shared" ref="W85:W99" si="23">V85*CH4_fraction*conv</f>
        <v>0</v>
      </c>
    </row>
    <row r="86" spans="2:23">
      <c r="B86" s="116">
        <f>Amnt_Deposited!B81</f>
        <v>2067</v>
      </c>
      <c r="C86" s="119">
        <f>Amnt_Deposited!P81</f>
        <v>0</v>
      </c>
      <c r="D86" s="453">
        <f>Dry_Matter_Content!P73</f>
        <v>0</v>
      </c>
      <c r="E86" s="319">
        <f>MCF!R85</f>
        <v>0.8</v>
      </c>
      <c r="F86" s="87">
        <f t="shared" si="12"/>
        <v>0</v>
      </c>
      <c r="G86" s="87">
        <f t="shared" si="13"/>
        <v>0</v>
      </c>
      <c r="H86" s="87">
        <f t="shared" si="14"/>
        <v>0</v>
      </c>
      <c r="I86" s="87">
        <f t="shared" si="15"/>
        <v>0</v>
      </c>
      <c r="J86" s="87">
        <f t="shared" si="16"/>
        <v>0</v>
      </c>
      <c r="K86" s="120">
        <f t="shared" si="18"/>
        <v>0</v>
      </c>
      <c r="O86" s="116">
        <f>Amnt_Deposited!B81</f>
        <v>2067</v>
      </c>
      <c r="P86" s="119">
        <f>Amnt_Deposited!P81</f>
        <v>0</v>
      </c>
      <c r="Q86" s="319">
        <f>MCF!R85</f>
        <v>0.8</v>
      </c>
      <c r="R86" s="87">
        <f t="shared" si="17"/>
        <v>0</v>
      </c>
      <c r="S86" s="87">
        <f t="shared" si="19"/>
        <v>0</v>
      </c>
      <c r="T86" s="87">
        <f t="shared" si="20"/>
        <v>0</v>
      </c>
      <c r="U86" s="87">
        <f t="shared" si="21"/>
        <v>0</v>
      </c>
      <c r="V86" s="87">
        <f t="shared" si="22"/>
        <v>0</v>
      </c>
      <c r="W86" s="120">
        <f t="shared" si="23"/>
        <v>0</v>
      </c>
    </row>
    <row r="87" spans="2:23">
      <c r="B87" s="116">
        <f>Amnt_Deposited!B82</f>
        <v>2068</v>
      </c>
      <c r="C87" s="119">
        <f>Amnt_Deposited!P82</f>
        <v>0</v>
      </c>
      <c r="D87" s="453">
        <f>Dry_Matter_Content!P74</f>
        <v>0</v>
      </c>
      <c r="E87" s="319">
        <f>MCF!R86</f>
        <v>0.8</v>
      </c>
      <c r="F87" s="87">
        <f t="shared" si="12"/>
        <v>0</v>
      </c>
      <c r="G87" s="87">
        <f t="shared" si="13"/>
        <v>0</v>
      </c>
      <c r="H87" s="87">
        <f t="shared" si="14"/>
        <v>0</v>
      </c>
      <c r="I87" s="87">
        <f t="shared" si="15"/>
        <v>0</v>
      </c>
      <c r="J87" s="87">
        <f t="shared" si="16"/>
        <v>0</v>
      </c>
      <c r="K87" s="120">
        <f t="shared" si="18"/>
        <v>0</v>
      </c>
      <c r="O87" s="116">
        <f>Amnt_Deposited!B82</f>
        <v>2068</v>
      </c>
      <c r="P87" s="119">
        <f>Amnt_Deposited!P82</f>
        <v>0</v>
      </c>
      <c r="Q87" s="319">
        <f>MCF!R86</f>
        <v>0.8</v>
      </c>
      <c r="R87" s="87">
        <f t="shared" si="17"/>
        <v>0</v>
      </c>
      <c r="S87" s="87">
        <f t="shared" si="19"/>
        <v>0</v>
      </c>
      <c r="T87" s="87">
        <f t="shared" si="20"/>
        <v>0</v>
      </c>
      <c r="U87" s="87">
        <f t="shared" si="21"/>
        <v>0</v>
      </c>
      <c r="V87" s="87">
        <f t="shared" si="22"/>
        <v>0</v>
      </c>
      <c r="W87" s="120">
        <f t="shared" si="23"/>
        <v>0</v>
      </c>
    </row>
    <row r="88" spans="2:23">
      <c r="B88" s="116">
        <f>Amnt_Deposited!B83</f>
        <v>2069</v>
      </c>
      <c r="C88" s="119">
        <f>Amnt_Deposited!P83</f>
        <v>0</v>
      </c>
      <c r="D88" s="453">
        <f>Dry_Matter_Content!P75</f>
        <v>0</v>
      </c>
      <c r="E88" s="319">
        <f>MCF!R87</f>
        <v>0.8</v>
      </c>
      <c r="F88" s="87">
        <f t="shared" si="12"/>
        <v>0</v>
      </c>
      <c r="G88" s="87">
        <f t="shared" si="13"/>
        <v>0</v>
      </c>
      <c r="H88" s="87">
        <f t="shared" si="14"/>
        <v>0</v>
      </c>
      <c r="I88" s="87">
        <f t="shared" si="15"/>
        <v>0</v>
      </c>
      <c r="J88" s="87">
        <f t="shared" si="16"/>
        <v>0</v>
      </c>
      <c r="K88" s="120">
        <f t="shared" si="18"/>
        <v>0</v>
      </c>
      <c r="O88" s="116">
        <f>Amnt_Deposited!B83</f>
        <v>2069</v>
      </c>
      <c r="P88" s="119">
        <f>Amnt_Deposited!P83</f>
        <v>0</v>
      </c>
      <c r="Q88" s="319">
        <f>MCF!R87</f>
        <v>0.8</v>
      </c>
      <c r="R88" s="87">
        <f t="shared" si="17"/>
        <v>0</v>
      </c>
      <c r="S88" s="87">
        <f t="shared" si="19"/>
        <v>0</v>
      </c>
      <c r="T88" s="87">
        <f t="shared" si="20"/>
        <v>0</v>
      </c>
      <c r="U88" s="87">
        <f t="shared" si="21"/>
        <v>0</v>
      </c>
      <c r="V88" s="87">
        <f t="shared" si="22"/>
        <v>0</v>
      </c>
      <c r="W88" s="120">
        <f t="shared" si="23"/>
        <v>0</v>
      </c>
    </row>
    <row r="89" spans="2:23">
      <c r="B89" s="116">
        <f>Amnt_Deposited!B84</f>
        <v>2070</v>
      </c>
      <c r="C89" s="119">
        <f>Amnt_Deposited!P84</f>
        <v>0</v>
      </c>
      <c r="D89" s="453">
        <f>Dry_Matter_Content!P76</f>
        <v>0</v>
      </c>
      <c r="E89" s="319">
        <f>MCF!R88</f>
        <v>0.8</v>
      </c>
      <c r="F89" s="87">
        <f t="shared" si="12"/>
        <v>0</v>
      </c>
      <c r="G89" s="87">
        <f t="shared" si="13"/>
        <v>0</v>
      </c>
      <c r="H89" s="87">
        <f t="shared" si="14"/>
        <v>0</v>
      </c>
      <c r="I89" s="87">
        <f t="shared" si="15"/>
        <v>0</v>
      </c>
      <c r="J89" s="87">
        <f t="shared" si="16"/>
        <v>0</v>
      </c>
      <c r="K89" s="120">
        <f t="shared" si="18"/>
        <v>0</v>
      </c>
      <c r="O89" s="116">
        <f>Amnt_Deposited!B84</f>
        <v>2070</v>
      </c>
      <c r="P89" s="119">
        <f>Amnt_Deposited!P84</f>
        <v>0</v>
      </c>
      <c r="Q89" s="319">
        <f>MCF!R88</f>
        <v>0.8</v>
      </c>
      <c r="R89" s="87">
        <f t="shared" si="17"/>
        <v>0</v>
      </c>
      <c r="S89" s="87">
        <f t="shared" si="19"/>
        <v>0</v>
      </c>
      <c r="T89" s="87">
        <f t="shared" si="20"/>
        <v>0</v>
      </c>
      <c r="U89" s="87">
        <f t="shared" si="21"/>
        <v>0</v>
      </c>
      <c r="V89" s="87">
        <f t="shared" si="22"/>
        <v>0</v>
      </c>
      <c r="W89" s="120">
        <f t="shared" si="23"/>
        <v>0</v>
      </c>
    </row>
    <row r="90" spans="2:23">
      <c r="B90" s="116">
        <f>Amnt_Deposited!B85</f>
        <v>2071</v>
      </c>
      <c r="C90" s="119">
        <f>Amnt_Deposited!P85</f>
        <v>0</v>
      </c>
      <c r="D90" s="453">
        <f>Dry_Matter_Content!P77</f>
        <v>0</v>
      </c>
      <c r="E90" s="319">
        <f>MCF!R89</f>
        <v>0.8</v>
      </c>
      <c r="F90" s="87">
        <f t="shared" si="12"/>
        <v>0</v>
      </c>
      <c r="G90" s="87">
        <f t="shared" si="13"/>
        <v>0</v>
      </c>
      <c r="H90" s="87">
        <f t="shared" si="14"/>
        <v>0</v>
      </c>
      <c r="I90" s="87">
        <f t="shared" si="15"/>
        <v>0</v>
      </c>
      <c r="J90" s="87">
        <f t="shared" si="16"/>
        <v>0</v>
      </c>
      <c r="K90" s="120">
        <f t="shared" si="18"/>
        <v>0</v>
      </c>
      <c r="O90" s="116">
        <f>Amnt_Deposited!B85</f>
        <v>2071</v>
      </c>
      <c r="P90" s="119">
        <f>Amnt_Deposited!P85</f>
        <v>0</v>
      </c>
      <c r="Q90" s="319">
        <f>MCF!R89</f>
        <v>0.8</v>
      </c>
      <c r="R90" s="87">
        <f t="shared" si="17"/>
        <v>0</v>
      </c>
      <c r="S90" s="87">
        <f t="shared" si="19"/>
        <v>0</v>
      </c>
      <c r="T90" s="87">
        <f t="shared" si="20"/>
        <v>0</v>
      </c>
      <c r="U90" s="87">
        <f t="shared" si="21"/>
        <v>0</v>
      </c>
      <c r="V90" s="87">
        <f t="shared" si="22"/>
        <v>0</v>
      </c>
      <c r="W90" s="120">
        <f t="shared" si="23"/>
        <v>0</v>
      </c>
    </row>
    <row r="91" spans="2:23">
      <c r="B91" s="116">
        <f>Amnt_Deposited!B86</f>
        <v>2072</v>
      </c>
      <c r="C91" s="119">
        <f>Amnt_Deposited!P86</f>
        <v>0</v>
      </c>
      <c r="D91" s="453">
        <f>Dry_Matter_Content!P78</f>
        <v>0</v>
      </c>
      <c r="E91" s="319">
        <f>MCF!R90</f>
        <v>0.8</v>
      </c>
      <c r="F91" s="87">
        <f t="shared" si="12"/>
        <v>0</v>
      </c>
      <c r="G91" s="87">
        <f t="shared" si="13"/>
        <v>0</v>
      </c>
      <c r="H91" s="87">
        <f t="shared" si="14"/>
        <v>0</v>
      </c>
      <c r="I91" s="87">
        <f t="shared" si="15"/>
        <v>0</v>
      </c>
      <c r="J91" s="87">
        <f t="shared" si="16"/>
        <v>0</v>
      </c>
      <c r="K91" s="120">
        <f t="shared" si="18"/>
        <v>0</v>
      </c>
      <c r="O91" s="116">
        <f>Amnt_Deposited!B86</f>
        <v>2072</v>
      </c>
      <c r="P91" s="119">
        <f>Amnt_Deposited!P86</f>
        <v>0</v>
      </c>
      <c r="Q91" s="319">
        <f>MCF!R90</f>
        <v>0.8</v>
      </c>
      <c r="R91" s="87">
        <f t="shared" si="17"/>
        <v>0</v>
      </c>
      <c r="S91" s="87">
        <f t="shared" si="19"/>
        <v>0</v>
      </c>
      <c r="T91" s="87">
        <f t="shared" si="20"/>
        <v>0</v>
      </c>
      <c r="U91" s="87">
        <f t="shared" si="21"/>
        <v>0</v>
      </c>
      <c r="V91" s="87">
        <f t="shared" si="22"/>
        <v>0</v>
      </c>
      <c r="W91" s="120">
        <f t="shared" si="23"/>
        <v>0</v>
      </c>
    </row>
    <row r="92" spans="2:23">
      <c r="B92" s="116">
        <f>Amnt_Deposited!B87</f>
        <v>2073</v>
      </c>
      <c r="C92" s="119">
        <f>Amnt_Deposited!P87</f>
        <v>0</v>
      </c>
      <c r="D92" s="453">
        <f>Dry_Matter_Content!P79</f>
        <v>0</v>
      </c>
      <c r="E92" s="319">
        <f>MCF!R91</f>
        <v>0.8</v>
      </c>
      <c r="F92" s="87">
        <f t="shared" si="12"/>
        <v>0</v>
      </c>
      <c r="G92" s="87">
        <f t="shared" si="13"/>
        <v>0</v>
      </c>
      <c r="H92" s="87">
        <f t="shared" si="14"/>
        <v>0</v>
      </c>
      <c r="I92" s="87">
        <f t="shared" si="15"/>
        <v>0</v>
      </c>
      <c r="J92" s="87">
        <f t="shared" si="16"/>
        <v>0</v>
      </c>
      <c r="K92" s="120">
        <f t="shared" si="18"/>
        <v>0</v>
      </c>
      <c r="O92" s="116">
        <f>Amnt_Deposited!B87</f>
        <v>2073</v>
      </c>
      <c r="P92" s="119">
        <f>Amnt_Deposited!P87</f>
        <v>0</v>
      </c>
      <c r="Q92" s="319">
        <f>MCF!R91</f>
        <v>0.8</v>
      </c>
      <c r="R92" s="87">
        <f t="shared" si="17"/>
        <v>0</v>
      </c>
      <c r="S92" s="87">
        <f t="shared" si="19"/>
        <v>0</v>
      </c>
      <c r="T92" s="87">
        <f t="shared" si="20"/>
        <v>0</v>
      </c>
      <c r="U92" s="87">
        <f t="shared" si="21"/>
        <v>0</v>
      </c>
      <c r="V92" s="87">
        <f t="shared" si="22"/>
        <v>0</v>
      </c>
      <c r="W92" s="120">
        <f t="shared" si="23"/>
        <v>0</v>
      </c>
    </row>
    <row r="93" spans="2:23">
      <c r="B93" s="116">
        <f>Amnt_Deposited!B88</f>
        <v>2074</v>
      </c>
      <c r="C93" s="119">
        <f>Amnt_Deposited!P88</f>
        <v>0</v>
      </c>
      <c r="D93" s="453">
        <f>Dry_Matter_Content!P80</f>
        <v>0</v>
      </c>
      <c r="E93" s="319">
        <f>MCF!R92</f>
        <v>0.8</v>
      </c>
      <c r="F93" s="87">
        <f t="shared" si="12"/>
        <v>0</v>
      </c>
      <c r="G93" s="87">
        <f t="shared" si="13"/>
        <v>0</v>
      </c>
      <c r="H93" s="87">
        <f t="shared" si="14"/>
        <v>0</v>
      </c>
      <c r="I93" s="87">
        <f t="shared" si="15"/>
        <v>0</v>
      </c>
      <c r="J93" s="87">
        <f t="shared" si="16"/>
        <v>0</v>
      </c>
      <c r="K93" s="120">
        <f t="shared" si="18"/>
        <v>0</v>
      </c>
      <c r="O93" s="116">
        <f>Amnt_Deposited!B88</f>
        <v>2074</v>
      </c>
      <c r="P93" s="119">
        <f>Amnt_Deposited!P88</f>
        <v>0</v>
      </c>
      <c r="Q93" s="319">
        <f>MCF!R92</f>
        <v>0.8</v>
      </c>
      <c r="R93" s="87">
        <f t="shared" si="17"/>
        <v>0</v>
      </c>
      <c r="S93" s="87">
        <f t="shared" si="19"/>
        <v>0</v>
      </c>
      <c r="T93" s="87">
        <f t="shared" si="20"/>
        <v>0</v>
      </c>
      <c r="U93" s="87">
        <f t="shared" si="21"/>
        <v>0</v>
      </c>
      <c r="V93" s="87">
        <f t="shared" si="22"/>
        <v>0</v>
      </c>
      <c r="W93" s="120">
        <f t="shared" si="23"/>
        <v>0</v>
      </c>
    </row>
    <row r="94" spans="2:23">
      <c r="B94" s="116">
        <f>Amnt_Deposited!B89</f>
        <v>2075</v>
      </c>
      <c r="C94" s="119">
        <f>Amnt_Deposited!P89</f>
        <v>0</v>
      </c>
      <c r="D94" s="453">
        <f>Dry_Matter_Content!P81</f>
        <v>0</v>
      </c>
      <c r="E94" s="319">
        <f>MCF!R93</f>
        <v>0.8</v>
      </c>
      <c r="F94" s="87">
        <f t="shared" si="12"/>
        <v>0</v>
      </c>
      <c r="G94" s="87">
        <f t="shared" si="13"/>
        <v>0</v>
      </c>
      <c r="H94" s="87">
        <f t="shared" si="14"/>
        <v>0</v>
      </c>
      <c r="I94" s="87">
        <f t="shared" si="15"/>
        <v>0</v>
      </c>
      <c r="J94" s="87">
        <f t="shared" si="16"/>
        <v>0</v>
      </c>
      <c r="K94" s="120">
        <f t="shared" si="18"/>
        <v>0</v>
      </c>
      <c r="O94" s="116">
        <f>Amnt_Deposited!B89</f>
        <v>2075</v>
      </c>
      <c r="P94" s="119">
        <f>Amnt_Deposited!P89</f>
        <v>0</v>
      </c>
      <c r="Q94" s="319">
        <f>MCF!R93</f>
        <v>0.8</v>
      </c>
      <c r="R94" s="87">
        <f t="shared" si="17"/>
        <v>0</v>
      </c>
      <c r="S94" s="87">
        <f t="shared" si="19"/>
        <v>0</v>
      </c>
      <c r="T94" s="87">
        <f t="shared" si="20"/>
        <v>0</v>
      </c>
      <c r="U94" s="87">
        <f t="shared" si="21"/>
        <v>0</v>
      </c>
      <c r="V94" s="87">
        <f t="shared" si="22"/>
        <v>0</v>
      </c>
      <c r="W94" s="120">
        <f t="shared" si="23"/>
        <v>0</v>
      </c>
    </row>
    <row r="95" spans="2:23">
      <c r="B95" s="116">
        <f>Amnt_Deposited!B90</f>
        <v>2076</v>
      </c>
      <c r="C95" s="119">
        <f>Amnt_Deposited!P90</f>
        <v>0</v>
      </c>
      <c r="D95" s="453">
        <f>Dry_Matter_Content!P82</f>
        <v>0</v>
      </c>
      <c r="E95" s="319">
        <f>MCF!R94</f>
        <v>0.8</v>
      </c>
      <c r="F95" s="87">
        <f t="shared" si="12"/>
        <v>0</v>
      </c>
      <c r="G95" s="87">
        <f t="shared" si="13"/>
        <v>0</v>
      </c>
      <c r="H95" s="87">
        <f t="shared" si="14"/>
        <v>0</v>
      </c>
      <c r="I95" s="87">
        <f t="shared" si="15"/>
        <v>0</v>
      </c>
      <c r="J95" s="87">
        <f t="shared" si="16"/>
        <v>0</v>
      </c>
      <c r="K95" s="120">
        <f t="shared" si="18"/>
        <v>0</v>
      </c>
      <c r="O95" s="116">
        <f>Amnt_Deposited!B90</f>
        <v>2076</v>
      </c>
      <c r="P95" s="119">
        <f>Amnt_Deposited!P90</f>
        <v>0</v>
      </c>
      <c r="Q95" s="319">
        <f>MCF!R94</f>
        <v>0.8</v>
      </c>
      <c r="R95" s="87">
        <f t="shared" si="17"/>
        <v>0</v>
      </c>
      <c r="S95" s="87">
        <f t="shared" si="19"/>
        <v>0</v>
      </c>
      <c r="T95" s="87">
        <f t="shared" si="20"/>
        <v>0</v>
      </c>
      <c r="U95" s="87">
        <f t="shared" si="21"/>
        <v>0</v>
      </c>
      <c r="V95" s="87">
        <f t="shared" si="22"/>
        <v>0</v>
      </c>
      <c r="W95" s="120">
        <f t="shared" si="23"/>
        <v>0</v>
      </c>
    </row>
    <row r="96" spans="2:23">
      <c r="B96" s="116">
        <f>Amnt_Deposited!B91</f>
        <v>2077</v>
      </c>
      <c r="C96" s="119">
        <f>Amnt_Deposited!P91</f>
        <v>0</v>
      </c>
      <c r="D96" s="453">
        <f>Dry_Matter_Content!P83</f>
        <v>0</v>
      </c>
      <c r="E96" s="319">
        <f>MCF!R95</f>
        <v>0.8</v>
      </c>
      <c r="F96" s="87">
        <f t="shared" si="12"/>
        <v>0</v>
      </c>
      <c r="G96" s="87">
        <f t="shared" si="13"/>
        <v>0</v>
      </c>
      <c r="H96" s="87">
        <f t="shared" si="14"/>
        <v>0</v>
      </c>
      <c r="I96" s="87">
        <f t="shared" si="15"/>
        <v>0</v>
      </c>
      <c r="J96" s="87">
        <f t="shared" si="16"/>
        <v>0</v>
      </c>
      <c r="K96" s="120">
        <f t="shared" si="18"/>
        <v>0</v>
      </c>
      <c r="O96" s="116">
        <f>Amnt_Deposited!B91</f>
        <v>2077</v>
      </c>
      <c r="P96" s="119">
        <f>Amnt_Deposited!P91</f>
        <v>0</v>
      </c>
      <c r="Q96" s="319">
        <f>MCF!R95</f>
        <v>0.8</v>
      </c>
      <c r="R96" s="87">
        <f t="shared" si="17"/>
        <v>0</v>
      </c>
      <c r="S96" s="87">
        <f t="shared" si="19"/>
        <v>0</v>
      </c>
      <c r="T96" s="87">
        <f t="shared" si="20"/>
        <v>0</v>
      </c>
      <c r="U96" s="87">
        <f t="shared" si="21"/>
        <v>0</v>
      </c>
      <c r="V96" s="87">
        <f t="shared" si="22"/>
        <v>0</v>
      </c>
      <c r="W96" s="120">
        <f t="shared" si="23"/>
        <v>0</v>
      </c>
    </row>
    <row r="97" spans="2:23">
      <c r="B97" s="116">
        <f>Amnt_Deposited!B92</f>
        <v>2078</v>
      </c>
      <c r="C97" s="119">
        <f>Amnt_Deposited!P92</f>
        <v>0</v>
      </c>
      <c r="D97" s="453">
        <f>Dry_Matter_Content!P84</f>
        <v>0</v>
      </c>
      <c r="E97" s="319">
        <f>MCF!R96</f>
        <v>0.8</v>
      </c>
      <c r="F97" s="87">
        <f t="shared" si="12"/>
        <v>0</v>
      </c>
      <c r="G97" s="87">
        <f t="shared" si="13"/>
        <v>0</v>
      </c>
      <c r="H97" s="87">
        <f t="shared" si="14"/>
        <v>0</v>
      </c>
      <c r="I97" s="87">
        <f t="shared" si="15"/>
        <v>0</v>
      </c>
      <c r="J97" s="87">
        <f t="shared" si="16"/>
        <v>0</v>
      </c>
      <c r="K97" s="120">
        <f t="shared" si="18"/>
        <v>0</v>
      </c>
      <c r="O97" s="116">
        <f>Amnt_Deposited!B92</f>
        <v>2078</v>
      </c>
      <c r="P97" s="119">
        <f>Amnt_Deposited!P92</f>
        <v>0</v>
      </c>
      <c r="Q97" s="319">
        <f>MCF!R96</f>
        <v>0.8</v>
      </c>
      <c r="R97" s="87">
        <f t="shared" si="17"/>
        <v>0</v>
      </c>
      <c r="S97" s="87">
        <f t="shared" si="19"/>
        <v>0</v>
      </c>
      <c r="T97" s="87">
        <f t="shared" si="20"/>
        <v>0</v>
      </c>
      <c r="U97" s="87">
        <f t="shared" si="21"/>
        <v>0</v>
      </c>
      <c r="V97" s="87">
        <f t="shared" si="22"/>
        <v>0</v>
      </c>
      <c r="W97" s="120">
        <f t="shared" si="23"/>
        <v>0</v>
      </c>
    </row>
    <row r="98" spans="2:23">
      <c r="B98" s="116">
        <f>Amnt_Deposited!B93</f>
        <v>2079</v>
      </c>
      <c r="C98" s="119">
        <f>Amnt_Deposited!P93</f>
        <v>0</v>
      </c>
      <c r="D98" s="453">
        <f>Dry_Matter_Content!P85</f>
        <v>0</v>
      </c>
      <c r="E98" s="319">
        <f>MCF!R97</f>
        <v>0.8</v>
      </c>
      <c r="F98" s="87">
        <f t="shared" si="12"/>
        <v>0</v>
      </c>
      <c r="G98" s="87">
        <f t="shared" si="13"/>
        <v>0</v>
      </c>
      <c r="H98" s="87">
        <f t="shared" si="14"/>
        <v>0</v>
      </c>
      <c r="I98" s="87">
        <f t="shared" si="15"/>
        <v>0</v>
      </c>
      <c r="J98" s="87">
        <f t="shared" si="16"/>
        <v>0</v>
      </c>
      <c r="K98" s="120">
        <f t="shared" si="18"/>
        <v>0</v>
      </c>
      <c r="O98" s="116">
        <f>Amnt_Deposited!B93</f>
        <v>2079</v>
      </c>
      <c r="P98" s="119">
        <f>Amnt_Deposited!P93</f>
        <v>0</v>
      </c>
      <c r="Q98" s="319">
        <f>MCF!R97</f>
        <v>0.8</v>
      </c>
      <c r="R98" s="87">
        <f t="shared" si="17"/>
        <v>0</v>
      </c>
      <c r="S98" s="87">
        <f t="shared" si="19"/>
        <v>0</v>
      </c>
      <c r="T98" s="87">
        <f t="shared" si="20"/>
        <v>0</v>
      </c>
      <c r="U98" s="87">
        <f t="shared" si="21"/>
        <v>0</v>
      </c>
      <c r="V98" s="87">
        <f t="shared" si="22"/>
        <v>0</v>
      </c>
      <c r="W98" s="120">
        <f t="shared" si="23"/>
        <v>0</v>
      </c>
    </row>
    <row r="99" spans="2:23" ht="13.5" thickBot="1">
      <c r="B99" s="117">
        <f>Amnt_Deposited!B94</f>
        <v>2080</v>
      </c>
      <c r="C99" s="119">
        <f>Amnt_Deposited!P94</f>
        <v>0</v>
      </c>
      <c r="D99" s="453">
        <f>Dry_Matter_Content!P86</f>
        <v>0</v>
      </c>
      <c r="E99" s="320">
        <f>MCF!R98</f>
        <v>0.8</v>
      </c>
      <c r="F99" s="88">
        <f t="shared" si="12"/>
        <v>0</v>
      </c>
      <c r="G99" s="88">
        <f t="shared" si="13"/>
        <v>0</v>
      </c>
      <c r="H99" s="88">
        <f t="shared" si="14"/>
        <v>0</v>
      </c>
      <c r="I99" s="88">
        <f t="shared" si="15"/>
        <v>0</v>
      </c>
      <c r="J99" s="88">
        <f t="shared" si="16"/>
        <v>0</v>
      </c>
      <c r="K99" s="122">
        <f t="shared" si="18"/>
        <v>0</v>
      </c>
      <c r="O99" s="117">
        <f>Amnt_Deposited!B94</f>
        <v>2080</v>
      </c>
      <c r="P99" s="119">
        <f>Amnt_Deposited!P94</f>
        <v>0</v>
      </c>
      <c r="Q99" s="320">
        <f>MCF!R98</f>
        <v>0.8</v>
      </c>
      <c r="R99" s="88">
        <f t="shared" si="17"/>
        <v>0</v>
      </c>
      <c r="S99" s="88">
        <f>R99*$W$12</f>
        <v>0</v>
      </c>
      <c r="T99" s="88">
        <f>R99*(1-$W$12)</f>
        <v>0</v>
      </c>
      <c r="U99" s="88">
        <f>S99+U98*$W$10</f>
        <v>0</v>
      </c>
      <c r="V99" s="88">
        <f>U98*(1-$W$10)+T99</f>
        <v>0</v>
      </c>
      <c r="W99" s="12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Instructions</vt:lpstr>
      <vt:lpstr>Parameters</vt:lpstr>
      <vt:lpstr>MCF</vt:lpstr>
      <vt:lpstr>Activity</vt:lpstr>
      <vt:lpstr>Dry_Matter_Content</vt:lpstr>
      <vt:lpstr>Amnt_Deposited</vt:lpstr>
      <vt:lpstr>Recovery_OX</vt:lpstr>
      <vt:lpstr>Results</vt:lpstr>
      <vt:lpstr>HWP</vt:lpstr>
      <vt:lpstr>Stored_C</vt:lpstr>
      <vt:lpstr>Theory</vt:lpstr>
      <vt:lpstr>Defaults</vt:lpstr>
      <vt:lpstr>Food</vt:lpstr>
      <vt:lpstr>Paper</vt:lpstr>
      <vt:lpstr>Nappies</vt:lpstr>
      <vt:lpstr>Garden</vt:lpstr>
      <vt:lpstr>Wood</vt:lpstr>
      <vt:lpstr>Textiles</vt:lpstr>
      <vt:lpstr>Sludge</vt:lpstr>
      <vt:lpstr>MSW</vt:lpstr>
      <vt:lpstr>Industry</vt:lpstr>
      <vt:lpstr>CH4_fraction</vt:lpstr>
      <vt:lpstr>city</vt:lpstr>
      <vt:lpstr>conv</vt:lpstr>
      <vt:lpstr>country</vt:lpstr>
      <vt:lpstr>DOC_table</vt:lpstr>
      <vt:lpstr>DOCF</vt:lpstr>
      <vt:lpstr>half_life</vt:lpstr>
      <vt:lpstr>ox</vt:lpstr>
      <vt:lpstr>Instructions!Print_Area</vt:lpstr>
      <vt:lpstr>Parameters!Print_Area</vt:lpstr>
      <vt:lpstr>Theory!Print_Area</vt:lpstr>
      <vt:lpstr>province</vt:lpstr>
      <vt:lpstr>Regional_data</vt:lpstr>
      <vt:lpstr>Select2</vt:lpstr>
      <vt:lpstr>Select3</vt:lpstr>
      <vt:lpstr>selected</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Resalto Pradewa</dc:creator>
  <cp:lastModifiedBy>Iwied</cp:lastModifiedBy>
  <cp:lastPrinted>2012-09-21T09:20:05Z</cp:lastPrinted>
  <dcterms:created xsi:type="dcterms:W3CDTF">2004-11-09T12:47:45Z</dcterms:created>
  <dcterms:modified xsi:type="dcterms:W3CDTF">2017-09-14T06:32:45Z</dcterms:modified>
</cp:coreProperties>
</file>