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Samarinda\"/>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E92" i="7" s="1"/>
  <c r="P97" i="35" s="1"/>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L18" i="7" s="1"/>
  <c r="M18" i="6"/>
  <c r="N18" i="6"/>
  <c r="M19" i="6"/>
  <c r="N19" i="6"/>
  <c r="M20" i="6"/>
  <c r="N20" i="6"/>
  <c r="M21" i="6"/>
  <c r="N21" i="6"/>
  <c r="M22" i="6"/>
  <c r="N22" i="6"/>
  <c r="M23" i="6"/>
  <c r="K24" i="7" s="1"/>
  <c r="N23" i="6"/>
  <c r="M24" i="6"/>
  <c r="N24" i="6"/>
  <c r="M25" i="6"/>
  <c r="K26" i="7" s="1"/>
  <c r="N25" i="6"/>
  <c r="L26" i="7" s="1"/>
  <c r="M26" i="6"/>
  <c r="N26" i="6"/>
  <c r="M27" i="6"/>
  <c r="K28" i="7" s="1"/>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20" i="7"/>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K17" i="6"/>
  <c r="F91" i="6"/>
  <c r="D92" i="7" s="1"/>
  <c r="K42" i="6"/>
  <c r="L93" i="6"/>
  <c r="L54" i="6"/>
  <c r="K23" i="6"/>
  <c r="K88" i="6"/>
  <c r="I89" i="7" s="1"/>
  <c r="L40" i="6"/>
  <c r="L24" i="6"/>
  <c r="L42" i="6"/>
  <c r="K65" i="6"/>
  <c r="F18" i="6"/>
  <c r="K26" i="6"/>
  <c r="K44" i="7"/>
  <c r="L34" i="6"/>
  <c r="F41" i="6"/>
  <c r="F93" i="6"/>
  <c r="O23" i="7"/>
  <c r="G43" i="7"/>
  <c r="P48" i="34" s="1"/>
  <c r="H21" i="7"/>
  <c r="F20" i="6"/>
  <c r="L71" i="6"/>
  <c r="L55" i="6"/>
  <c r="L25" i="6"/>
  <c r="K22" i="6"/>
  <c r="E22" i="6"/>
  <c r="F22" i="6"/>
  <c r="H22" i="6"/>
  <c r="L22" i="6"/>
  <c r="F92" i="6"/>
  <c r="K47" i="6"/>
  <c r="F26" i="6"/>
  <c r="L17" i="6"/>
  <c r="L75" i="6"/>
  <c r="G85" i="7"/>
  <c r="P90" i="34" s="1"/>
  <c r="E26" i="7"/>
  <c r="P31" i="35" s="1"/>
  <c r="J55" i="7"/>
  <c r="G45" i="7"/>
  <c r="P50" i="34" s="1"/>
  <c r="F77" i="6"/>
  <c r="L52" i="6"/>
  <c r="L57" i="6"/>
  <c r="L70" i="6"/>
  <c r="L72" i="6"/>
  <c r="K25" i="6"/>
  <c r="K72" i="6"/>
  <c r="E72" i="6"/>
  <c r="F72" i="6"/>
  <c r="H72" i="6"/>
  <c r="J72" i="6"/>
  <c r="K46" i="6"/>
  <c r="F53" i="6"/>
  <c r="L86" i="6"/>
  <c r="K92" i="6"/>
  <c r="F59" i="6"/>
  <c r="H39" i="7"/>
  <c r="C44" i="33" s="1"/>
  <c r="K48" i="6"/>
  <c r="I49" i="7" s="1"/>
  <c r="L46" i="6"/>
  <c r="O68" i="7"/>
  <c r="K63" i="7"/>
  <c r="F19" i="6"/>
  <c r="L68" i="6"/>
  <c r="L39" i="6"/>
  <c r="L29" i="6"/>
  <c r="J30" i="7" s="1"/>
  <c r="K77" i="6"/>
  <c r="K55" i="6"/>
  <c r="K81" i="6"/>
  <c r="K59" i="6"/>
  <c r="K74" i="6"/>
  <c r="L64" i="7"/>
  <c r="E71" i="7"/>
  <c r="P76" i="35" s="1"/>
  <c r="F86" i="6"/>
  <c r="H14" i="6"/>
  <c r="K68" i="6"/>
  <c r="L31" i="6"/>
  <c r="L59" i="6"/>
  <c r="L83" i="6"/>
  <c r="H86" i="6"/>
  <c r="H26" i="6"/>
  <c r="L18" i="6"/>
  <c r="L80" i="6"/>
  <c r="L81" i="6"/>
  <c r="L44" i="6"/>
  <c r="L82" i="6"/>
  <c r="L45" i="6"/>
  <c r="L78" i="6"/>
  <c r="K53" i="6"/>
  <c r="I54" i="7" s="1"/>
  <c r="K87" i="6"/>
  <c r="K33" i="6"/>
  <c r="K78" i="6"/>
  <c r="K19" i="6"/>
  <c r="K75" i="6"/>
  <c r="K52" i="6"/>
  <c r="K18" i="6"/>
  <c r="I19" i="7" s="1"/>
  <c r="L23" i="6"/>
  <c r="H67" i="6"/>
  <c r="H80" i="6"/>
  <c r="H71" i="6"/>
  <c r="H53" i="6"/>
  <c r="K36" i="6"/>
  <c r="K70" i="6"/>
  <c r="L87" i="6"/>
  <c r="H36" i="6"/>
  <c r="F37" i="7" s="1"/>
  <c r="P42" i="32" s="1"/>
  <c r="H48" i="6"/>
  <c r="L26" i="6"/>
  <c r="L27" i="6"/>
  <c r="L20" i="6"/>
  <c r="L49" i="6"/>
  <c r="L16" i="6"/>
  <c r="L50" i="6"/>
  <c r="L90" i="6"/>
  <c r="K34" i="6"/>
  <c r="K45" i="6"/>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F36" i="6"/>
  <c r="F40" i="6"/>
  <c r="F25" i="6"/>
  <c r="F76" i="6"/>
  <c r="E19" i="6"/>
  <c r="E56" i="6"/>
  <c r="C57" i="7" s="1"/>
  <c r="E24" i="6"/>
  <c r="E40" i="6"/>
  <c r="E49" i="6"/>
  <c r="E32" i="6"/>
  <c r="C33" i="7" s="1"/>
  <c r="E31" i="6"/>
  <c r="E71" i="6"/>
  <c r="E92" i="6"/>
  <c r="H69" i="6"/>
  <c r="J89" i="6"/>
  <c r="J48" i="6"/>
  <c r="J23" i="6"/>
  <c r="J81" i="6"/>
  <c r="J69" i="6"/>
  <c r="J36" i="6"/>
  <c r="O81" i="7"/>
  <c r="C86" i="37" s="1"/>
  <c r="O56" i="7"/>
  <c r="C61" i="37" s="1"/>
  <c r="I33" i="7"/>
  <c r="L89" i="7"/>
  <c r="L45" i="7"/>
  <c r="I83"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81" i="7"/>
  <c r="P86" i="35" s="1"/>
  <c r="E74" i="7"/>
  <c r="P79" i="35" s="1"/>
  <c r="E46" i="7"/>
  <c r="P51" i="35" s="1"/>
  <c r="E35" i="7"/>
  <c r="P40" i="35" s="1"/>
  <c r="E28" i="7"/>
  <c r="P33" i="35" s="1"/>
  <c r="O46" i="4"/>
  <c r="K7" i="34"/>
  <c r="W7" i="34"/>
  <c r="K13" i="34"/>
  <c r="W13" i="34"/>
  <c r="K7" i="35"/>
  <c r="K13" i="35"/>
  <c r="H73" i="7"/>
  <c r="C78" i="33" s="1"/>
  <c r="D73" i="7"/>
  <c r="C78" i="35" s="1"/>
  <c r="L16" i="7"/>
  <c r="L17" i="7"/>
  <c r="K48" i="7"/>
  <c r="J48" i="7"/>
  <c r="O24" i="7"/>
  <c r="P29" i="37" s="1"/>
  <c r="D24" i="7"/>
  <c r="O52" i="7"/>
  <c r="C57" i="37" s="1"/>
  <c r="G22" i="7"/>
  <c r="P27" i="34" s="1"/>
  <c r="G26" i="7"/>
  <c r="P31" i="34" s="1"/>
  <c r="O26" i="7"/>
  <c r="C31" i="37" s="1"/>
  <c r="D26" i="7"/>
  <c r="C31" i="31" s="1"/>
  <c r="L93" i="7"/>
  <c r="L77" i="7"/>
  <c r="H50" i="7"/>
  <c r="L43" i="7"/>
  <c r="L30" i="7"/>
  <c r="K89" i="7"/>
  <c r="O89" i="7"/>
  <c r="P94" i="37" s="1"/>
  <c r="D79" i="7"/>
  <c r="C84" i="31" s="1"/>
  <c r="O79" i="7"/>
  <c r="C84" i="37" s="1"/>
  <c r="L37" i="7"/>
  <c r="G16" i="7"/>
  <c r="P21" i="34" s="1"/>
  <c r="J16" i="7"/>
  <c r="D16" i="7"/>
  <c r="C21" i="35" s="1"/>
  <c r="J17" i="7"/>
  <c r="I46" i="7"/>
  <c r="O46" i="7"/>
  <c r="C51" i="37" s="1"/>
  <c r="G88" i="7"/>
  <c r="P93" i="34" s="1"/>
  <c r="O21" i="7"/>
  <c r="C26" i="37" s="1"/>
  <c r="F57" i="7"/>
  <c r="C62" i="32" s="1"/>
  <c r="G30" i="7"/>
  <c r="P35" i="34" s="1"/>
  <c r="F35" i="7"/>
  <c r="C40" i="32" s="1"/>
  <c r="H35" i="7"/>
  <c r="P40" i="33" s="1"/>
  <c r="K56" i="7"/>
  <c r="G28" i="7"/>
  <c r="P33" i="34" s="1"/>
  <c r="O28" i="7"/>
  <c r="P33" i="37" s="1"/>
  <c r="F28" i="7"/>
  <c r="F65" i="7"/>
  <c r="P70" i="32" s="1"/>
  <c r="K75" i="7"/>
  <c r="G33" i="7"/>
  <c r="P38" i="34" s="1"/>
  <c r="O74" i="7"/>
  <c r="O45" i="7"/>
  <c r="G92" i="7"/>
  <c r="P97" i="34" s="1"/>
  <c r="J92" i="7"/>
  <c r="K92" i="7"/>
  <c r="C92" i="7"/>
  <c r="P97" i="18" s="1"/>
  <c r="O92" i="7"/>
  <c r="P97" i="37" s="1"/>
  <c r="L49" i="7"/>
  <c r="J81" i="7"/>
  <c r="F81" i="7"/>
  <c r="D81" i="7"/>
  <c r="C86" i="31" s="1"/>
  <c r="H81" i="7"/>
  <c r="G54" i="7"/>
  <c r="P59" i="34" s="1"/>
  <c r="C54" i="7"/>
  <c r="W13" i="35"/>
  <c r="W7" i="36"/>
  <c r="W13" i="36"/>
  <c r="W7" i="37"/>
  <c r="W13" i="37"/>
  <c r="K7" i="36"/>
  <c r="K13" i="36"/>
  <c r="C42" i="32"/>
  <c r="B19" i="37"/>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B19" i="31"/>
  <c r="O19" i="40"/>
  <c r="W6" i="36"/>
  <c r="W8" i="35"/>
  <c r="R15" i="4"/>
  <c r="F10" i="39" s="1"/>
  <c r="K8" i="33"/>
  <c r="K8" i="37"/>
  <c r="K12" i="37" s="1"/>
  <c r="W8" i="37"/>
  <c r="W10" i="35"/>
  <c r="K12" i="34"/>
  <c r="K9" i="34"/>
  <c r="K12" i="35"/>
  <c r="K9" i="37"/>
  <c r="K10" i="37"/>
  <c r="W10" i="37"/>
  <c r="W12" i="37"/>
  <c r="W9" i="37"/>
  <c r="P51" i="37" l="1"/>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H25" i="39" s="1"/>
  <c r="R82" i="8"/>
  <c r="Q83" i="34" s="1"/>
  <c r="E96" i="31"/>
  <c r="E32" i="36"/>
  <c r="J31" i="39" s="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D75" i="39"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31"/>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E76" i="31"/>
  <c r="E58" i="31"/>
  <c r="E35" i="18"/>
  <c r="E35" i="34"/>
  <c r="E35" i="33"/>
  <c r="E35" i="32"/>
  <c r="R85" i="8"/>
  <c r="H85" i="8"/>
  <c r="E35" i="40"/>
  <c r="F35" i="40" s="1"/>
  <c r="Q96" i="40"/>
  <c r="Q96" i="34"/>
  <c r="E96" i="36"/>
  <c r="J95" i="39" s="1"/>
  <c r="R89" i="8"/>
  <c r="R27" i="8"/>
  <c r="R53" i="8"/>
  <c r="H53" i="8"/>
  <c r="E83" i="32"/>
  <c r="Q96" i="33"/>
  <c r="Q96" i="37"/>
  <c r="E96" i="34"/>
  <c r="E68" i="36"/>
  <c r="J67" i="39" s="1"/>
  <c r="Q82" i="40"/>
  <c r="E82" i="35"/>
  <c r="E82" i="31"/>
  <c r="Q82" i="35"/>
  <c r="Q82" i="31"/>
  <c r="E34" i="40"/>
  <c r="F34" i="40" s="1"/>
  <c r="Q92" i="34"/>
  <c r="H87" i="8"/>
  <c r="I88" i="7"/>
  <c r="P79" i="32"/>
  <c r="C79" i="34"/>
  <c r="C79" i="32"/>
  <c r="C83" i="34"/>
  <c r="P83" i="32"/>
  <c r="C67" i="32"/>
  <c r="P67" i="32"/>
  <c r="C67" i="34"/>
  <c r="C62" i="34"/>
  <c r="P62" i="32"/>
  <c r="C42" i="34"/>
  <c r="P31" i="32"/>
  <c r="F46" i="7"/>
  <c r="E16" i="7"/>
  <c r="P21" i="35" s="1"/>
  <c r="E56" i="7"/>
  <c r="P61" i="35" s="1"/>
  <c r="O62" i="6"/>
  <c r="M63" i="7" s="1"/>
  <c r="O74" i="6"/>
  <c r="M75" i="7" s="1"/>
  <c r="O23" i="6"/>
  <c r="M24" i="7" s="1"/>
  <c r="J26" i="7"/>
  <c r="P82" i="33"/>
  <c r="C82" i="33"/>
  <c r="F82" i="33" s="1"/>
  <c r="P88" i="33"/>
  <c r="P51" i="33"/>
  <c r="O89" i="6"/>
  <c r="M90" i="7" s="1"/>
  <c r="O76" i="6"/>
  <c r="M77" i="7" s="1"/>
  <c r="P78" i="33"/>
  <c r="O82" i="6"/>
  <c r="M83" i="7" s="1"/>
  <c r="O30" i="6"/>
  <c r="M31" i="7" s="1"/>
  <c r="O24" i="6"/>
  <c r="M25" i="7" s="1"/>
  <c r="H15" i="7"/>
  <c r="C20" i="33" s="1"/>
  <c r="C79" i="33"/>
  <c r="O83" i="6"/>
  <c r="P83" i="6" s="1"/>
  <c r="O42" i="6"/>
  <c r="M43" i="7" s="1"/>
  <c r="O72" i="6"/>
  <c r="M73" i="7" s="1"/>
  <c r="D49" i="7"/>
  <c r="P54" i="31" s="1"/>
  <c r="P21" i="6"/>
  <c r="D81" i="39"/>
  <c r="C44" i="18"/>
  <c r="P52" i="31"/>
  <c r="C52" i="35"/>
  <c r="C52" i="31"/>
  <c r="C88" i="31"/>
  <c r="P88" i="31"/>
  <c r="C88" i="35"/>
  <c r="D65" i="7"/>
  <c r="C70" i="31" s="1"/>
  <c r="C42" i="31"/>
  <c r="P42" i="31"/>
  <c r="O88" i="6"/>
  <c r="M89" i="7" s="1"/>
  <c r="O50" i="6"/>
  <c r="P50" i="6" s="1"/>
  <c r="O20" i="6"/>
  <c r="M21" i="7" s="1"/>
  <c r="O14" i="6"/>
  <c r="M15" i="7" s="1"/>
  <c r="C97" i="31"/>
  <c r="O64" i="6"/>
  <c r="M65" i="7" s="1"/>
  <c r="O31" i="6"/>
  <c r="M32" i="7" s="1"/>
  <c r="O49" i="6"/>
  <c r="M50" i="7" s="1"/>
  <c r="P38" i="18"/>
  <c r="C62" i="18"/>
  <c r="P62" i="18"/>
  <c r="P78" i="18"/>
  <c r="C78"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G94" i="7"/>
  <c r="P99" i="34" s="1"/>
  <c r="O90" i="7"/>
  <c r="C31" i="7"/>
  <c r="G25" i="7"/>
  <c r="P30" i="34" s="1"/>
  <c r="C66" i="7"/>
  <c r="J61" i="7"/>
  <c r="O38" i="7"/>
  <c r="C38" i="7"/>
  <c r="O36" i="7"/>
  <c r="P41" i="37" s="1"/>
  <c r="P83" i="18"/>
  <c r="C83" i="18"/>
  <c r="C53" i="33"/>
  <c r="P53" i="33"/>
  <c r="I64" i="7"/>
  <c r="J67" i="7"/>
  <c r="I14" i="7"/>
  <c r="P59" i="37"/>
  <c r="F41" i="7"/>
  <c r="J41" i="7"/>
  <c r="P31" i="37"/>
  <c r="K18" i="7"/>
  <c r="I86" i="7"/>
  <c r="L90" i="7"/>
  <c r="C81" i="33"/>
  <c r="J31" i="7"/>
  <c r="C77" i="33"/>
  <c r="P77" i="33"/>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59" i="33"/>
  <c r="C26" i="33"/>
  <c r="P26" i="33"/>
  <c r="P50" i="33"/>
  <c r="C50" i="33"/>
  <c r="C80" i="34"/>
  <c r="C78" i="31"/>
  <c r="C86" i="34"/>
  <c r="P86" i="32"/>
  <c r="C86" i="32"/>
  <c r="C62" i="35"/>
  <c r="C62" i="31"/>
  <c r="P42" i="18"/>
  <c r="P26" i="18"/>
  <c r="C26" i="18"/>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1" i="33"/>
  <c r="C31" i="34"/>
  <c r="P29" i="31"/>
  <c r="C34" i="31"/>
  <c r="C33" i="37"/>
  <c r="C39" i="32"/>
  <c r="C29" i="37"/>
  <c r="C33" i="32"/>
  <c r="C29" i="34"/>
  <c r="B20" i="32"/>
  <c r="O20" i="35"/>
  <c r="B20" i="40"/>
  <c r="O20" i="37"/>
  <c r="B20" i="36"/>
  <c r="O20" i="18"/>
  <c r="B20" i="37"/>
  <c r="B20" i="34"/>
  <c r="B20" i="31"/>
  <c r="O20" i="40"/>
  <c r="O20" i="32"/>
  <c r="O20" i="36"/>
  <c r="B20" i="35"/>
  <c r="O20" i="34"/>
  <c r="B20" i="18"/>
  <c r="P80" i="32"/>
  <c r="P84" i="31"/>
  <c r="C84" i="35"/>
  <c r="C21" i="31"/>
  <c r="P21" i="31"/>
  <c r="C55" i="33"/>
  <c r="P55" i="33"/>
  <c r="C80" i="33"/>
  <c r="P80" i="33"/>
  <c r="C41" i="34"/>
  <c r="C41" i="32"/>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C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H81" i="39"/>
  <c r="K10" i="31"/>
  <c r="K12" i="31"/>
  <c r="K9" i="31"/>
  <c r="W12" i="33"/>
  <c r="W10" i="33"/>
  <c r="D12" i="39"/>
  <c r="W6" i="34"/>
  <c r="K98" i="39"/>
  <c r="K66" i="39"/>
  <c r="K34" i="39"/>
  <c r="K75" i="39"/>
  <c r="K43" i="39"/>
  <c r="K9" i="18"/>
  <c r="C31" i="35"/>
  <c r="C29" i="32"/>
  <c r="P93" i="32"/>
  <c r="P33" i="31"/>
  <c r="P86" i="31"/>
  <c r="C83" i="32"/>
  <c r="P76" i="33"/>
  <c r="P44" i="33"/>
  <c r="P88" i="18"/>
  <c r="C86" i="35"/>
  <c r="C97" i="18"/>
  <c r="C64" i="33"/>
  <c r="C38" i="18"/>
  <c r="C33" i="31"/>
  <c r="C93" i="34"/>
  <c r="C68" i="18"/>
  <c r="P82" i="18"/>
  <c r="P31" i="31"/>
  <c r="P90" i="32"/>
  <c r="C94" i="31"/>
  <c r="P78" i="31"/>
  <c r="C82" i="35"/>
  <c r="P94" i="31"/>
  <c r="C90" i="34"/>
  <c r="P41" i="31"/>
  <c r="C41" i="35"/>
  <c r="C63" i="32"/>
  <c r="P21" i="37" l="1"/>
  <c r="P22" i="37"/>
  <c r="P28" i="18"/>
  <c r="H34" i="39"/>
  <c r="C45" i="34"/>
  <c r="P63" i="32"/>
  <c r="P54" i="18"/>
  <c r="C52" i="18"/>
  <c r="P54" i="37"/>
  <c r="C61" i="33"/>
  <c r="F61" i="33" s="1"/>
  <c r="H61" i="33" s="1"/>
  <c r="P41" i="33"/>
  <c r="P34" i="18"/>
  <c r="C68" i="37"/>
  <c r="P48" i="18"/>
  <c r="P53" i="37"/>
  <c r="C35" i="33"/>
  <c r="F35" i="33" s="1"/>
  <c r="H35" i="33" s="1"/>
  <c r="C50" i="32"/>
  <c r="C50" i="34"/>
  <c r="C89" i="33"/>
  <c r="C39" i="35"/>
  <c r="P47" i="33"/>
  <c r="C45" i="33"/>
  <c r="P52" i="32"/>
  <c r="F88" i="31"/>
  <c r="H88" i="31" s="1"/>
  <c r="P68" i="32"/>
  <c r="C58" i="33"/>
  <c r="P80" i="18"/>
  <c r="H69" i="39"/>
  <c r="P45" i="32"/>
  <c r="P77" i="37"/>
  <c r="C28" i="32"/>
  <c r="P28" i="32"/>
  <c r="P32" i="37"/>
  <c r="C35" i="31"/>
  <c r="F35" i="31" s="1"/>
  <c r="G35" i="31" s="1"/>
  <c r="C45" i="31"/>
  <c r="C38" i="35"/>
  <c r="P38" i="31"/>
  <c r="C48" i="33"/>
  <c r="P34" i="33"/>
  <c r="P45" i="31"/>
  <c r="C35" i="35"/>
  <c r="F35" i="35" s="1"/>
  <c r="P38" i="32"/>
  <c r="C34" i="34"/>
  <c r="F34" i="34" s="1"/>
  <c r="H34" i="34" s="1"/>
  <c r="C32" i="35"/>
  <c r="C34" i="32"/>
  <c r="C35" i="18"/>
  <c r="C32" i="31"/>
  <c r="P21" i="18"/>
  <c r="C19" i="32"/>
  <c r="Q76" i="18"/>
  <c r="R76" i="18" s="1"/>
  <c r="Q20" i="40"/>
  <c r="Q76" i="33"/>
  <c r="E52" i="33"/>
  <c r="F52" i="33" s="1"/>
  <c r="E52" i="34"/>
  <c r="Q52" i="37"/>
  <c r="C53" i="34"/>
  <c r="C53" i="32"/>
  <c r="P53" i="32"/>
  <c r="P85" i="32"/>
  <c r="P77" i="18"/>
  <c r="K19" i="39"/>
  <c r="K51" i="39"/>
  <c r="K83" i="39"/>
  <c r="K42" i="39"/>
  <c r="K74" i="39"/>
  <c r="E99" i="36"/>
  <c r="J98" i="39" s="1"/>
  <c r="C79" i="18"/>
  <c r="C38" i="32"/>
  <c r="R82" i="31"/>
  <c r="Q58" i="35"/>
  <c r="E83" i="40"/>
  <c r="F83" i="40" s="1"/>
  <c r="Q34" i="40"/>
  <c r="B20" i="33"/>
  <c r="O20" i="31"/>
  <c r="O20" i="33"/>
  <c r="B16" i="7"/>
  <c r="P78" i="37"/>
  <c r="C78" i="37"/>
  <c r="C88" i="32"/>
  <c r="K27" i="39"/>
  <c r="K59" i="39"/>
  <c r="K91" i="39"/>
  <c r="K50" i="39"/>
  <c r="K82" i="39"/>
  <c r="C31" i="18"/>
  <c r="Q83" i="33"/>
  <c r="C85" i="32"/>
  <c r="P55" i="18"/>
  <c r="P88" i="32"/>
  <c r="C28" i="33"/>
  <c r="P76" i="6"/>
  <c r="Q58" i="37"/>
  <c r="C35" i="32"/>
  <c r="F35" i="32" s="1"/>
  <c r="C35" i="34"/>
  <c r="F35" i="34" s="1"/>
  <c r="C30" i="32"/>
  <c r="P51" i="18"/>
  <c r="C48" i="35"/>
  <c r="K35" i="39"/>
  <c r="K67" i="39"/>
  <c r="K26" i="39"/>
  <c r="K58" i="39"/>
  <c r="P24" i="6"/>
  <c r="E83" i="37"/>
  <c r="C82" i="39" s="1"/>
  <c r="P22" i="31"/>
  <c r="M94" i="7"/>
  <c r="E83" i="31"/>
  <c r="D34" i="39"/>
  <c r="P73" i="33"/>
  <c r="C73" i="33"/>
  <c r="P68" i="31"/>
  <c r="F82" i="34"/>
  <c r="H82" i="34" s="1"/>
  <c r="C52" i="34"/>
  <c r="C52" i="37"/>
  <c r="P52" i="37"/>
  <c r="R52" i="37" s="1"/>
  <c r="C69" i="18"/>
  <c r="C68" i="31"/>
  <c r="P44" i="31"/>
  <c r="P96" i="32"/>
  <c r="P34" i="31"/>
  <c r="C61" i="34"/>
  <c r="C43" i="32"/>
  <c r="C61" i="31"/>
  <c r="C92" i="33"/>
  <c r="C56" i="34"/>
  <c r="C90" i="37"/>
  <c r="C56" i="32"/>
  <c r="P52" i="33"/>
  <c r="P42" i="33"/>
  <c r="C68" i="34"/>
  <c r="F68" i="34" s="1"/>
  <c r="F52" i="34"/>
  <c r="H52" i="34" s="1"/>
  <c r="D35" i="39"/>
  <c r="P57" i="31"/>
  <c r="P44" i="37"/>
  <c r="P20" i="33"/>
  <c r="P59" i="31"/>
  <c r="C44" i="35"/>
  <c r="C92" i="34"/>
  <c r="C82" i="32"/>
  <c r="F82" i="32" s="1"/>
  <c r="C39" i="31"/>
  <c r="C29" i="18"/>
  <c r="C37" i="33"/>
  <c r="C77" i="31"/>
  <c r="C55" i="32"/>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Q35" i="18"/>
  <c r="R35" i="18" s="1"/>
  <c r="Q35" i="35"/>
  <c r="R35" i="35" s="1"/>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R76" i="40" s="1"/>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R94" i="31" s="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R22" i="37" s="1"/>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E38" i="18"/>
  <c r="D37" i="39" s="1"/>
  <c r="Q38" i="34"/>
  <c r="E38" i="31"/>
  <c r="E38" i="34"/>
  <c r="F38" i="34" s="1"/>
  <c r="G38" i="34" s="1"/>
  <c r="Q38" i="37"/>
  <c r="Q38" i="33"/>
  <c r="Q38" i="31"/>
  <c r="R38" i="31" s="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R28" i="18" s="1"/>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F31" i="34" s="1"/>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F43" i="32" s="1"/>
  <c r="E43" i="18"/>
  <c r="Q43" i="40"/>
  <c r="R43" i="40" s="1"/>
  <c r="E45" i="18"/>
  <c r="D44" i="39" s="1"/>
  <c r="E45" i="37"/>
  <c r="C44" i="39" s="1"/>
  <c r="Q45" i="36"/>
  <c r="R45" i="36" s="1"/>
  <c r="Q45" i="35"/>
  <c r="R45" i="35" s="1"/>
  <c r="S45" i="35" s="1"/>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R47" i="40" s="1"/>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R21" i="37" s="1"/>
  <c r="S21" i="37" s="1"/>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R44" i="37" s="1"/>
  <c r="E44" i="18"/>
  <c r="E44" i="37"/>
  <c r="C43" i="39" s="1"/>
  <c r="Q44" i="36"/>
  <c r="R44" i="36" s="1"/>
  <c r="Q44" i="35"/>
  <c r="R44" i="35" s="1"/>
  <c r="T44" i="35" s="1"/>
  <c r="Q44" i="34"/>
  <c r="R44" i="34" s="1"/>
  <c r="Q44" i="33"/>
  <c r="R44" i="33" s="1"/>
  <c r="Q44" i="32"/>
  <c r="Q44" i="31"/>
  <c r="R44" i="31" s="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E48" i="18"/>
  <c r="E48" i="36"/>
  <c r="J47" i="39" s="1"/>
  <c r="E48" i="35"/>
  <c r="F48" i="35" s="1"/>
  <c r="E48" i="33"/>
  <c r="E48" i="31"/>
  <c r="E48" i="37"/>
  <c r="Q48" i="40"/>
  <c r="R48" i="40" s="1"/>
  <c r="E48" i="40"/>
  <c r="L47" i="39" s="1"/>
  <c r="Q57" i="37"/>
  <c r="R57" i="37" s="1"/>
  <c r="E57" i="37"/>
  <c r="E57" i="36"/>
  <c r="Q57" i="35"/>
  <c r="R57" i="35" s="1"/>
  <c r="Q57" i="34"/>
  <c r="R57" i="34" s="1"/>
  <c r="Q57" i="33"/>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35" i="18"/>
  <c r="F24" i="18"/>
  <c r="F82" i="18"/>
  <c r="W8" i="32"/>
  <c r="K8" i="32"/>
  <c r="K10" i="18"/>
  <c r="K12" i="18"/>
  <c r="R40" i="40"/>
  <c r="R60" i="40"/>
  <c r="R84" i="40"/>
  <c r="R34" i="40"/>
  <c r="R38" i="40"/>
  <c r="R92" i="40"/>
  <c r="R61"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76" i="37"/>
  <c r="H76" i="37" s="1"/>
  <c r="F68" i="31"/>
  <c r="G68" i="31" s="1"/>
  <c r="R61" i="35"/>
  <c r="T61" i="35" s="1"/>
  <c r="F36" i="36"/>
  <c r="H36" i="36" s="1"/>
  <c r="F52" i="18"/>
  <c r="R96" i="35"/>
  <c r="R94" i="35"/>
  <c r="R82" i="35"/>
  <c r="F61" i="36"/>
  <c r="F58" i="36"/>
  <c r="F69" i="36"/>
  <c r="F90" i="36"/>
  <c r="F35" i="36"/>
  <c r="F99" i="36"/>
  <c r="F64" i="36"/>
  <c r="F86" i="36"/>
  <c r="F96" i="36"/>
  <c r="F30" i="36"/>
  <c r="F32" i="36"/>
  <c r="F82" i="36"/>
  <c r="W10" i="18"/>
  <c r="W9" i="18"/>
  <c r="W12" i="18"/>
  <c r="F83" i="31"/>
  <c r="G8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96" i="37"/>
  <c r="H96" i="37" s="1"/>
  <c r="F82" i="31"/>
  <c r="G82" i="31" s="1"/>
  <c r="R78" i="35"/>
  <c r="S78" i="35" s="1"/>
  <c r="R80" i="35"/>
  <c r="S80" i="35" s="1"/>
  <c r="R58" i="35"/>
  <c r="S58" i="35" s="1"/>
  <c r="F82" i="37"/>
  <c r="G82" i="37" s="1"/>
  <c r="F99" i="37"/>
  <c r="H99" i="37" s="1"/>
  <c r="F68" i="37"/>
  <c r="F84" i="31"/>
  <c r="G84" i="31" s="1"/>
  <c r="T69" i="36"/>
  <c r="S69" i="36"/>
  <c r="T64" i="35"/>
  <c r="H82" i="33"/>
  <c r="G82" i="33"/>
  <c r="T62" i="18"/>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G88" i="31"/>
  <c r="T99" i="35"/>
  <c r="R76" i="34"/>
  <c r="R58" i="34"/>
  <c r="R98" i="34"/>
  <c r="R32" i="34"/>
  <c r="R52" i="34"/>
  <c r="R38" i="34"/>
  <c r="R36" i="34"/>
  <c r="R26" i="34"/>
  <c r="R96" i="34"/>
  <c r="R82" i="34"/>
  <c r="R35" i="34"/>
  <c r="R34" i="34"/>
  <c r="R61" i="34"/>
  <c r="R83" i="34"/>
  <c r="R92" i="34"/>
  <c r="T52" i="31"/>
  <c r="S96" i="18"/>
  <c r="S41" i="36"/>
  <c r="G82" i="34" l="1"/>
  <c r="F21" i="34"/>
  <c r="R22" i="31"/>
  <c r="F25" i="34"/>
  <c r="R21" i="18"/>
  <c r="T21" i="18" s="1"/>
  <c r="F19" i="32"/>
  <c r="S68" i="37"/>
  <c r="F73" i="34"/>
  <c r="G73" i="34" s="1"/>
  <c r="S35" i="33"/>
  <c r="R33" i="33"/>
  <c r="R45" i="18"/>
  <c r="T61" i="37"/>
  <c r="R57" i="33"/>
  <c r="T57" i="33" s="1"/>
  <c r="R49" i="33"/>
  <c r="S49" i="33" s="1"/>
  <c r="F50" i="32"/>
  <c r="S64" i="33"/>
  <c r="F48" i="32"/>
  <c r="R51" i="18"/>
  <c r="R41" i="33"/>
  <c r="S41" i="33" s="1"/>
  <c r="R47" i="37"/>
  <c r="S47" i="37" s="1"/>
  <c r="G52" i="34"/>
  <c r="F50" i="34"/>
  <c r="H50" i="34" s="1"/>
  <c r="R55" i="18"/>
  <c r="R54" i="18"/>
  <c r="R32" i="37"/>
  <c r="T32" i="37" s="1"/>
  <c r="R63" i="31"/>
  <c r="R62" i="33"/>
  <c r="T62" i="33" s="1"/>
  <c r="R85" i="37"/>
  <c r="S85" i="37" s="1"/>
  <c r="F28" i="32"/>
  <c r="F48" i="34"/>
  <c r="G48" i="34" s="1"/>
  <c r="F44" i="35"/>
  <c r="R42" i="33"/>
  <c r="T42" i="33" s="1"/>
  <c r="R45" i="31"/>
  <c r="T45" i="31" s="1"/>
  <c r="F38" i="32"/>
  <c r="F38" i="35"/>
  <c r="G38" i="35" s="1"/>
  <c r="F32" i="35"/>
  <c r="F44" i="32"/>
  <c r="R34" i="31"/>
  <c r="S34" i="31" s="1"/>
  <c r="F30" i="32"/>
  <c r="R34" i="33"/>
  <c r="S34" i="33" s="1"/>
  <c r="S36" i="35"/>
  <c r="R40" i="37"/>
  <c r="T40" i="37" s="1"/>
  <c r="S82" i="37"/>
  <c r="H51" i="39"/>
  <c r="F96" i="33"/>
  <c r="H96" i="33" s="1"/>
  <c r="F53" i="31"/>
  <c r="H53" i="31" s="1"/>
  <c r="F87" i="36"/>
  <c r="F80" i="31"/>
  <c r="H80" i="31" s="1"/>
  <c r="R69" i="31"/>
  <c r="S69" i="31" s="1"/>
  <c r="H35" i="34"/>
  <c r="G35" i="34"/>
  <c r="G68" i="34"/>
  <c r="H68" i="34"/>
  <c r="T45" i="18"/>
  <c r="T77" i="18"/>
  <c r="H76" i="18"/>
  <c r="S28" i="18"/>
  <c r="T86" i="31"/>
  <c r="R90" i="31"/>
  <c r="T94" i="36"/>
  <c r="S88" i="18"/>
  <c r="T38" i="18"/>
  <c r="S69" i="18"/>
  <c r="T26" i="18"/>
  <c r="T40" i="18"/>
  <c r="S83" i="18"/>
  <c r="S44" i="18"/>
  <c r="T97" i="36"/>
  <c r="T29" i="18"/>
  <c r="S31" i="18"/>
  <c r="G76" i="36"/>
  <c r="T54" i="31"/>
  <c r="T74" i="31"/>
  <c r="S78" i="31"/>
  <c r="S88" i="31"/>
  <c r="S62" i="18"/>
  <c r="T96" i="31"/>
  <c r="T34" i="31"/>
  <c r="S42" i="18"/>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H48" i="31" s="1"/>
  <c r="R23" i="33"/>
  <c r="S23" i="33" s="1"/>
  <c r="F73" i="32"/>
  <c r="R91" i="37"/>
  <c r="S91" i="37" s="1"/>
  <c r="F71" i="32"/>
  <c r="F27" i="37"/>
  <c r="G27" i="37" s="1"/>
  <c r="R83" i="37"/>
  <c r="R68" i="31"/>
  <c r="T68" i="31" s="1"/>
  <c r="R61" i="18"/>
  <c r="T22" i="18"/>
  <c r="R81" i="3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H34" i="18" s="1"/>
  <c r="R32" i="18"/>
  <c r="T32" i="18" s="1"/>
  <c r="F36" i="31"/>
  <c r="G36" i="31" s="1"/>
  <c r="F66" i="35"/>
  <c r="H66" i="35" s="1"/>
  <c r="F64" i="35"/>
  <c r="H64" i="35" s="1"/>
  <c r="T88" i="33"/>
  <c r="M52" i="39"/>
  <c r="L39" i="39"/>
  <c r="D33" i="38" s="1"/>
  <c r="L71" i="39"/>
  <c r="G34" i="34"/>
  <c r="F61" i="18"/>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R60" i="33"/>
  <c r="T60" i="33" s="1"/>
  <c r="F74" i="34"/>
  <c r="F80" i="34"/>
  <c r="H80" i="34" s="1"/>
  <c r="F32" i="37"/>
  <c r="T22" i="31"/>
  <c r="S22" i="31"/>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S68" i="31"/>
  <c r="F26" i="36"/>
  <c r="G26" i="36" s="1"/>
  <c r="H36" i="34"/>
  <c r="T62" i="31"/>
  <c r="S62" i="31"/>
  <c r="S22" i="37"/>
  <c r="T22" i="37"/>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22" i="36"/>
  <c r="H26" i="33"/>
  <c r="H38" i="34"/>
  <c r="H82" i="31"/>
  <c r="G52" i="37"/>
  <c r="H98" i="34"/>
  <c r="G98" i="34"/>
  <c r="S34" i="18"/>
  <c r="T34" i="18"/>
  <c r="H50" i="18"/>
  <c r="G50" i="18"/>
  <c r="T88" i="31"/>
  <c r="T51" i="33"/>
  <c r="S86" i="33"/>
  <c r="S42"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T69" i="37"/>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T47" i="37"/>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33" i="33"/>
  <c r="S33" i="33"/>
  <c r="T48" i="33"/>
  <c r="S48" i="33"/>
  <c r="S29" i="33"/>
  <c r="T29" i="33"/>
  <c r="T45" i="33"/>
  <c r="T73" i="33"/>
  <c r="G33" i="35"/>
  <c r="T79" i="37"/>
  <c r="S79" i="37"/>
  <c r="R46" i="18"/>
  <c r="T46" i="18" s="1"/>
  <c r="T81" i="33"/>
  <c r="S70" i="34"/>
  <c r="T67" i="35"/>
  <c r="H68" i="37"/>
  <c r="G68" i="37"/>
  <c r="T97" i="37"/>
  <c r="S41" i="37"/>
  <c r="G56" i="31"/>
  <c r="H56" i="31"/>
  <c r="T21" i="37"/>
  <c r="G27" i="34"/>
  <c r="H27" i="34"/>
  <c r="T43" i="33"/>
  <c r="G42"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G64" i="35"/>
  <c r="S32" i="33"/>
  <c r="S33" i="37"/>
  <c r="S29" i="37"/>
  <c r="H35" i="31"/>
  <c r="G36" i="35"/>
  <c r="H19" i="35"/>
  <c r="J19" i="35" s="1"/>
  <c r="K19" i="35" s="1"/>
  <c r="E17" i="17" s="1"/>
  <c r="H20" i="31"/>
  <c r="J20" i="31" s="1"/>
  <c r="G58" i="31"/>
  <c r="G36" i="36"/>
  <c r="G19" i="37"/>
  <c r="I19" i="37" s="1"/>
  <c r="G96" i="37"/>
  <c r="H36" i="37"/>
  <c r="G35" i="37"/>
  <c r="H25" i="34"/>
  <c r="G25" i="34"/>
  <c r="T57" i="31"/>
  <c r="S57" i="31"/>
  <c r="T48" i="18"/>
  <c r="S48" i="18"/>
  <c r="S33" i="31"/>
  <c r="T33" i="31"/>
  <c r="S31" i="31"/>
  <c r="T31" i="31"/>
  <c r="G93" i="34"/>
  <c r="H93" i="34"/>
  <c r="T59" i="31"/>
  <c r="S59" i="31"/>
  <c r="H81" i="34"/>
  <c r="S81" i="31"/>
  <c r="T81" i="31"/>
  <c r="H57" i="35"/>
  <c r="G57" i="35"/>
  <c r="G48" i="31"/>
  <c r="H48" i="35"/>
  <c r="G48" i="35"/>
  <c r="H44" i="35"/>
  <c r="G44" i="35"/>
  <c r="T44" i="31"/>
  <c r="S44" i="31"/>
  <c r="T44" i="33"/>
  <c r="S44" i="33"/>
  <c r="S44" i="37"/>
  <c r="T44" i="37"/>
  <c r="H85" i="34"/>
  <c r="G85" i="34"/>
  <c r="T49" i="33"/>
  <c r="S41" i="31"/>
  <c r="T41" i="31"/>
  <c r="T41" i="33"/>
  <c r="S86" i="31"/>
  <c r="T78" i="31"/>
  <c r="R63" i="32"/>
  <c r="R93" i="32"/>
  <c r="R74" i="32"/>
  <c r="T56" i="36"/>
  <c r="S78" i="36"/>
  <c r="S64" i="36"/>
  <c r="S34" i="36"/>
  <c r="T46" i="36"/>
  <c r="R96" i="32"/>
  <c r="R90" i="32"/>
  <c r="R68" i="32"/>
  <c r="R85" i="32"/>
  <c r="R49" i="32"/>
  <c r="D41" i="38"/>
  <c r="T32" i="36"/>
  <c r="T50" i="36"/>
  <c r="S89" i="36"/>
  <c r="G43" i="34"/>
  <c r="H84" i="34"/>
  <c r="G84" i="34"/>
  <c r="F25" i="33"/>
  <c r="H24" i="39"/>
  <c r="L58" i="39"/>
  <c r="F59" i="40"/>
  <c r="D58" i="39"/>
  <c r="F59" i="18"/>
  <c r="F81" i="33"/>
  <c r="H80" i="39"/>
  <c r="H67" i="34"/>
  <c r="G67" i="34"/>
  <c r="F79" i="33"/>
  <c r="H78" i="39"/>
  <c r="D74" i="39"/>
  <c r="F75" i="18"/>
  <c r="S48" i="37"/>
  <c r="T48" i="37"/>
  <c r="H42" i="34"/>
  <c r="G42" i="34"/>
  <c r="F42" i="37"/>
  <c r="C41" i="39"/>
  <c r="F42" i="33"/>
  <c r="H41" i="39"/>
  <c r="R46" i="33"/>
  <c r="G21" i="34"/>
  <c r="H21" i="34"/>
  <c r="H28" i="39"/>
  <c r="F29" i="33"/>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44"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48" i="36"/>
  <c r="G86" i="36"/>
  <c r="H86" i="36"/>
  <c r="H19" i="36"/>
  <c r="J19" i="36" s="1"/>
  <c r="K19" i="36" s="1"/>
  <c r="I17" i="17" s="1"/>
  <c r="S43" i="35"/>
  <c r="T43" i="35"/>
  <c r="T97" i="35"/>
  <c r="S97" i="35"/>
  <c r="T40" i="35"/>
  <c r="S40" i="35"/>
  <c r="G52" i="18"/>
  <c r="H52" i="18"/>
  <c r="G83" i="18"/>
  <c r="G61" i="18"/>
  <c r="H61"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H63" i="18"/>
  <c r="G82" i="18"/>
  <c r="H82" i="18"/>
  <c r="G60" i="18"/>
  <c r="G34" i="37"/>
  <c r="H34" i="37"/>
  <c r="H38"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H52"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T69" i="31"/>
  <c r="G96" i="36"/>
  <c r="H96" i="36"/>
  <c r="H94" i="36"/>
  <c r="G99" i="36"/>
  <c r="H99" i="36"/>
  <c r="T82" i="35"/>
  <c r="S82" i="35"/>
  <c r="S65" i="35"/>
  <c r="T65" i="35"/>
  <c r="S38" i="35"/>
  <c r="T38" i="35"/>
  <c r="T39" i="35"/>
  <c r="S39" i="35"/>
  <c r="G84" i="37"/>
  <c r="W10" i="40"/>
  <c r="W12" i="40"/>
  <c r="T24" i="40" s="1"/>
  <c r="W9" i="40"/>
  <c r="S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34" i="36"/>
  <c r="G84" i="36"/>
  <c r="T31" i="35"/>
  <c r="S31" i="35"/>
  <c r="S26" i="35"/>
  <c r="T26" i="35"/>
  <c r="S55" i="35"/>
  <c r="T55" i="35"/>
  <c r="G60" i="37"/>
  <c r="S98" i="40"/>
  <c r="S93" i="40"/>
  <c r="T95" i="40"/>
  <c r="T99" i="40"/>
  <c r="G58" i="18"/>
  <c r="G70" i="18"/>
  <c r="H65"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8" i="18"/>
  <c r="G98" i="18"/>
  <c r="G86" i="18"/>
  <c r="G34" i="18"/>
  <c r="H99" i="18"/>
  <c r="G99" i="18"/>
  <c r="K9" i="40"/>
  <c r="K12" i="40"/>
  <c r="K10" i="40"/>
  <c r="G72" i="31"/>
  <c r="D87" i="38"/>
  <c r="S89" i="18"/>
  <c r="T79" i="18"/>
  <c r="S67" i="18"/>
  <c r="S73" i="18"/>
  <c r="S87" i="18"/>
  <c r="T76" i="18"/>
  <c r="S53" i="18"/>
  <c r="S26" i="18"/>
  <c r="T54" i="18"/>
  <c r="S52" i="18"/>
  <c r="T35" i="18"/>
  <c r="S77" i="18"/>
  <c r="S80" i="18"/>
  <c r="T28" i="18"/>
  <c r="T42" i="18"/>
  <c r="T31" i="18"/>
  <c r="S32"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I20" i="31"/>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H73" i="34" l="1"/>
  <c r="G66" i="35"/>
  <c r="H99" i="34"/>
  <c r="G50" i="34"/>
  <c r="G59" i="36"/>
  <c r="G53" i="36"/>
  <c r="G83" i="36"/>
  <c r="H67" i="31"/>
  <c r="H24" i="36"/>
  <c r="H51" i="36"/>
  <c r="H92" i="37"/>
  <c r="G55" i="18"/>
  <c r="S21" i="18"/>
  <c r="T27" i="31"/>
  <c r="T24" i="37"/>
  <c r="H22" i="34"/>
  <c r="T23" i="33"/>
  <c r="G20" i="34"/>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K20" i="31"/>
  <c r="D18" i="17" s="1"/>
  <c r="K13" i="3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I20" i="34"/>
  <c r="I21" i="34" s="1"/>
  <c r="J20" i="34"/>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I22" i="34"/>
  <c r="J23" i="34" s="1"/>
  <c r="K23" i="34" s="1"/>
  <c r="G21" i="17" s="1"/>
  <c r="J22" i="34"/>
  <c r="L15"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1" i="34" l="1"/>
  <c r="L14" i="38" s="1"/>
  <c r="K20" i="34"/>
  <c r="G18" i="17" s="1"/>
  <c r="L17" i="17"/>
  <c r="E12" i="28" s="1"/>
  <c r="M12" i="38" s="1"/>
  <c r="K22" i="31"/>
  <c r="D20" i="17" s="1"/>
  <c r="K22" i="34"/>
  <c r="G20" i="17" s="1"/>
  <c r="L16" i="38"/>
  <c r="I23" i="34"/>
  <c r="J24" i="34" s="1"/>
  <c r="K24" i="34" s="1"/>
  <c r="G22" i="17" s="1"/>
  <c r="K21" i="34"/>
  <c r="G19"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V22" i="36"/>
  <c r="W22" i="36" s="1"/>
  <c r="Z20" i="17" s="1"/>
  <c r="U22" i="36"/>
  <c r="J23" i="35"/>
  <c r="K23" i="35" s="1"/>
  <c r="E21" i="17" s="1"/>
  <c r="I23" i="35"/>
  <c r="I22" i="40"/>
  <c r="I21" i="32"/>
  <c r="J23" i="37"/>
  <c r="K23" i="37" s="1"/>
  <c r="J21" i="17" s="1"/>
  <c r="I23" i="37"/>
  <c r="O17" i="17" l="1"/>
  <c r="L18" i="17"/>
  <c r="L17" i="38"/>
  <c r="I24" i="34"/>
  <c r="J25" i="34" s="1"/>
  <c r="K25" i="34" s="1"/>
  <c r="G23" i="17" s="1"/>
  <c r="L19" i="17"/>
  <c r="O19"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L18" i="38" l="1"/>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J26" i="34" l="1"/>
  <c r="K26" i="34" s="1"/>
  <c r="G24" i="17" s="1"/>
  <c r="N14" i="38"/>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L19" i="38" l="1"/>
  <c r="I28" i="34"/>
  <c r="J29" i="34" s="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l="1"/>
  <c r="K29" i="36" s="1"/>
  <c r="I27" i="17" s="1"/>
  <c r="I29" i="34"/>
  <c r="J30" i="34" s="1"/>
  <c r="O29" i="40"/>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B30" i="35" l="1"/>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B32" i="40" l="1"/>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O34" i="32"/>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V99" i="37" l="1"/>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<sst xmlns="http://schemas.openxmlformats.org/spreadsheetml/2006/main" count="1446" uniqueCount="343">
  <si>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</si>
  <si>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</si>
  <si>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</si>
  <si>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</si>
  <si>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</si>
  <si>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</si>
  <si>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</si>
  <si>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</si>
  <si>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</si>
  <si>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</si>
  <si>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</si>
  <si>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</si>
  <si>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</si>
  <si>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</si>
  <si>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</si>
  <si>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</si>
  <si>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</si>
  <si>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</si>
  <si>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</si>
  <si>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</si>
  <si>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</si>
  <si>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</si>
  <si>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</si>
  <si>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</si>
  <si>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</si>
  <si>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</si>
  <si>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</si>
  <si>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</si>
  <si>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</si>
  <si>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</si>
  <si>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</si>
  <si>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</si>
  <si>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</si>
  <si>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</si>
  <si>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</si>
  <si>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</si>
  <si>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</si>
  <si>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</si>
  <si>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</si>
  <si>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</si>
  <si>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</si>
  <si>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</si>
  <si>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</si>
  <si>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</si>
  <si>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</si>
  <si>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</si>
  <si>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</si>
  <si>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</si>
  <si>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</si>
  <si>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</si>
  <si>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</si>
  <si>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</si>
  <si>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</si>
  <si>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</si>
  <si>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</si>
  <si>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</si>
  <si>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</si>
  <si>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</si>
  <si>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</si>
  <si>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</si>
  <si>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</si>
  <si>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</si>
  <si>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</si>
  <si>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</si>
  <si>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</si>
  <si>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</si>
  <si>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</si>
  <si>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</si>
  <si>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</si>
  <si>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</si>
  <si>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</si>
  <si>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</si>
  <si>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</si>
  <si>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</si>
  <si>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</si>
  <si>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</si>
  <si>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</si>
  <si>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</si>
  <si>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</si>
  <si>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</si>
  <si>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</si>
  <si>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</si>
  <si>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</si>
  <si>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</si>
  <si>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</si>
  <si>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</si>
  <si>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</si>
  <si>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</si>
  <si>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</si>
  <si>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</si>
  <si>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</si>
  <si>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</si>
  <si>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</si>
  <si>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</si>
  <si>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</si>
  <si>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</si>
  <si>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</si>
  <si>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</si>
  <si>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</si>
  <si>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</si>
  <si>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</si>
  <si>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</si>
  <si>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</si>
  <si>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</si>
  <si>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</si>
  <si>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</si>
  <si>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</si>
  <si>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</si>
  <si>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</si>
  <si>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</si>
  <si>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</si>
  <si>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</si>
  <si>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</si>
  <si>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</si>
  <si>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</si>
  <si>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</si>
  <si>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</si>
  <si>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</si>
  <si>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</si>
  <si>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</si>
  <si>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</si>
  <si>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</si>
  <si>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</si>
  <si>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</si>
  <si>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</si>
  <si>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</si>
  <si>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</si>
  <si>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</si>
  <si>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</si>
  <si>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</si>
  <si>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</si>
  <si>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</si>
  <si>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</si>
  <si>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</si>
  <si>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</si>
  <si>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</si>
  <si>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</si>
  <si>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</si>
  <si>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</si>
  <si>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</si>
  <si>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</si>
  <si>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</si>
  <si>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</si>
  <si>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</si>
  <si>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</si>
  <si>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</si>
  <si>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</si>
  <si>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</si>
  <si>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</si>
  <si>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</si>
  <si>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</si>
  <si>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</si>
  <si>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</si>
  <si>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</si>
  <si>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</si>
  <si>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</si>
  <si>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</si>
  <si>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</si>
  <si>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</si>
  <si>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</si>
  <si>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</si>
  <si>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</si>
  <si>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</si>
  <si>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</si>
  <si>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</si>
  <si>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</si>
  <si>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</si>
  <si>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</si>
  <si>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</si>
  <si>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</si>
  <si>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</si>
  <si>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</si>
  <si>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</si>
  <si>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</si>
  <si>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</si>
  <si>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</si>
  <si>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</si>
  <si>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</si>
  <si>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</si>
  <si>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</si>
  <si>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</si>
  <si>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</si>
  <si>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</si>
  <si>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</si>
  <si>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</si>
  <si>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</si>
  <si>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</si>
  <si>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</si>
  <si>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</si>
  <si>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</si>
  <si>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</si>
  <si>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</si>
  <si>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</si>
  <si>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</si>
  <si>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</si>
  <si>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</si>
  <si>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</si>
  <si>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</si>
  <si>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</si>
  <si>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</si>
  <si>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</si>
  <si>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</si>
  <si>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</si>
  <si>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</si>
  <si>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</si>
  <si>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</si>
  <si>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</si>
  <si>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</si>
  <si>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</si>
  <si>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</si>
  <si>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</si>
  <si>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</si>
  <si>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</si>
  <si>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</si>
  <si>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</si>
  <si>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</si>
  <si>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</si>
  <si>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</si>
  <si>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</si>
  <si>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</si>
  <si>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</si>
  <si>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</si>
  <si>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</si>
  <si>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</si>
  <si>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</si>
  <si>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</si>
  <si>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</si>
  <si>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</si>
  <si>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</si>
  <si>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</si>
  <si>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</si>
  <si>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</si>
  <si>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</si>
  <si>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</si>
  <si>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</si>
  <si>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</si>
  <si>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</si>
  <si>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</si>
  <si>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</si>
  <si>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</si>
  <si>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</si>
  <si>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</si>
  <si>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</si>
  <si>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</si>
  <si>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</si>
  <si>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</si>
  <si>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</si>
  <si>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</si>
  <si>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</si>
  <si>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</si>
  <si>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</si>
  <si>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</si>
  <si>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</si>
  <si>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</si>
  <si>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</si>
  <si>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</si>
  <si>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</si>
  <si>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</si>
  <si>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</si>
  <si>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</si>
  <si>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</si>
  <si>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</si>
  <si>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</si>
  <si>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</si>
  <si>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</si>
  <si>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</si>
  <si>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</si>
  <si>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</si>
  <si>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</si>
  <si>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</si>
  <si>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</si>
  <si>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</si>
  <si>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</si>
  <si>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</si>
  <si>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</si>
  <si>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</si>
  <si>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</si>
  <si>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</si>
  <si>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</si>
  <si>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</si>
  <si>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</si>
  <si>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</si>
  <si>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</si>
  <si>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</si>
  <si>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</si>
  <si>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</si>
  <si>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</si>
  <si>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</si>
  <si>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</si>
  <si>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</si>
  <si>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</si>
  <si>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</si>
  <si>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</si>
  <si>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</si>
  <si>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</si>
  <si>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</si>
  <si>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</si>
  <si>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</si>
  <si>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</si>
  <si>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</si>
  <si>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</si>
  <si>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</si>
  <si>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</si>
  <si>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</si>
  <si>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</si>
  <si>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</si>
  <si>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</si>
  <si>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</si>
  <si>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</si>
  <si>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</si>
  <si>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</si>
  <si>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</si>
  <si>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</si>
  <si>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</si>
  <si>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</si>
  <si>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</si>
  <si>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</si>
  <si>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</si>
  <si>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</si>
  <si>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</si>
  <si>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</si>
  <si>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</si>
  <si>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</si>
  <si>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</si>
  <si>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</si>
  <si>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</si>
  <si>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</si>
  <si>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</si>
  <si>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</si>
  <si>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</si>
  <si>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</si>
  <si>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</si>
  <si>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</si>
  <si>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</si>
  <si>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</si>
  <si>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</si>
  <si>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</si>
  <si>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</si>
  <si>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</si>
  <si>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</si>
  <si>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</si>
  <si>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</si>
  <si>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SAMARINDA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</si>
</sst>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7">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10"/>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5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29" xfId="2" applyFont="1" applyFill="1" applyBorder="1" applyAlignment="1" applyProtection="1">
      <alignment horizontal="center" wrapText="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5" fillId="2" borderId="32" xfId="0" applyFont="1" applyFill="1" applyBorder="1" applyAlignment="1" applyProtection="1">
      <alignment horizontal="center" wrapText="1"/>
    </xf>
    <xf numFmtId="0" fontId="26" fillId="13" borderId="0" xfId="0" applyFont="1" applyFill="1"/>
    <xf numFmtId="0" fontId="0" fillId="13" borderId="0" xfId="0" applyFill="1"/>
    <xf numFmtId="0" fontId="0" fillId="13" borderId="30" xfId="0" applyFill="1" applyBorder="1"/>
    <xf numFmtId="0" fontId="0" fillId="13" borderId="0" xfId="0" applyFill="1" applyBorder="1"/>
    <xf numFmtId="0" fontId="25" fillId="13" borderId="0" xfId="0" applyFont="1" applyFill="1" applyBorder="1" applyAlignment="1">
      <alignment horizontal="center"/>
    </xf>
    <xf numFmtId="0" fontId="0" fillId="13" borderId="0" xfId="0" applyFill="1" applyBorder="1" applyAlignment="1">
      <alignment horizontal="center"/>
    </xf>
    <xf numFmtId="0" fontId="25"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5"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8" fillId="14" borderId="51" xfId="2" applyNumberFormat="1" applyFont="1" applyFill="1" applyBorder="1"/>
    <xf numFmtId="0" fontId="8" fillId="18" borderId="20" xfId="0" applyFont="1" applyFill="1" applyBorder="1" applyAlignment="1">
      <alignment horizontal="center" vertical="center" wrapText="1"/>
    </xf>
    <xf numFmtId="0" fontId="25"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5" fillId="18" borderId="52" xfId="0" applyFont="1" applyFill="1" applyBorder="1" applyAlignment="1">
      <alignment horizontal="center" vertical="center" wrapText="1"/>
    </xf>
    <xf numFmtId="0" fontId="25"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9"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30"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30"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3"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36" fillId="2" borderId="17" xfId="0" applyFont="1" applyFill="1" applyBorder="1" applyAlignment="1">
      <alignment horizontal="center" wrapText="1"/>
    </xf>
    <xf numFmtId="0" fontId="0" fillId="0" borderId="0" xfId="0" applyAlignment="1">
      <alignment vertical="center"/>
    </xf>
    <xf numFmtId="0" fontId="4" fillId="0" borderId="0" xfId="0" applyFont="1" applyBorder="1" applyAlignment="1">
      <alignment vertical="center"/>
    </xf>
    <xf numFmtId="10" fontId="0" fillId="0" borderId="0" xfId="2" applyNumberFormat="1" applyFont="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5" fillId="14" borderId="30" xfId="0" applyNumberFormat="1" applyFont="1" applyFill="1" applyBorder="1" applyAlignment="1">
      <alignment horizontal="center" vertical="center" wrapText="1"/>
    </xf>
    <xf numFmtId="10" fontId="23" fillId="14" borderId="27" xfId="2" applyNumberFormat="1" applyFont="1" applyFill="1" applyBorder="1" applyAlignment="1">
      <alignment vertical="center"/>
    </xf>
    <xf numFmtId="10" fontId="23" fillId="14" borderId="28" xfId="2" applyNumberFormat="1" applyFont="1" applyFill="1" applyBorder="1" applyAlignment="1">
      <alignment vertical="center"/>
    </xf>
    <xf numFmtId="10" fontId="8" fillId="14" borderId="28" xfId="2" applyNumberFormat="1" applyFont="1" applyFill="1" applyBorder="1" applyAlignment="1">
      <alignment vertical="center"/>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8"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1" fillId="0" borderId="66" xfId="0" applyFont="1" applyFill="1" applyBorder="1" applyAlignment="1">
      <alignment horizontal="center"/>
    </xf>
    <xf numFmtId="0" fontId="31" fillId="0" borderId="46" xfId="0" applyFont="1" applyFill="1" applyBorder="1" applyAlignment="1">
      <alignment horizontal="center"/>
    </xf>
    <xf numFmtId="0" fontId="31" fillId="0" borderId="34" xfId="0" applyFont="1" applyFill="1" applyBorder="1" applyAlignment="1">
      <alignment horizontal="center"/>
    </xf>
    <xf numFmtId="0" fontId="32" fillId="0" borderId="45" xfId="0" applyFont="1" applyBorder="1" applyAlignment="1" applyProtection="1">
      <alignment horizontal="center"/>
      <protection locked="0"/>
    </xf>
    <xf numFmtId="0" fontId="32"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4"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AMARINDA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C30">
            <v>32.145558324</v>
          </cell>
        </row>
        <row r="31">
          <cell r="C31">
            <v>32.789183328</v>
          </cell>
        </row>
        <row r="32">
          <cell r="C32">
            <v>33.537048336000005</v>
          </cell>
        </row>
        <row r="33">
          <cell r="C33">
            <v>34.611318323999996</v>
          </cell>
        </row>
        <row r="34">
          <cell r="C34">
            <v>35.013607067999999</v>
          </cell>
        </row>
        <row r="35">
          <cell r="C35">
            <v>35.986904183999997</v>
          </cell>
        </row>
        <row r="36">
          <cell r="C36">
            <v>36.401953236000004</v>
          </cell>
        </row>
        <row r="37">
          <cell r="C37">
            <v>36.806091300000006</v>
          </cell>
        </row>
        <row r="38">
          <cell r="C38">
            <v>37.195311515999997</v>
          </cell>
        </row>
        <row r="39">
          <cell r="C39">
            <v>37.564620720000001</v>
          </cell>
        </row>
        <row r="40">
          <cell r="C40">
            <v>44.846010000000007</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9" t="s">
        <v>212</v>
      </c>
      <c r="C7" s="759"/>
      <c r="D7" s="759"/>
      <c r="E7" s="759"/>
      <c r="F7" s="759"/>
      <c r="G7" s="759"/>
      <c r="H7" s="759"/>
      <c r="I7" s="759"/>
      <c r="J7" s="395"/>
      <c r="K7" s="395"/>
    </row>
    <row r="8" spans="2:11" s="9" customFormat="1">
      <c r="B8" s="10"/>
      <c r="C8" s="10"/>
      <c r="D8" s="10"/>
      <c r="E8" s="10"/>
      <c r="F8" s="10"/>
      <c r="G8" s="10"/>
      <c r="H8" s="10"/>
      <c r="I8" s="10"/>
      <c r="J8" s="10"/>
      <c r="K8" s="10"/>
    </row>
    <row r="9" spans="2:11" ht="44.1" customHeight="1">
      <c r="B9" s="760" t="s">
        <v>227</v>
      </c>
      <c r="C9" s="760"/>
      <c r="D9" s="760"/>
      <c r="E9" s="760"/>
      <c r="F9" s="760"/>
      <c r="G9" s="760"/>
      <c r="H9" s="760"/>
      <c r="I9" s="760"/>
      <c r="J9" s="396"/>
      <c r="K9" s="396"/>
    </row>
    <row r="10" spans="2:11" ht="14.45" customHeight="1">
      <c r="I10" s="397" t="s">
        <v>213</v>
      </c>
    </row>
    <row r="11" spans="2:11" ht="6.75" customHeight="1"/>
    <row r="135" spans="9:9">
      <c r="I135" s="397"/>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25" customWidth="1"/>
    <col min="3" max="3" width="8.85546875" style="470" customWidth="1"/>
    <col min="4" max="4" width="8.28515625" style="470" customWidth="1"/>
    <col min="5" max="5" width="9.85546875" style="470" customWidth="1"/>
    <col min="6" max="6" width="9.140625" style="470" customWidth="1"/>
    <col min="7" max="9" width="8.42578125" style="470" customWidth="1"/>
    <col min="10" max="10" width="8.140625" style="470" customWidth="1"/>
    <col min="11" max="11" width="9.140625" style="470" customWidth="1"/>
    <col min="12" max="13" width="8.85546875" style="6" customWidth="1"/>
    <col min="14" max="14" width="12.28515625" style="470" customWidth="1"/>
    <col min="15" max="15" width="13.85546875" style="6" customWidth="1"/>
    <col min="16" max="16384" width="11.42578125" style="6"/>
  </cols>
  <sheetData>
    <row r="1" spans="2:15" ht="13.5" thickBot="1"/>
    <row r="2" spans="2:15" ht="13.5" thickBot="1">
      <c r="C2" s="527" t="s">
        <v>265</v>
      </c>
      <c r="D2" s="823" t="str">
        <f>city</f>
        <v>SAMARINDA</v>
      </c>
      <c r="E2" s="824"/>
      <c r="F2" s="825"/>
    </row>
    <row r="3" spans="2:15" ht="13.5" thickBot="1">
      <c r="C3" s="527" t="s">
        <v>276</v>
      </c>
      <c r="D3" s="823" t="str">
        <f>province</f>
        <v>Kalimantan Timur</v>
      </c>
      <c r="E3" s="824"/>
      <c r="F3" s="825"/>
    </row>
    <row r="4" spans="2:15" ht="13.5" thickBot="1">
      <c r="B4" s="526"/>
      <c r="C4" s="527" t="s">
        <v>30</v>
      </c>
      <c r="D4" s="823">
        <f>country</f>
        <v>0</v>
      </c>
      <c r="E4" s="824"/>
      <c r="F4" s="825"/>
      <c r="H4" s="826"/>
      <c r="I4" s="826"/>
      <c r="J4" s="826"/>
      <c r="K4" s="826"/>
    </row>
    <row r="5" spans="2:15">
      <c r="B5" s="526"/>
      <c r="H5" s="827"/>
      <c r="I5" s="827"/>
      <c r="J5" s="827"/>
      <c r="K5" s="827"/>
    </row>
    <row r="6" spans="2:15" s="54" customFormat="1" ht="15.75">
      <c r="C6" s="528" t="s">
        <v>291</v>
      </c>
      <c r="D6" s="528"/>
      <c r="E6" s="528"/>
      <c r="F6" s="529"/>
      <c r="G6" s="529"/>
      <c r="H6" s="529"/>
      <c r="I6" s="529"/>
      <c r="J6" s="529"/>
      <c r="K6" s="529"/>
      <c r="N6" s="529"/>
    </row>
    <row r="7" spans="2:15">
      <c r="C7" s="530" t="s">
        <v>292</v>
      </c>
      <c r="D7" s="530"/>
      <c r="E7" s="530"/>
    </row>
    <row r="8" spans="2:15" ht="13.5" thickBot="1">
      <c r="B8" s="530"/>
    </row>
    <row r="9" spans="2:15" ht="13.5" thickBot="1">
      <c r="B9" s="530"/>
      <c r="C9" s="531" t="s">
        <v>293</v>
      </c>
      <c r="D9" s="530"/>
    </row>
    <row r="10" spans="2:15">
      <c r="B10" s="530"/>
      <c r="C10" s="532" t="s">
        <v>95</v>
      </c>
      <c r="D10" s="533">
        <f>Parameters!R26</f>
        <v>0</v>
      </c>
      <c r="E10" s="534" t="s">
        <v>6</v>
      </c>
      <c r="F10" s="533">
        <f>Parameters!R15</f>
        <v>0.15</v>
      </c>
      <c r="G10" s="535" t="s">
        <v>267</v>
      </c>
      <c r="H10" s="536">
        <f>Parameters!R21</f>
        <v>0.24</v>
      </c>
      <c r="I10" s="537"/>
      <c r="J10" s="537"/>
      <c r="K10" s="537"/>
      <c r="L10" s="538"/>
    </row>
    <row r="11" spans="2:15">
      <c r="B11" s="530"/>
      <c r="C11" s="539" t="s">
        <v>262</v>
      </c>
      <c r="D11" s="540">
        <f>Parameters!R16</f>
        <v>0.4</v>
      </c>
      <c r="E11" s="541" t="s">
        <v>261</v>
      </c>
      <c r="F11" s="540">
        <f>Parameters!R17</f>
        <v>0.2</v>
      </c>
      <c r="G11" s="542" t="s">
        <v>146</v>
      </c>
      <c r="H11" s="543">
        <f>Parameters!R27</f>
        <v>0.05</v>
      </c>
      <c r="I11" s="537"/>
      <c r="J11" s="537"/>
      <c r="K11" s="537"/>
      <c r="L11" s="538"/>
    </row>
    <row r="12" spans="2:15" ht="13.5" thickBot="1">
      <c r="B12" s="530"/>
      <c r="C12" s="544" t="s">
        <v>2</v>
      </c>
      <c r="D12" s="545">
        <f>Parameters!R20</f>
        <v>0.43</v>
      </c>
      <c r="E12" s="546" t="s">
        <v>16</v>
      </c>
      <c r="F12" s="545">
        <f>Parameters!R18</f>
        <v>0.24</v>
      </c>
      <c r="G12" s="546" t="s">
        <v>294</v>
      </c>
      <c r="H12" s="547">
        <f>Parameters!R28</f>
        <v>0.15</v>
      </c>
      <c r="I12" s="537"/>
      <c r="J12" s="537"/>
      <c r="K12" s="537"/>
      <c r="L12" s="290"/>
    </row>
    <row r="13" spans="2:15">
      <c r="B13" s="530"/>
    </row>
    <row r="14" spans="2:15" ht="13.5" thickBot="1">
      <c r="B14" s="548"/>
    </row>
    <row r="15" spans="2:15" s="555" customFormat="1" ht="39" thickBot="1">
      <c r="B15" s="549" t="s">
        <v>1</v>
      </c>
      <c r="C15" s="549" t="s">
        <v>95</v>
      </c>
      <c r="D15" s="476" t="s">
        <v>295</v>
      </c>
      <c r="E15" s="477" t="s">
        <v>261</v>
      </c>
      <c r="F15" s="477" t="s">
        <v>262</v>
      </c>
      <c r="G15" s="477" t="s">
        <v>2</v>
      </c>
      <c r="H15" s="477" t="s">
        <v>16</v>
      </c>
      <c r="I15" s="550" t="s">
        <v>267</v>
      </c>
      <c r="J15" s="551" t="s">
        <v>146</v>
      </c>
      <c r="K15" s="552" t="s">
        <v>296</v>
      </c>
      <c r="L15" s="477" t="s">
        <v>297</v>
      </c>
      <c r="M15" s="478" t="s">
        <v>298</v>
      </c>
      <c r="N15" s="553" t="s">
        <v>284</v>
      </c>
      <c r="O15" s="554" t="s">
        <v>299</v>
      </c>
    </row>
    <row r="16" spans="2:15" s="555" customFormat="1" ht="13.5" thickBot="1">
      <c r="B16" s="556"/>
      <c r="C16" s="48" t="s">
        <v>15</v>
      </c>
      <c r="D16" s="485" t="s">
        <v>15</v>
      </c>
      <c r="E16" s="483" t="s">
        <v>15</v>
      </c>
      <c r="F16" s="483" t="s">
        <v>15</v>
      </c>
      <c r="G16" s="483" t="s">
        <v>15</v>
      </c>
      <c r="H16" s="483" t="s">
        <v>15</v>
      </c>
      <c r="I16" s="557" t="s">
        <v>15</v>
      </c>
      <c r="J16" s="558" t="s">
        <v>15</v>
      </c>
      <c r="K16" s="559" t="s">
        <v>15</v>
      </c>
      <c r="L16" s="483" t="s">
        <v>15</v>
      </c>
      <c r="M16" s="484" t="s">
        <v>15</v>
      </c>
      <c r="N16" s="560" t="s">
        <v>15</v>
      </c>
      <c r="O16" s="484" t="s">
        <v>15</v>
      </c>
    </row>
    <row r="17" spans="2:15">
      <c r="B17" s="498"/>
      <c r="C17" s="561"/>
      <c r="D17" s="562"/>
      <c r="E17" s="563"/>
      <c r="F17" s="563"/>
      <c r="G17" s="563"/>
      <c r="H17" s="563"/>
      <c r="I17" s="564"/>
      <c r="J17" s="565"/>
      <c r="K17" s="566"/>
      <c r="L17" s="567"/>
      <c r="M17" s="568"/>
      <c r="N17" s="562"/>
      <c r="O17" s="569"/>
    </row>
    <row r="18" spans="2:15">
      <c r="B18" s="507">
        <f>year</f>
        <v>1950</v>
      </c>
      <c r="C18" s="570">
        <f>Amnt_Deposited!O14*$D$10*(1-DOCF)*MSW!E19</f>
        <v>0</v>
      </c>
      <c r="D18" s="571">
        <f>Amnt_Deposited!C14*$F$10*(1-DOCF)*Food!E19</f>
        <v>1.2804861702782162</v>
      </c>
      <c r="E18" s="572">
        <f>Amnt_Deposited!F14*$F$11*(1-DOCF)*Garden!E19</f>
        <v>0</v>
      </c>
      <c r="F18" s="572">
        <f>Amnt_Deposited!D14*$D$11*(1-DOCF)*Paper!E19</f>
        <v>0.66091267914144014</v>
      </c>
      <c r="G18" s="572">
        <f>Amnt_Deposited!G14*$D$12*(1-DOCF)*Wood!E19</f>
        <v>0</v>
      </c>
      <c r="H18" s="572">
        <f>Amnt_Deposited!H14*$F$12*(1-DOCF)*Textiles!E19</f>
        <v>2.4996386152742398E-2</v>
      </c>
      <c r="I18" s="573">
        <f>Amnt_Deposited!E14*$H$10*(1-DOCF)*Nappies!E19</f>
        <v>0</v>
      </c>
      <c r="J18" s="574">
        <f>Amnt_Deposited!N14*$H$11*(1-DOCF)*Sludge!E19</f>
        <v>0</v>
      </c>
      <c r="K18" s="575">
        <f>Amnt_Deposited!P14*$H$12*(1-DOCF)*Industry!E19</f>
        <v>0</v>
      </c>
      <c r="L18" s="572">
        <f>Amnt_Deposited!P14*Parameters!$E$58*$D$11*(1-DOCF)*Industry!E19</f>
        <v>0</v>
      </c>
      <c r="M18" s="573">
        <f>Amnt_Deposited!P14*Parameters!$E$59*$D$12*(1-DOCF)*Industry!E19</f>
        <v>0</v>
      </c>
      <c r="N18" s="508">
        <f t="shared" ref="N18:N49" si="0">IF(Select2=2,C18+J18+K18, D18+E18+F18+G18+H18+I18+J18+K18)</f>
        <v>1.9663952355723988</v>
      </c>
      <c r="O18" s="510">
        <f t="shared" ref="O18:O81" si="1">O17+N18</f>
        <v>1.9663952355723988</v>
      </c>
    </row>
    <row r="19" spans="2:15">
      <c r="B19" s="507">
        <f>B18+1</f>
        <v>1951</v>
      </c>
      <c r="C19" s="570">
        <f>Amnt_Deposited!O15*$D$10*(1-DOCF)*MSW!E20</f>
        <v>0</v>
      </c>
      <c r="D19" s="571">
        <f>Amnt_Deposited!C15*$F$10*(1-DOCF)*Food!E20</f>
        <v>1.3061243286875521</v>
      </c>
      <c r="E19" s="572">
        <f>Amnt_Deposited!F15*$F$11*(1-DOCF)*Garden!E20</f>
        <v>0</v>
      </c>
      <c r="F19" s="572">
        <f>Amnt_Deposited!D15*$D$11*(1-DOCF)*Paper!E20</f>
        <v>0.67414560922368005</v>
      </c>
      <c r="G19" s="572">
        <f>Amnt_Deposited!G15*$D$12*(1-DOCF)*Wood!E20</f>
        <v>0</v>
      </c>
      <c r="H19" s="572">
        <f>Amnt_Deposited!H15*$F$12*(1-DOCF)*Textiles!E20</f>
        <v>2.5496868955852799E-2</v>
      </c>
      <c r="I19" s="573">
        <f>Amnt_Deposited!E15*$H$10*(1-DOCF)*Nappies!E20</f>
        <v>0</v>
      </c>
      <c r="J19" s="574">
        <f>Amnt_Deposited!N15*$H$11*(1-DOCF)*Sludge!E20</f>
        <v>0</v>
      </c>
      <c r="K19" s="575">
        <f>Amnt_Deposited!P15*$H$12*(1-DOCF)*Industry!D20</f>
        <v>0</v>
      </c>
      <c r="L19" s="572">
        <f>Amnt_Deposited!P15*Parameters!$E$58*$D$11*(1-DOCF)*Industry!E20</f>
        <v>0</v>
      </c>
      <c r="M19" s="573">
        <f>Amnt_Deposited!P15*Parameters!$E$59*$D$12*(1-DOCF)*Industry!E20</f>
        <v>0</v>
      </c>
      <c r="N19" s="508">
        <f t="shared" si="0"/>
        <v>2.0057668068670851</v>
      </c>
      <c r="O19" s="510">
        <f t="shared" si="1"/>
        <v>3.9721620424394839</v>
      </c>
    </row>
    <row r="20" spans="2:15">
      <c r="B20" s="507">
        <f t="shared" ref="B20:B83" si="2">B19+1</f>
        <v>1952</v>
      </c>
      <c r="C20" s="570">
        <f>Amnt_Deposited!O16*$D$10*(1-DOCF)*MSW!E21</f>
        <v>0</v>
      </c>
      <c r="D20" s="571">
        <f>Amnt_Deposited!C16*$F$10*(1-DOCF)*Food!E21</f>
        <v>1.3359147834162244</v>
      </c>
      <c r="E20" s="572">
        <f>Amnt_Deposited!F16*$F$11*(1-DOCF)*Garden!E21</f>
        <v>0</v>
      </c>
      <c r="F20" s="572">
        <f>Amnt_Deposited!D16*$D$11*(1-DOCF)*Paper!E21</f>
        <v>0.68952171378816018</v>
      </c>
      <c r="G20" s="572">
        <f>Amnt_Deposited!G16*$D$12*(1-DOCF)*Wood!E21</f>
        <v>0</v>
      </c>
      <c r="H20" s="572">
        <f>Amnt_Deposited!H16*$F$12*(1-DOCF)*Textiles!E21</f>
        <v>2.6078408786073606E-2</v>
      </c>
      <c r="I20" s="573">
        <f>Amnt_Deposited!E16*$H$10*(1-DOCF)*Nappies!E21</f>
        <v>0</v>
      </c>
      <c r="J20" s="574">
        <f>Amnt_Deposited!N16*$H$11*(1-DOCF)*Sludge!E21</f>
        <v>0</v>
      </c>
      <c r="K20" s="575">
        <f>Amnt_Deposited!P16*$H$12*(1-DOCF)*Industry!D21</f>
        <v>0</v>
      </c>
      <c r="L20" s="572">
        <f>Amnt_Deposited!P16*Parameters!$E$58*$D$11*(1-DOCF)*Industry!E21</f>
        <v>0</v>
      </c>
      <c r="M20" s="573">
        <f>Amnt_Deposited!P16*Parameters!$E$59*$D$12*(1-DOCF)*Industry!E21</f>
        <v>0</v>
      </c>
      <c r="N20" s="508">
        <f t="shared" si="0"/>
        <v>2.0515149059904578</v>
      </c>
      <c r="O20" s="510">
        <f t="shared" si="1"/>
        <v>6.0236769484299417</v>
      </c>
    </row>
    <row r="21" spans="2:15">
      <c r="B21" s="507">
        <f t="shared" si="2"/>
        <v>1953</v>
      </c>
      <c r="C21" s="570">
        <f>Amnt_Deposited!O17*$D$10*(1-DOCF)*MSW!E22</f>
        <v>0</v>
      </c>
      <c r="D21" s="571">
        <f>Amnt_Deposited!C17*$F$10*(1-DOCF)*Food!E22</f>
        <v>1.3787072541182159</v>
      </c>
      <c r="E21" s="572">
        <f>Amnt_Deposited!F17*$F$11*(1-DOCF)*Garden!E22</f>
        <v>0</v>
      </c>
      <c r="F21" s="572">
        <f>Amnt_Deposited!D17*$D$11*(1-DOCF)*Paper!E22</f>
        <v>0.71160870474144</v>
      </c>
      <c r="G21" s="572">
        <f>Amnt_Deposited!G17*$D$12*(1-DOCF)*Wood!E22</f>
        <v>0</v>
      </c>
      <c r="H21" s="572">
        <f>Amnt_Deposited!H17*$F$12*(1-DOCF)*Textiles!E22</f>
        <v>2.69137611287424E-2</v>
      </c>
      <c r="I21" s="573">
        <f>Amnt_Deposited!E17*$H$10*(1-DOCF)*Nappies!E22</f>
        <v>0</v>
      </c>
      <c r="J21" s="574">
        <f>Amnt_Deposited!N17*$H$11*(1-DOCF)*Sludge!E22</f>
        <v>0</v>
      </c>
      <c r="K21" s="575">
        <f>Amnt_Deposited!P17*$H$12*(1-DOCF)*Industry!D22</f>
        <v>0</v>
      </c>
      <c r="L21" s="572">
        <f>Amnt_Deposited!P17*Parameters!$E$58*$D$11*(1-DOCF)*Industry!E22</f>
        <v>0</v>
      </c>
      <c r="M21" s="573">
        <f>Amnt_Deposited!P17*Parameters!$E$59*$D$12*(1-DOCF)*Industry!E22</f>
        <v>0</v>
      </c>
      <c r="N21" s="508">
        <f t="shared" si="0"/>
        <v>2.1172297199883983</v>
      </c>
      <c r="O21" s="510">
        <f t="shared" si="1"/>
        <v>8.1409066684183404</v>
      </c>
    </row>
    <row r="22" spans="2:15">
      <c r="B22" s="507">
        <f t="shared" si="2"/>
        <v>1954</v>
      </c>
      <c r="C22" s="570">
        <f>Amnt_Deposited!O18*$D$10*(1-DOCF)*MSW!E23</f>
        <v>0</v>
      </c>
      <c r="D22" s="571">
        <f>Amnt_Deposited!C18*$F$10*(1-DOCF)*Food!E23</f>
        <v>1.394732023946712</v>
      </c>
      <c r="E22" s="572">
        <f>Amnt_Deposited!F18*$F$11*(1-DOCF)*Garden!E23</f>
        <v>0</v>
      </c>
      <c r="F22" s="572">
        <f>Amnt_Deposited!D18*$D$11*(1-DOCF)*Paper!E23</f>
        <v>0.71987976131808007</v>
      </c>
      <c r="G22" s="572">
        <f>Amnt_Deposited!G18*$D$12*(1-DOCF)*Wood!E23</f>
        <v>0</v>
      </c>
      <c r="H22" s="572">
        <f>Amnt_Deposited!H18*$F$12*(1-DOCF)*Textiles!E23</f>
        <v>2.72265808560768E-2</v>
      </c>
      <c r="I22" s="573">
        <f>Amnt_Deposited!E18*$H$10*(1-DOCF)*Nappies!E23</f>
        <v>0</v>
      </c>
      <c r="J22" s="574">
        <f>Amnt_Deposited!N18*$H$11*(1-DOCF)*Sludge!E23</f>
        <v>0</v>
      </c>
      <c r="K22" s="575">
        <f>Amnt_Deposited!P18*$H$12*(1-DOCF)*Industry!D23</f>
        <v>0</v>
      </c>
      <c r="L22" s="572">
        <f>Amnt_Deposited!P18*Parameters!$E$58*$D$11*(1-DOCF)*Industry!E23</f>
        <v>0</v>
      </c>
      <c r="M22" s="573">
        <f>Amnt_Deposited!P18*Parameters!$E$59*$D$12*(1-DOCF)*Industry!E23</f>
        <v>0</v>
      </c>
      <c r="N22" s="508">
        <f t="shared" si="0"/>
        <v>2.1418383661208686</v>
      </c>
      <c r="O22" s="510">
        <f t="shared" si="1"/>
        <v>10.282745034539209</v>
      </c>
    </row>
    <row r="23" spans="2:15">
      <c r="B23" s="507">
        <f t="shared" si="2"/>
        <v>1955</v>
      </c>
      <c r="C23" s="570">
        <f>Amnt_Deposited!O19*$D$10*(1-DOCF)*MSW!E24</f>
        <v>0</v>
      </c>
      <c r="D23" s="571">
        <f>Amnt_Deposited!C19*$F$10*(1-DOCF)*Food!E24</f>
        <v>1.4335023412654559</v>
      </c>
      <c r="E23" s="572">
        <f>Amnt_Deposited!F19*$F$11*(1-DOCF)*Garden!E24</f>
        <v>0</v>
      </c>
      <c r="F23" s="572">
        <f>Amnt_Deposited!D19*$D$11*(1-DOCF)*Paper!E24</f>
        <v>0.73989075002304006</v>
      </c>
      <c r="G23" s="572">
        <f>Amnt_Deposited!G19*$D$12*(1-DOCF)*Wood!E24</f>
        <v>0</v>
      </c>
      <c r="H23" s="572">
        <f>Amnt_Deposited!H19*$F$12*(1-DOCF)*Textiles!E24</f>
        <v>2.7983416693478397E-2</v>
      </c>
      <c r="I23" s="573">
        <f>Amnt_Deposited!E19*$H$10*(1-DOCF)*Nappies!E24</f>
        <v>0</v>
      </c>
      <c r="J23" s="574">
        <f>Amnt_Deposited!N19*$H$11*(1-DOCF)*Sludge!E24</f>
        <v>0</v>
      </c>
      <c r="K23" s="575">
        <f>Amnt_Deposited!P19*$H$12*(1-DOCF)*Industry!D24</f>
        <v>0</v>
      </c>
      <c r="L23" s="572">
        <f>Amnt_Deposited!P19*Parameters!$E$58*$D$11*(1-DOCF)*Industry!E24</f>
        <v>0</v>
      </c>
      <c r="M23" s="573">
        <f>Amnt_Deposited!P19*Parameters!$E$59*$D$12*(1-DOCF)*Industry!E24</f>
        <v>0</v>
      </c>
      <c r="N23" s="508">
        <f t="shared" si="0"/>
        <v>2.201376507981974</v>
      </c>
      <c r="O23" s="510">
        <f t="shared" si="1"/>
        <v>12.484121542521184</v>
      </c>
    </row>
    <row r="24" spans="2:15">
      <c r="B24" s="507">
        <f t="shared" si="2"/>
        <v>1956</v>
      </c>
      <c r="C24" s="570">
        <f>Amnt_Deposited!O20*$D$10*(1-DOCF)*MSW!E25</f>
        <v>0</v>
      </c>
      <c r="D24" s="571">
        <f>Amnt_Deposited!C20*$F$10*(1-DOCF)*Food!E25</f>
        <v>1.4500354052028241</v>
      </c>
      <c r="E24" s="572">
        <f>Amnt_Deposited!F20*$F$11*(1-DOCF)*Garden!E25</f>
        <v>0</v>
      </c>
      <c r="F24" s="572">
        <f>Amnt_Deposited!D20*$D$11*(1-DOCF)*Paper!E25</f>
        <v>0.74842415853216027</v>
      </c>
      <c r="G24" s="572">
        <f>Amnt_Deposited!G20*$D$12*(1-DOCF)*Wood!E25</f>
        <v>0</v>
      </c>
      <c r="H24" s="572">
        <f>Amnt_Deposited!H20*$F$12*(1-DOCF)*Textiles!E25</f>
        <v>2.83061588363136E-2</v>
      </c>
      <c r="I24" s="573">
        <f>Amnt_Deposited!E20*$H$10*(1-DOCF)*Nappies!E25</f>
        <v>0</v>
      </c>
      <c r="J24" s="574">
        <f>Amnt_Deposited!N20*$H$11*(1-DOCF)*Sludge!E25</f>
        <v>0</v>
      </c>
      <c r="K24" s="575">
        <f>Amnt_Deposited!P20*$H$12*(1-DOCF)*Industry!D25</f>
        <v>0</v>
      </c>
      <c r="L24" s="572">
        <f>Amnt_Deposited!P20*Parameters!$E$58*$D$11*(1-DOCF)*Industry!E25</f>
        <v>0</v>
      </c>
      <c r="M24" s="573">
        <f>Amnt_Deposited!P20*Parameters!$E$59*$D$12*(1-DOCF)*Industry!E25</f>
        <v>0</v>
      </c>
      <c r="N24" s="508">
        <f t="shared" si="0"/>
        <v>2.2267657225712982</v>
      </c>
      <c r="O24" s="510">
        <f t="shared" si="1"/>
        <v>14.710887265092481</v>
      </c>
    </row>
    <row r="25" spans="2:15">
      <c r="B25" s="507">
        <f t="shared" si="2"/>
        <v>1957</v>
      </c>
      <c r="C25" s="570">
        <f>Amnt_Deposited!O21*$D$10*(1-DOCF)*MSW!E26</f>
        <v>0</v>
      </c>
      <c r="D25" s="571">
        <f>Amnt_Deposited!C21*$F$10*(1-DOCF)*Food!E26</f>
        <v>1.4661338408442004</v>
      </c>
      <c r="E25" s="572">
        <f>Amnt_Deposited!F21*$F$11*(1-DOCF)*Garden!E26</f>
        <v>0</v>
      </c>
      <c r="F25" s="572">
        <f>Amnt_Deposited!D21*$D$11*(1-DOCF)*Paper!E26</f>
        <v>0.75673323712800022</v>
      </c>
      <c r="G25" s="572">
        <f>Amnt_Deposited!G21*$D$12*(1-DOCF)*Wood!E26</f>
        <v>0</v>
      </c>
      <c r="H25" s="572">
        <f>Amnt_Deposited!H21*$F$12*(1-DOCF)*Textiles!E26</f>
        <v>2.8620416594880006E-2</v>
      </c>
      <c r="I25" s="573">
        <f>Amnt_Deposited!E21*$H$10*(1-DOCF)*Nappies!E26</f>
        <v>0</v>
      </c>
      <c r="J25" s="574">
        <f>Amnt_Deposited!N21*$H$11*(1-DOCF)*Sludge!E26</f>
        <v>0</v>
      </c>
      <c r="K25" s="575">
        <f>Amnt_Deposited!P21*$H$12*(1-DOCF)*Industry!D26</f>
        <v>0</v>
      </c>
      <c r="L25" s="572">
        <f>Amnt_Deposited!P21*Parameters!$E$58*$D$11*(1-DOCF)*Industry!E26</f>
        <v>0</v>
      </c>
      <c r="M25" s="573">
        <f>Amnt_Deposited!P21*Parameters!$E$59*$D$12*(1-DOCF)*Industry!E26</f>
        <v>0</v>
      </c>
      <c r="N25" s="508">
        <f t="shared" si="0"/>
        <v>2.2514874945670806</v>
      </c>
      <c r="O25" s="510">
        <f t="shared" si="1"/>
        <v>16.962374759659561</v>
      </c>
    </row>
    <row r="26" spans="2:15">
      <c r="B26" s="507">
        <f t="shared" si="2"/>
        <v>1958</v>
      </c>
      <c r="C26" s="570">
        <f>Amnt_Deposited!O22*$D$10*(1-DOCF)*MSW!E27</f>
        <v>0</v>
      </c>
      <c r="D26" s="571">
        <f>Amnt_Deposited!C22*$F$10*(1-DOCF)*Food!E27</f>
        <v>1.4816380389283439</v>
      </c>
      <c r="E26" s="572">
        <f>Amnt_Deposited!F22*$F$11*(1-DOCF)*Garden!E27</f>
        <v>0</v>
      </c>
      <c r="F26" s="572">
        <f>Amnt_Deposited!D22*$D$11*(1-DOCF)*Paper!E27</f>
        <v>0.76473560476896008</v>
      </c>
      <c r="G26" s="572">
        <f>Amnt_Deposited!G22*$D$12*(1-DOCF)*Wood!E27</f>
        <v>0</v>
      </c>
      <c r="H26" s="572">
        <f>Amnt_Deposited!H22*$F$12*(1-DOCF)*Textiles!E27</f>
        <v>2.8923074234841598E-2</v>
      </c>
      <c r="I26" s="573">
        <f>Amnt_Deposited!E22*$H$10*(1-DOCF)*Nappies!E27</f>
        <v>0</v>
      </c>
      <c r="J26" s="574">
        <f>Amnt_Deposited!N22*$H$11*(1-DOCF)*Sludge!E27</f>
        <v>0</v>
      </c>
      <c r="K26" s="575">
        <f>Amnt_Deposited!P22*$H$12*(1-DOCF)*Industry!D27</f>
        <v>0</v>
      </c>
      <c r="L26" s="572">
        <f>Amnt_Deposited!P22*Parameters!$E$58*$D$11*(1-DOCF)*Industry!E27</f>
        <v>0</v>
      </c>
      <c r="M26" s="573">
        <f>Amnt_Deposited!P22*Parameters!$E$59*$D$12*(1-DOCF)*Industry!E27</f>
        <v>0</v>
      </c>
      <c r="N26" s="508">
        <f t="shared" si="0"/>
        <v>2.2752967179321457</v>
      </c>
      <c r="O26" s="510">
        <f t="shared" si="1"/>
        <v>19.237671477591707</v>
      </c>
    </row>
    <row r="27" spans="2:15">
      <c r="B27" s="507">
        <f t="shared" si="2"/>
        <v>1959</v>
      </c>
      <c r="C27" s="570">
        <f>Amnt_Deposited!O23*$D$10*(1-DOCF)*MSW!E28</f>
        <v>0</v>
      </c>
      <c r="D27" s="571">
        <f>Amnt_Deposited!C23*$F$10*(1-DOCF)*Food!E28</f>
        <v>1.49634910176048</v>
      </c>
      <c r="E27" s="572">
        <f>Amnt_Deposited!F23*$F$11*(1-DOCF)*Garden!E28</f>
        <v>0</v>
      </c>
      <c r="F27" s="572">
        <f>Amnt_Deposited!D23*$D$11*(1-DOCF)*Paper!E28</f>
        <v>0.77232860200320008</v>
      </c>
      <c r="G27" s="572">
        <f>Amnt_Deposited!G23*$D$12*(1-DOCF)*Wood!E28</f>
        <v>0</v>
      </c>
      <c r="H27" s="572">
        <f>Amnt_Deposited!H23*$F$12*(1-DOCF)*Textiles!E28</f>
        <v>2.9210249071872002E-2</v>
      </c>
      <c r="I27" s="573">
        <f>Amnt_Deposited!E23*$H$10*(1-DOCF)*Nappies!E28</f>
        <v>0</v>
      </c>
      <c r="J27" s="574">
        <f>Amnt_Deposited!N23*$H$11*(1-DOCF)*Sludge!E28</f>
        <v>0</v>
      </c>
      <c r="K27" s="575">
        <f>Amnt_Deposited!P23*$H$12*(1-DOCF)*Industry!D28</f>
        <v>0</v>
      </c>
      <c r="L27" s="572">
        <f>Amnt_Deposited!P23*Parameters!$E$58*$D$11*(1-DOCF)*Industry!E28</f>
        <v>0</v>
      </c>
      <c r="M27" s="573">
        <f>Amnt_Deposited!P23*Parameters!$E$59*$D$12*(1-DOCF)*Industry!E28</f>
        <v>0</v>
      </c>
      <c r="N27" s="508">
        <f t="shared" si="0"/>
        <v>2.297887952835552</v>
      </c>
      <c r="O27" s="510">
        <f t="shared" si="1"/>
        <v>21.535559430427259</v>
      </c>
    </row>
    <row r="28" spans="2:15">
      <c r="B28" s="507">
        <f t="shared" si="2"/>
        <v>1960</v>
      </c>
      <c r="C28" s="570">
        <f>Amnt_Deposited!O24*$D$10*(1-DOCF)*MSW!E29</f>
        <v>0</v>
      </c>
      <c r="D28" s="571">
        <f>Amnt_Deposited!C24*$F$10*(1-DOCF)*Food!E29</f>
        <v>1.7863959623400003</v>
      </c>
      <c r="E28" s="572">
        <f>Amnt_Deposited!F24*$F$11*(1-DOCF)*Garden!E29</f>
        <v>0</v>
      </c>
      <c r="F28" s="572">
        <f>Amnt_Deposited!D24*$D$11*(1-DOCF)*Paper!E29</f>
        <v>0.92203396560000028</v>
      </c>
      <c r="G28" s="572">
        <f>Amnt_Deposited!G24*$D$12*(1-DOCF)*Wood!E29</f>
        <v>0</v>
      </c>
      <c r="H28" s="572">
        <f>Amnt_Deposited!H24*$F$12*(1-DOCF)*Textiles!E29</f>
        <v>3.4872257375999999E-2</v>
      </c>
      <c r="I28" s="573">
        <f>Amnt_Deposited!E24*$H$10*(1-DOCF)*Nappies!E29</f>
        <v>0</v>
      </c>
      <c r="J28" s="574">
        <f>Amnt_Deposited!N24*$H$11*(1-DOCF)*Sludge!E29</f>
        <v>0</v>
      </c>
      <c r="K28" s="575">
        <f>Amnt_Deposited!P24*$H$12*(1-DOCF)*Industry!D29</f>
        <v>0</v>
      </c>
      <c r="L28" s="572">
        <f>Amnt_Deposited!P24*Parameters!$E$58*$D$11*(1-DOCF)*Industry!E29</f>
        <v>0</v>
      </c>
      <c r="M28" s="573">
        <f>Amnt_Deposited!P24*Parameters!$E$59*$D$12*(1-DOCF)*Industry!E29</f>
        <v>0</v>
      </c>
      <c r="N28" s="508">
        <f t="shared" si="0"/>
        <v>2.7433021853160007</v>
      </c>
      <c r="O28" s="510">
        <f t="shared" si="1"/>
        <v>24.27886161574326</v>
      </c>
    </row>
    <row r="29" spans="2:15">
      <c r="B29" s="507">
        <f t="shared" si="2"/>
        <v>1961</v>
      </c>
      <c r="C29" s="570">
        <f>Amnt_Deposited!O25*$D$10*(1-DOCF)*MSW!E30</f>
        <v>0</v>
      </c>
      <c r="D29" s="571">
        <f>Amnt_Deposited!C25*$F$10*(1-DOCF)*Food!E30</f>
        <v>0</v>
      </c>
      <c r="E29" s="572">
        <f>Amnt_Deposited!F25*$F$11*(1-DOCF)*Garden!E30</f>
        <v>0</v>
      </c>
      <c r="F29" s="572">
        <f>Amnt_Deposited!D25*$D$11*(1-DOCF)*Paper!E30</f>
        <v>0</v>
      </c>
      <c r="G29" s="572">
        <f>Amnt_Deposited!G25*$D$12*(1-DOCF)*Wood!E30</f>
        <v>0</v>
      </c>
      <c r="H29" s="572">
        <f>Amnt_Deposited!H25*$F$12*(1-DOCF)*Textiles!E30</f>
        <v>0</v>
      </c>
      <c r="I29" s="573">
        <f>Amnt_Deposited!E25*$H$10*(1-DOCF)*Nappies!E30</f>
        <v>0</v>
      </c>
      <c r="J29" s="574">
        <f>Amnt_Deposited!N25*$H$11*(1-DOCF)*Sludge!E30</f>
        <v>0</v>
      </c>
      <c r="K29" s="575">
        <f>Amnt_Deposited!P25*$H$12*(1-DOCF)*Industry!D30</f>
        <v>0</v>
      </c>
      <c r="L29" s="572">
        <f>Amnt_Deposited!P25*Parameters!$E$58*$D$11*(1-DOCF)*Industry!E30</f>
        <v>0</v>
      </c>
      <c r="M29" s="573">
        <f>Amnt_Deposited!P25*Parameters!$E$59*$D$12*(1-DOCF)*Industry!E30</f>
        <v>0</v>
      </c>
      <c r="N29" s="508">
        <f t="shared" si="0"/>
        <v>0</v>
      </c>
      <c r="O29" s="510">
        <f t="shared" si="1"/>
        <v>24.27886161574326</v>
      </c>
    </row>
    <row r="30" spans="2:15">
      <c r="B30" s="507">
        <f t="shared" si="2"/>
        <v>1962</v>
      </c>
      <c r="C30" s="570">
        <f>Amnt_Deposited!O26*$D$10*(1-DOCF)*MSW!E31</f>
        <v>0</v>
      </c>
      <c r="D30" s="571">
        <f>Amnt_Deposited!C26*$F$10*(1-DOCF)*Food!E31</f>
        <v>0</v>
      </c>
      <c r="E30" s="572">
        <f>Amnt_Deposited!F26*$F$11*(1-DOCF)*Garden!E31</f>
        <v>0</v>
      </c>
      <c r="F30" s="572">
        <f>Amnt_Deposited!D26*$D$11*(1-DOCF)*Paper!E31</f>
        <v>0</v>
      </c>
      <c r="G30" s="572">
        <f>Amnt_Deposited!G26*$D$12*(1-DOCF)*Wood!E31</f>
        <v>0</v>
      </c>
      <c r="H30" s="572">
        <f>Amnt_Deposited!H26*$F$12*(1-DOCF)*Textiles!E31</f>
        <v>0</v>
      </c>
      <c r="I30" s="573">
        <f>Amnt_Deposited!E26*$H$10*(1-DOCF)*Nappies!E31</f>
        <v>0</v>
      </c>
      <c r="J30" s="574">
        <f>Amnt_Deposited!N26*$H$11*(1-DOCF)*Sludge!E31</f>
        <v>0</v>
      </c>
      <c r="K30" s="575">
        <f>Amnt_Deposited!P26*$H$12*(1-DOCF)*Industry!D31</f>
        <v>0</v>
      </c>
      <c r="L30" s="572">
        <f>Amnt_Deposited!P26*Parameters!$E$58*$D$11*(1-DOCF)*Industry!E31</f>
        <v>0</v>
      </c>
      <c r="M30" s="573">
        <f>Amnt_Deposited!P26*Parameters!$E$59*$D$12*(1-DOCF)*Industry!E31</f>
        <v>0</v>
      </c>
      <c r="N30" s="508">
        <f t="shared" si="0"/>
        <v>0</v>
      </c>
      <c r="O30" s="510">
        <f t="shared" si="1"/>
        <v>24.27886161574326</v>
      </c>
    </row>
    <row r="31" spans="2:15">
      <c r="B31" s="507">
        <f t="shared" si="2"/>
        <v>1963</v>
      </c>
      <c r="C31" s="570">
        <f>Amnt_Deposited!O27*$D$10*(1-DOCF)*MSW!E32</f>
        <v>0</v>
      </c>
      <c r="D31" s="571">
        <f>Amnt_Deposited!C27*$F$10*(1-DOCF)*Food!E32</f>
        <v>0</v>
      </c>
      <c r="E31" s="572">
        <f>Amnt_Deposited!F27*$F$11*(1-DOCF)*Garden!E32</f>
        <v>0</v>
      </c>
      <c r="F31" s="572">
        <f>Amnt_Deposited!D27*$D$11*(1-DOCF)*Paper!E32</f>
        <v>0</v>
      </c>
      <c r="G31" s="572">
        <f>Amnt_Deposited!G27*$D$12*(1-DOCF)*Wood!E32</f>
        <v>0</v>
      </c>
      <c r="H31" s="572">
        <f>Amnt_Deposited!H27*$F$12*(1-DOCF)*Textiles!E32</f>
        <v>0</v>
      </c>
      <c r="I31" s="573">
        <f>Amnt_Deposited!E27*$H$10*(1-DOCF)*Nappies!E32</f>
        <v>0</v>
      </c>
      <c r="J31" s="574">
        <f>Amnt_Deposited!N27*$H$11*(1-DOCF)*Sludge!E32</f>
        <v>0</v>
      </c>
      <c r="K31" s="575">
        <f>Amnt_Deposited!P27*$H$12*(1-DOCF)*Industry!D32</f>
        <v>0</v>
      </c>
      <c r="L31" s="572">
        <f>Amnt_Deposited!P27*Parameters!$E$58*$D$11*(1-DOCF)*Industry!E32</f>
        <v>0</v>
      </c>
      <c r="M31" s="573">
        <f>Amnt_Deposited!P27*Parameters!$E$59*$D$12*(1-DOCF)*Industry!E32</f>
        <v>0</v>
      </c>
      <c r="N31" s="508">
        <f t="shared" si="0"/>
        <v>0</v>
      </c>
      <c r="O31" s="510">
        <f t="shared" si="1"/>
        <v>24.27886161574326</v>
      </c>
    </row>
    <row r="32" spans="2:15">
      <c r="B32" s="507">
        <f t="shared" si="2"/>
        <v>1964</v>
      </c>
      <c r="C32" s="570">
        <f>Amnt_Deposited!O28*$D$10*(1-DOCF)*MSW!E33</f>
        <v>0</v>
      </c>
      <c r="D32" s="571">
        <f>Amnt_Deposited!C28*$F$10*(1-DOCF)*Food!E33</f>
        <v>0</v>
      </c>
      <c r="E32" s="572">
        <f>Amnt_Deposited!F28*$F$11*(1-DOCF)*Garden!E33</f>
        <v>0</v>
      </c>
      <c r="F32" s="572">
        <f>Amnt_Deposited!D28*$D$11*(1-DOCF)*Paper!E33</f>
        <v>0</v>
      </c>
      <c r="G32" s="572">
        <f>Amnt_Deposited!G28*$D$12*(1-DOCF)*Wood!E33</f>
        <v>0</v>
      </c>
      <c r="H32" s="572">
        <f>Amnt_Deposited!H28*$F$12*(1-DOCF)*Textiles!E33</f>
        <v>0</v>
      </c>
      <c r="I32" s="573">
        <f>Amnt_Deposited!E28*$H$10*(1-DOCF)*Nappies!E33</f>
        <v>0</v>
      </c>
      <c r="J32" s="574">
        <f>Amnt_Deposited!N28*$H$11*(1-DOCF)*Sludge!E33</f>
        <v>0</v>
      </c>
      <c r="K32" s="575">
        <f>Amnt_Deposited!P28*$H$12*(1-DOCF)*Industry!D33</f>
        <v>0</v>
      </c>
      <c r="L32" s="572">
        <f>Amnt_Deposited!P28*Parameters!$E$58*$D$11*(1-DOCF)*Industry!E33</f>
        <v>0</v>
      </c>
      <c r="M32" s="573">
        <f>Amnt_Deposited!P28*Parameters!$E$59*$D$12*(1-DOCF)*Industry!E33</f>
        <v>0</v>
      </c>
      <c r="N32" s="508">
        <f t="shared" si="0"/>
        <v>0</v>
      </c>
      <c r="O32" s="510">
        <f t="shared" si="1"/>
        <v>24.27886161574326</v>
      </c>
    </row>
    <row r="33" spans="2:15">
      <c r="B33" s="507">
        <f t="shared" si="2"/>
        <v>1965</v>
      </c>
      <c r="C33" s="570">
        <f>Amnt_Deposited!O29*$D$10*(1-DOCF)*MSW!E34</f>
        <v>0</v>
      </c>
      <c r="D33" s="571">
        <f>Amnt_Deposited!C29*$F$10*(1-DOCF)*Food!E34</f>
        <v>0</v>
      </c>
      <c r="E33" s="572">
        <f>Amnt_Deposited!F29*$F$11*(1-DOCF)*Garden!E34</f>
        <v>0</v>
      </c>
      <c r="F33" s="572">
        <f>Amnt_Deposited!D29*$D$11*(1-DOCF)*Paper!E34</f>
        <v>0</v>
      </c>
      <c r="G33" s="572">
        <f>Amnt_Deposited!G29*$D$12*(1-DOCF)*Wood!E34</f>
        <v>0</v>
      </c>
      <c r="H33" s="572">
        <f>Amnt_Deposited!H29*$F$12*(1-DOCF)*Textiles!E34</f>
        <v>0</v>
      </c>
      <c r="I33" s="573">
        <f>Amnt_Deposited!E29*$H$10*(1-DOCF)*Nappies!E34</f>
        <v>0</v>
      </c>
      <c r="J33" s="574">
        <f>Amnt_Deposited!N29*$H$11*(1-DOCF)*Sludge!E34</f>
        <v>0</v>
      </c>
      <c r="K33" s="575">
        <f>Amnt_Deposited!P29*$H$12*(1-DOCF)*Industry!D34</f>
        <v>0</v>
      </c>
      <c r="L33" s="572">
        <f>Amnt_Deposited!P29*Parameters!$E$58*$D$11*(1-DOCF)*Industry!E34</f>
        <v>0</v>
      </c>
      <c r="M33" s="573">
        <f>Amnt_Deposited!P29*Parameters!$E$59*$D$12*(1-DOCF)*Industry!E34</f>
        <v>0</v>
      </c>
      <c r="N33" s="508">
        <f t="shared" si="0"/>
        <v>0</v>
      </c>
      <c r="O33" s="510">
        <f t="shared" si="1"/>
        <v>24.27886161574326</v>
      </c>
    </row>
    <row r="34" spans="2:15">
      <c r="B34" s="507">
        <f t="shared" si="2"/>
        <v>1966</v>
      </c>
      <c r="C34" s="570">
        <f>Amnt_Deposited!O30*$D$10*(1-DOCF)*MSW!E35</f>
        <v>0</v>
      </c>
      <c r="D34" s="571">
        <f>Amnt_Deposited!C30*$F$10*(1-DOCF)*Food!E35</f>
        <v>0</v>
      </c>
      <c r="E34" s="572">
        <f>Amnt_Deposited!F30*$F$11*(1-DOCF)*Garden!E35</f>
        <v>0</v>
      </c>
      <c r="F34" s="572">
        <f>Amnt_Deposited!D30*$D$11*(1-DOCF)*Paper!E35</f>
        <v>0</v>
      </c>
      <c r="G34" s="572">
        <f>Amnt_Deposited!G30*$D$12*(1-DOCF)*Wood!E35</f>
        <v>0</v>
      </c>
      <c r="H34" s="572">
        <f>Amnt_Deposited!H30*$F$12*(1-DOCF)*Textiles!E35</f>
        <v>0</v>
      </c>
      <c r="I34" s="573">
        <f>Amnt_Deposited!E30*$H$10*(1-DOCF)*Nappies!E35</f>
        <v>0</v>
      </c>
      <c r="J34" s="574">
        <f>Amnt_Deposited!N30*$H$11*(1-DOCF)*Sludge!E35</f>
        <v>0</v>
      </c>
      <c r="K34" s="575">
        <f>Amnt_Deposited!P30*$H$12*(1-DOCF)*Industry!D35</f>
        <v>0</v>
      </c>
      <c r="L34" s="572">
        <f>Amnt_Deposited!P30*Parameters!$E$58*$D$11*(1-DOCF)*Industry!E35</f>
        <v>0</v>
      </c>
      <c r="M34" s="573">
        <f>Amnt_Deposited!P30*Parameters!$E$59*$D$12*(1-DOCF)*Industry!E35</f>
        <v>0</v>
      </c>
      <c r="N34" s="508">
        <f t="shared" si="0"/>
        <v>0</v>
      </c>
      <c r="O34" s="510">
        <f t="shared" si="1"/>
        <v>24.27886161574326</v>
      </c>
    </row>
    <row r="35" spans="2:15">
      <c r="B35" s="507">
        <f t="shared" si="2"/>
        <v>1967</v>
      </c>
      <c r="C35" s="570">
        <f>Amnt_Deposited!O31*$D$10*(1-DOCF)*MSW!E36</f>
        <v>0</v>
      </c>
      <c r="D35" s="571">
        <f>Amnt_Deposited!C31*$F$10*(1-DOCF)*Food!E36</f>
        <v>0</v>
      </c>
      <c r="E35" s="572">
        <f>Amnt_Deposited!F31*$F$11*(1-DOCF)*Garden!E36</f>
        <v>0</v>
      </c>
      <c r="F35" s="572">
        <f>Amnt_Deposited!D31*$D$11*(1-DOCF)*Paper!E36</f>
        <v>0</v>
      </c>
      <c r="G35" s="572">
        <f>Amnt_Deposited!G31*$D$12*(1-DOCF)*Wood!E36</f>
        <v>0</v>
      </c>
      <c r="H35" s="572">
        <f>Amnt_Deposited!H31*$F$12*(1-DOCF)*Textiles!E36</f>
        <v>0</v>
      </c>
      <c r="I35" s="573">
        <f>Amnt_Deposited!E31*$H$10*(1-DOCF)*Nappies!E36</f>
        <v>0</v>
      </c>
      <c r="J35" s="574">
        <f>Amnt_Deposited!N31*$H$11*(1-DOCF)*Sludge!E36</f>
        <v>0</v>
      </c>
      <c r="K35" s="575">
        <f>Amnt_Deposited!P31*$H$12*(1-DOCF)*Industry!D36</f>
        <v>0</v>
      </c>
      <c r="L35" s="572">
        <f>Amnt_Deposited!P31*Parameters!$E$58*$D$11*(1-DOCF)*Industry!E36</f>
        <v>0</v>
      </c>
      <c r="M35" s="573">
        <f>Amnt_Deposited!P31*Parameters!$E$59*$D$12*(1-DOCF)*Industry!E36</f>
        <v>0</v>
      </c>
      <c r="N35" s="508">
        <f t="shared" si="0"/>
        <v>0</v>
      </c>
      <c r="O35" s="510">
        <f t="shared" si="1"/>
        <v>24.27886161574326</v>
      </c>
    </row>
    <row r="36" spans="2:15">
      <c r="B36" s="507">
        <f t="shared" si="2"/>
        <v>1968</v>
      </c>
      <c r="C36" s="570">
        <f>Amnt_Deposited!O32*$D$10*(1-DOCF)*MSW!E37</f>
        <v>0</v>
      </c>
      <c r="D36" s="571">
        <f>Amnt_Deposited!C32*$F$10*(1-DOCF)*Food!E37</f>
        <v>0</v>
      </c>
      <c r="E36" s="572">
        <f>Amnt_Deposited!F32*$F$11*(1-DOCF)*Garden!E37</f>
        <v>0</v>
      </c>
      <c r="F36" s="572">
        <f>Amnt_Deposited!D32*$D$11*(1-DOCF)*Paper!E37</f>
        <v>0</v>
      </c>
      <c r="G36" s="572">
        <f>Amnt_Deposited!G32*$D$12*(1-DOCF)*Wood!E37</f>
        <v>0</v>
      </c>
      <c r="H36" s="572">
        <f>Amnt_Deposited!H32*$F$12*(1-DOCF)*Textiles!E37</f>
        <v>0</v>
      </c>
      <c r="I36" s="573">
        <f>Amnt_Deposited!E32*$H$10*(1-DOCF)*Nappies!E37</f>
        <v>0</v>
      </c>
      <c r="J36" s="574">
        <f>Amnt_Deposited!N32*$H$11*(1-DOCF)*Sludge!E37</f>
        <v>0</v>
      </c>
      <c r="K36" s="575">
        <f>Amnt_Deposited!P32*$H$12*(1-DOCF)*Industry!D37</f>
        <v>0</v>
      </c>
      <c r="L36" s="572">
        <f>Amnt_Deposited!P32*Parameters!$E$58*$D$11*(1-DOCF)*Industry!E37</f>
        <v>0</v>
      </c>
      <c r="M36" s="573">
        <f>Amnt_Deposited!P32*Parameters!$E$59*$D$12*(1-DOCF)*Industry!E37</f>
        <v>0</v>
      </c>
      <c r="N36" s="508">
        <f t="shared" si="0"/>
        <v>0</v>
      </c>
      <c r="O36" s="510">
        <f t="shared" si="1"/>
        <v>24.27886161574326</v>
      </c>
    </row>
    <row r="37" spans="2:15">
      <c r="B37" s="507">
        <f t="shared" si="2"/>
        <v>1969</v>
      </c>
      <c r="C37" s="570">
        <f>Amnt_Deposited!O33*$D$10*(1-DOCF)*MSW!E38</f>
        <v>0</v>
      </c>
      <c r="D37" s="571">
        <f>Amnt_Deposited!C33*$F$10*(1-DOCF)*Food!E38</f>
        <v>0</v>
      </c>
      <c r="E37" s="572">
        <f>Amnt_Deposited!F33*$F$11*(1-DOCF)*Garden!E38</f>
        <v>0</v>
      </c>
      <c r="F37" s="572">
        <f>Amnt_Deposited!D33*$D$11*(1-DOCF)*Paper!E38</f>
        <v>0</v>
      </c>
      <c r="G37" s="572">
        <f>Amnt_Deposited!G33*$D$12*(1-DOCF)*Wood!E38</f>
        <v>0</v>
      </c>
      <c r="H37" s="572">
        <f>Amnt_Deposited!H33*$F$12*(1-DOCF)*Textiles!E38</f>
        <v>0</v>
      </c>
      <c r="I37" s="573">
        <f>Amnt_Deposited!E33*$H$10*(1-DOCF)*Nappies!E38</f>
        <v>0</v>
      </c>
      <c r="J37" s="574">
        <f>Amnt_Deposited!N33*$H$11*(1-DOCF)*Sludge!E38</f>
        <v>0</v>
      </c>
      <c r="K37" s="575">
        <f>Amnt_Deposited!P33*$H$12*(1-DOCF)*Industry!D38</f>
        <v>0</v>
      </c>
      <c r="L37" s="572">
        <f>Amnt_Deposited!P33*Parameters!$E$58*$D$11*(1-DOCF)*Industry!E38</f>
        <v>0</v>
      </c>
      <c r="M37" s="573">
        <f>Amnt_Deposited!P33*Parameters!$E$59*$D$12*(1-DOCF)*Industry!E38</f>
        <v>0</v>
      </c>
      <c r="N37" s="508">
        <f t="shared" si="0"/>
        <v>0</v>
      </c>
      <c r="O37" s="510">
        <f t="shared" si="1"/>
        <v>24.27886161574326</v>
      </c>
    </row>
    <row r="38" spans="2:15">
      <c r="B38" s="507">
        <f t="shared" si="2"/>
        <v>1970</v>
      </c>
      <c r="C38" s="570">
        <f>Amnt_Deposited!O34*$D$10*(1-DOCF)*MSW!E39</f>
        <v>0</v>
      </c>
      <c r="D38" s="571">
        <f>Amnt_Deposited!C34*$F$10*(1-DOCF)*Food!E39</f>
        <v>0</v>
      </c>
      <c r="E38" s="572">
        <f>Amnt_Deposited!F34*$F$11*(1-DOCF)*Garden!E39</f>
        <v>0</v>
      </c>
      <c r="F38" s="572">
        <f>Amnt_Deposited!D34*$D$11*(1-DOCF)*Paper!E39</f>
        <v>0</v>
      </c>
      <c r="G38" s="572">
        <f>Amnt_Deposited!G34*$D$12*(1-DOCF)*Wood!E39</f>
        <v>0</v>
      </c>
      <c r="H38" s="572">
        <f>Amnt_Deposited!H34*$F$12*(1-DOCF)*Textiles!E39</f>
        <v>0</v>
      </c>
      <c r="I38" s="573">
        <f>Amnt_Deposited!E34*$H$10*(1-DOCF)*Nappies!E39</f>
        <v>0</v>
      </c>
      <c r="J38" s="574">
        <f>Amnt_Deposited!N34*$H$11*(1-DOCF)*Sludge!E39</f>
        <v>0</v>
      </c>
      <c r="K38" s="575">
        <f>Amnt_Deposited!P34*$H$12*(1-DOCF)*Industry!D39</f>
        <v>0</v>
      </c>
      <c r="L38" s="572">
        <f>Amnt_Deposited!P34*Parameters!$E$58*$D$11*(1-DOCF)*Industry!E39</f>
        <v>0</v>
      </c>
      <c r="M38" s="573">
        <f>Amnt_Deposited!P34*Parameters!$E$59*$D$12*(1-DOCF)*Industry!E39</f>
        <v>0</v>
      </c>
      <c r="N38" s="508">
        <f t="shared" si="0"/>
        <v>0</v>
      </c>
      <c r="O38" s="510">
        <f t="shared" si="1"/>
        <v>24.27886161574326</v>
      </c>
    </row>
    <row r="39" spans="2:15">
      <c r="B39" s="507">
        <f t="shared" si="2"/>
        <v>1971</v>
      </c>
      <c r="C39" s="570">
        <f>Amnt_Deposited!O35*$D$10*(1-DOCF)*MSW!E40</f>
        <v>0</v>
      </c>
      <c r="D39" s="571">
        <f>Amnt_Deposited!C35*$F$10*(1-DOCF)*Food!E40</f>
        <v>0</v>
      </c>
      <c r="E39" s="572">
        <f>Amnt_Deposited!F35*$F$11*(1-DOCF)*Garden!E40</f>
        <v>0</v>
      </c>
      <c r="F39" s="572">
        <f>Amnt_Deposited!D35*$D$11*(1-DOCF)*Paper!E40</f>
        <v>0</v>
      </c>
      <c r="G39" s="572">
        <f>Amnt_Deposited!G35*$D$12*(1-DOCF)*Wood!E40</f>
        <v>0</v>
      </c>
      <c r="H39" s="572">
        <f>Amnt_Deposited!H35*$F$12*(1-DOCF)*Textiles!E40</f>
        <v>0</v>
      </c>
      <c r="I39" s="573">
        <f>Amnt_Deposited!E35*$H$10*(1-DOCF)*Nappies!E40</f>
        <v>0</v>
      </c>
      <c r="J39" s="574">
        <f>Amnt_Deposited!N35*$H$11*(1-DOCF)*Sludge!E40</f>
        <v>0</v>
      </c>
      <c r="K39" s="575">
        <f>Amnt_Deposited!P35*$H$12*(1-DOCF)*Industry!D40</f>
        <v>0</v>
      </c>
      <c r="L39" s="572">
        <f>Amnt_Deposited!P35*Parameters!$E$58*$D$11*(1-DOCF)*Industry!E40</f>
        <v>0</v>
      </c>
      <c r="M39" s="573">
        <f>Amnt_Deposited!P35*Parameters!$E$59*$D$12*(1-DOCF)*Industry!E40</f>
        <v>0</v>
      </c>
      <c r="N39" s="508">
        <f t="shared" si="0"/>
        <v>0</v>
      </c>
      <c r="O39" s="510">
        <f t="shared" si="1"/>
        <v>24.27886161574326</v>
      </c>
    </row>
    <row r="40" spans="2:15">
      <c r="B40" s="507">
        <f t="shared" si="2"/>
        <v>1972</v>
      </c>
      <c r="C40" s="570">
        <f>Amnt_Deposited!O36*$D$10*(1-DOCF)*MSW!E41</f>
        <v>0</v>
      </c>
      <c r="D40" s="571">
        <f>Amnt_Deposited!C36*$F$10*(1-DOCF)*Food!E41</f>
        <v>0</v>
      </c>
      <c r="E40" s="572">
        <f>Amnt_Deposited!F36*$F$11*(1-DOCF)*Garden!E41</f>
        <v>0</v>
      </c>
      <c r="F40" s="572">
        <f>Amnt_Deposited!D36*$D$11*(1-DOCF)*Paper!E41</f>
        <v>0</v>
      </c>
      <c r="G40" s="572">
        <f>Amnt_Deposited!G36*$D$12*(1-DOCF)*Wood!E41</f>
        <v>0</v>
      </c>
      <c r="H40" s="572">
        <f>Amnt_Deposited!H36*$F$12*(1-DOCF)*Textiles!E41</f>
        <v>0</v>
      </c>
      <c r="I40" s="573">
        <f>Amnt_Deposited!E36*$H$10*(1-DOCF)*Nappies!E41</f>
        <v>0</v>
      </c>
      <c r="J40" s="574">
        <f>Amnt_Deposited!N36*$H$11*(1-DOCF)*Sludge!E41</f>
        <v>0</v>
      </c>
      <c r="K40" s="575">
        <f>Amnt_Deposited!P36*$H$12*(1-DOCF)*Industry!D41</f>
        <v>0</v>
      </c>
      <c r="L40" s="572">
        <f>Amnt_Deposited!P36*Parameters!$E$58*$D$11*(1-DOCF)*Industry!E41</f>
        <v>0</v>
      </c>
      <c r="M40" s="573">
        <f>Amnt_Deposited!P36*Parameters!$E$59*$D$12*(1-DOCF)*Industry!E41</f>
        <v>0</v>
      </c>
      <c r="N40" s="508">
        <f t="shared" si="0"/>
        <v>0</v>
      </c>
      <c r="O40" s="510">
        <f t="shared" si="1"/>
        <v>24.27886161574326</v>
      </c>
    </row>
    <row r="41" spans="2:15">
      <c r="B41" s="507">
        <f t="shared" si="2"/>
        <v>1973</v>
      </c>
      <c r="C41" s="570">
        <f>Amnt_Deposited!O37*$D$10*(1-DOCF)*MSW!E42</f>
        <v>0</v>
      </c>
      <c r="D41" s="571">
        <f>Amnt_Deposited!C37*$F$10*(1-DOCF)*Food!E42</f>
        <v>0</v>
      </c>
      <c r="E41" s="572">
        <f>Amnt_Deposited!F37*$F$11*(1-DOCF)*Garden!E42</f>
        <v>0</v>
      </c>
      <c r="F41" s="572">
        <f>Amnt_Deposited!D37*$D$11*(1-DOCF)*Paper!E42</f>
        <v>0</v>
      </c>
      <c r="G41" s="572">
        <f>Amnt_Deposited!G37*$D$12*(1-DOCF)*Wood!E42</f>
        <v>0</v>
      </c>
      <c r="H41" s="572">
        <f>Amnt_Deposited!H37*$F$12*(1-DOCF)*Textiles!E42</f>
        <v>0</v>
      </c>
      <c r="I41" s="573">
        <f>Amnt_Deposited!E37*$H$10*(1-DOCF)*Nappies!E42</f>
        <v>0</v>
      </c>
      <c r="J41" s="574">
        <f>Amnt_Deposited!N37*$H$11*(1-DOCF)*Sludge!E42</f>
        <v>0</v>
      </c>
      <c r="K41" s="575">
        <f>Amnt_Deposited!P37*$H$12*(1-DOCF)*Industry!D42</f>
        <v>0</v>
      </c>
      <c r="L41" s="572">
        <f>Amnt_Deposited!P37*Parameters!$E$58*$D$11*(1-DOCF)*Industry!E42</f>
        <v>0</v>
      </c>
      <c r="M41" s="573">
        <f>Amnt_Deposited!P37*Parameters!$E$59*$D$12*(1-DOCF)*Industry!E42</f>
        <v>0</v>
      </c>
      <c r="N41" s="508">
        <f t="shared" si="0"/>
        <v>0</v>
      </c>
      <c r="O41" s="510">
        <f t="shared" si="1"/>
        <v>24.27886161574326</v>
      </c>
    </row>
    <row r="42" spans="2:15">
      <c r="B42" s="507">
        <f t="shared" si="2"/>
        <v>1974</v>
      </c>
      <c r="C42" s="570">
        <f>Amnt_Deposited!O38*$D$10*(1-DOCF)*MSW!E43</f>
        <v>0</v>
      </c>
      <c r="D42" s="571">
        <f>Amnt_Deposited!C38*$F$10*(1-DOCF)*Food!E43</f>
        <v>0</v>
      </c>
      <c r="E42" s="572">
        <f>Amnt_Deposited!F38*$F$11*(1-DOCF)*Garden!E43</f>
        <v>0</v>
      </c>
      <c r="F42" s="572">
        <f>Amnt_Deposited!D38*$D$11*(1-DOCF)*Paper!E43</f>
        <v>0</v>
      </c>
      <c r="G42" s="572">
        <f>Amnt_Deposited!G38*$D$12*(1-DOCF)*Wood!E43</f>
        <v>0</v>
      </c>
      <c r="H42" s="572">
        <f>Amnt_Deposited!H38*$F$12*(1-DOCF)*Textiles!E43</f>
        <v>0</v>
      </c>
      <c r="I42" s="573">
        <f>Amnt_Deposited!E38*$H$10*(1-DOCF)*Nappies!E43</f>
        <v>0</v>
      </c>
      <c r="J42" s="574">
        <f>Amnt_Deposited!N38*$H$11*(1-DOCF)*Sludge!E43</f>
        <v>0</v>
      </c>
      <c r="K42" s="575">
        <f>Amnt_Deposited!P38*$H$12*(1-DOCF)*Industry!D43</f>
        <v>0</v>
      </c>
      <c r="L42" s="572">
        <f>Amnt_Deposited!P38*Parameters!$E$58*$D$11*(1-DOCF)*Industry!E43</f>
        <v>0</v>
      </c>
      <c r="M42" s="573">
        <f>Amnt_Deposited!P38*Parameters!$E$59*$D$12*(1-DOCF)*Industry!E43</f>
        <v>0</v>
      </c>
      <c r="N42" s="508">
        <f t="shared" si="0"/>
        <v>0</v>
      </c>
      <c r="O42" s="510">
        <f t="shared" si="1"/>
        <v>24.27886161574326</v>
      </c>
    </row>
    <row r="43" spans="2:15">
      <c r="B43" s="507">
        <f t="shared" si="2"/>
        <v>1975</v>
      </c>
      <c r="C43" s="570">
        <f>Amnt_Deposited!O39*$D$10*(1-DOCF)*MSW!E44</f>
        <v>0</v>
      </c>
      <c r="D43" s="571">
        <f>Amnt_Deposited!C39*$F$10*(1-DOCF)*Food!E44</f>
        <v>0</v>
      </c>
      <c r="E43" s="572">
        <f>Amnt_Deposited!F39*$F$11*(1-DOCF)*Garden!E44</f>
        <v>0</v>
      </c>
      <c r="F43" s="572">
        <f>Amnt_Deposited!D39*$D$11*(1-DOCF)*Paper!E44</f>
        <v>0</v>
      </c>
      <c r="G43" s="572">
        <f>Amnt_Deposited!G39*$D$12*(1-DOCF)*Wood!E44</f>
        <v>0</v>
      </c>
      <c r="H43" s="572">
        <f>Amnt_Deposited!H39*$F$12*(1-DOCF)*Textiles!E44</f>
        <v>0</v>
      </c>
      <c r="I43" s="573">
        <f>Amnt_Deposited!E39*$H$10*(1-DOCF)*Nappies!E44</f>
        <v>0</v>
      </c>
      <c r="J43" s="574">
        <f>Amnt_Deposited!N39*$H$11*(1-DOCF)*Sludge!E44</f>
        <v>0</v>
      </c>
      <c r="K43" s="575">
        <f>Amnt_Deposited!P39*$H$12*(1-DOCF)*Industry!D44</f>
        <v>0</v>
      </c>
      <c r="L43" s="572">
        <f>Amnt_Deposited!P39*Parameters!$E$58*$D$11*(1-DOCF)*Industry!E44</f>
        <v>0</v>
      </c>
      <c r="M43" s="573">
        <f>Amnt_Deposited!P39*Parameters!$E$59*$D$12*(1-DOCF)*Industry!E44</f>
        <v>0</v>
      </c>
      <c r="N43" s="508">
        <f t="shared" si="0"/>
        <v>0</v>
      </c>
      <c r="O43" s="510">
        <f t="shared" si="1"/>
        <v>24.27886161574326</v>
      </c>
    </row>
    <row r="44" spans="2:15">
      <c r="B44" s="507">
        <f t="shared" si="2"/>
        <v>1976</v>
      </c>
      <c r="C44" s="570">
        <f>Amnt_Deposited!O40*$D$10*(1-DOCF)*MSW!E45</f>
        <v>0</v>
      </c>
      <c r="D44" s="571">
        <f>Amnt_Deposited!C40*$F$10*(1-DOCF)*Food!E45</f>
        <v>0</v>
      </c>
      <c r="E44" s="572">
        <f>Amnt_Deposited!F40*$F$11*(1-DOCF)*Garden!E45</f>
        <v>0</v>
      </c>
      <c r="F44" s="572">
        <f>Amnt_Deposited!D40*$D$11*(1-DOCF)*Paper!E45</f>
        <v>0</v>
      </c>
      <c r="G44" s="572">
        <f>Amnt_Deposited!G40*$D$12*(1-DOCF)*Wood!E45</f>
        <v>0</v>
      </c>
      <c r="H44" s="572">
        <f>Amnt_Deposited!H40*$F$12*(1-DOCF)*Textiles!E45</f>
        <v>0</v>
      </c>
      <c r="I44" s="573">
        <f>Amnt_Deposited!E40*$H$10*(1-DOCF)*Nappies!E45</f>
        <v>0</v>
      </c>
      <c r="J44" s="574">
        <f>Amnt_Deposited!N40*$H$11*(1-DOCF)*Sludge!E45</f>
        <v>0</v>
      </c>
      <c r="K44" s="575">
        <f>Amnt_Deposited!P40*$H$12*(1-DOCF)*Industry!D45</f>
        <v>0</v>
      </c>
      <c r="L44" s="572">
        <f>Amnt_Deposited!P40*Parameters!$E$58*$D$11*(1-DOCF)*Industry!E45</f>
        <v>0</v>
      </c>
      <c r="M44" s="573">
        <f>Amnt_Deposited!P40*Parameters!$E$59*$D$12*(1-DOCF)*Industry!E45</f>
        <v>0</v>
      </c>
      <c r="N44" s="508">
        <f t="shared" si="0"/>
        <v>0</v>
      </c>
      <c r="O44" s="510">
        <f t="shared" si="1"/>
        <v>24.27886161574326</v>
      </c>
    </row>
    <row r="45" spans="2:15">
      <c r="B45" s="507">
        <f t="shared" si="2"/>
        <v>1977</v>
      </c>
      <c r="C45" s="570">
        <f>Amnt_Deposited!O41*$D$10*(1-DOCF)*MSW!E46</f>
        <v>0</v>
      </c>
      <c r="D45" s="571">
        <f>Amnt_Deposited!C41*$F$10*(1-DOCF)*Food!E46</f>
        <v>0</v>
      </c>
      <c r="E45" s="572">
        <f>Amnt_Deposited!F41*$F$11*(1-DOCF)*Garden!E46</f>
        <v>0</v>
      </c>
      <c r="F45" s="572">
        <f>Amnt_Deposited!D41*$D$11*(1-DOCF)*Paper!E46</f>
        <v>0</v>
      </c>
      <c r="G45" s="572">
        <f>Amnt_Deposited!G41*$D$12*(1-DOCF)*Wood!E46</f>
        <v>0</v>
      </c>
      <c r="H45" s="572">
        <f>Amnt_Deposited!H41*$F$12*(1-DOCF)*Textiles!E46</f>
        <v>0</v>
      </c>
      <c r="I45" s="573">
        <f>Amnt_Deposited!E41*$H$10*(1-DOCF)*Nappies!E46</f>
        <v>0</v>
      </c>
      <c r="J45" s="574">
        <f>Amnt_Deposited!N41*$H$11*(1-DOCF)*Sludge!E46</f>
        <v>0</v>
      </c>
      <c r="K45" s="575">
        <f>Amnt_Deposited!P41*$H$12*(1-DOCF)*Industry!D46</f>
        <v>0</v>
      </c>
      <c r="L45" s="572">
        <f>Amnt_Deposited!P41*Parameters!$E$58*$D$11*(1-DOCF)*Industry!E46</f>
        <v>0</v>
      </c>
      <c r="M45" s="573">
        <f>Amnt_Deposited!P41*Parameters!$E$59*$D$12*(1-DOCF)*Industry!E46</f>
        <v>0</v>
      </c>
      <c r="N45" s="508">
        <f t="shared" si="0"/>
        <v>0</v>
      </c>
      <c r="O45" s="510">
        <f t="shared" si="1"/>
        <v>24.27886161574326</v>
      </c>
    </row>
    <row r="46" spans="2:15">
      <c r="B46" s="507">
        <f t="shared" si="2"/>
        <v>1978</v>
      </c>
      <c r="C46" s="570">
        <f>Amnt_Deposited!O42*$D$10*(1-DOCF)*MSW!E47</f>
        <v>0</v>
      </c>
      <c r="D46" s="571">
        <f>Amnt_Deposited!C42*$F$10*(1-DOCF)*Food!E47</f>
        <v>0</v>
      </c>
      <c r="E46" s="572">
        <f>Amnt_Deposited!F42*$F$11*(1-DOCF)*Garden!E47</f>
        <v>0</v>
      </c>
      <c r="F46" s="572">
        <f>Amnt_Deposited!D42*$D$11*(1-DOCF)*Paper!E47</f>
        <v>0</v>
      </c>
      <c r="G46" s="572">
        <f>Amnt_Deposited!G42*$D$12*(1-DOCF)*Wood!E47</f>
        <v>0</v>
      </c>
      <c r="H46" s="572">
        <f>Amnt_Deposited!H42*$F$12*(1-DOCF)*Textiles!E47</f>
        <v>0</v>
      </c>
      <c r="I46" s="573">
        <f>Amnt_Deposited!E42*$H$10*(1-DOCF)*Nappies!E47</f>
        <v>0</v>
      </c>
      <c r="J46" s="574">
        <f>Amnt_Deposited!N42*$H$11*(1-DOCF)*Sludge!E47</f>
        <v>0</v>
      </c>
      <c r="K46" s="575">
        <f>Amnt_Deposited!P42*$H$12*(1-DOCF)*Industry!D47</f>
        <v>0</v>
      </c>
      <c r="L46" s="572">
        <f>Amnt_Deposited!P42*Parameters!$E$58*$D$11*(1-DOCF)*Industry!E47</f>
        <v>0</v>
      </c>
      <c r="M46" s="573">
        <f>Amnt_Deposited!P42*Parameters!$E$59*$D$12*(1-DOCF)*Industry!E47</f>
        <v>0</v>
      </c>
      <c r="N46" s="508">
        <f t="shared" si="0"/>
        <v>0</v>
      </c>
      <c r="O46" s="510">
        <f t="shared" si="1"/>
        <v>24.27886161574326</v>
      </c>
    </row>
    <row r="47" spans="2:15">
      <c r="B47" s="507">
        <f t="shared" si="2"/>
        <v>1979</v>
      </c>
      <c r="C47" s="570">
        <f>Amnt_Deposited!O43*$D$10*(1-DOCF)*MSW!E48</f>
        <v>0</v>
      </c>
      <c r="D47" s="571">
        <f>Amnt_Deposited!C43*$F$10*(1-DOCF)*Food!E48</f>
        <v>0</v>
      </c>
      <c r="E47" s="572">
        <f>Amnt_Deposited!F43*$F$11*(1-DOCF)*Garden!E48</f>
        <v>0</v>
      </c>
      <c r="F47" s="572">
        <f>Amnt_Deposited!D43*$D$11*(1-DOCF)*Paper!E48</f>
        <v>0</v>
      </c>
      <c r="G47" s="572">
        <f>Amnt_Deposited!G43*$D$12*(1-DOCF)*Wood!E48</f>
        <v>0</v>
      </c>
      <c r="H47" s="572">
        <f>Amnt_Deposited!H43*$F$12*(1-DOCF)*Textiles!E48</f>
        <v>0</v>
      </c>
      <c r="I47" s="573">
        <f>Amnt_Deposited!E43*$H$10*(1-DOCF)*Nappies!E48</f>
        <v>0</v>
      </c>
      <c r="J47" s="574">
        <f>Amnt_Deposited!N43*$H$11*(1-DOCF)*Sludge!E48</f>
        <v>0</v>
      </c>
      <c r="K47" s="575">
        <f>Amnt_Deposited!P43*$H$12*(1-DOCF)*Industry!D48</f>
        <v>0</v>
      </c>
      <c r="L47" s="572">
        <f>Amnt_Deposited!P43*Parameters!$E$58*$D$11*(1-DOCF)*Industry!E48</f>
        <v>0</v>
      </c>
      <c r="M47" s="573">
        <f>Amnt_Deposited!P43*Parameters!$E$59*$D$12*(1-DOCF)*Industry!E48</f>
        <v>0</v>
      </c>
      <c r="N47" s="508">
        <f t="shared" si="0"/>
        <v>0</v>
      </c>
      <c r="O47" s="510">
        <f t="shared" si="1"/>
        <v>24.27886161574326</v>
      </c>
    </row>
    <row r="48" spans="2:15">
      <c r="B48" s="507">
        <f t="shared" si="2"/>
        <v>1980</v>
      </c>
      <c r="C48" s="570">
        <f>Amnt_Deposited!O44*$D$10*(1-DOCF)*MSW!E49</f>
        <v>0</v>
      </c>
      <c r="D48" s="571">
        <f>Amnt_Deposited!C44*$F$10*(1-DOCF)*Food!E49</f>
        <v>0</v>
      </c>
      <c r="E48" s="572">
        <f>Amnt_Deposited!F44*$F$11*(1-DOCF)*Garden!E49</f>
        <v>0</v>
      </c>
      <c r="F48" s="572">
        <f>Amnt_Deposited!D44*$D$11*(1-DOCF)*Paper!E49</f>
        <v>0</v>
      </c>
      <c r="G48" s="572">
        <f>Amnt_Deposited!G44*$D$12*(1-DOCF)*Wood!E49</f>
        <v>0</v>
      </c>
      <c r="H48" s="572">
        <f>Amnt_Deposited!H44*$F$12*(1-DOCF)*Textiles!E49</f>
        <v>0</v>
      </c>
      <c r="I48" s="573">
        <f>Amnt_Deposited!E44*$H$10*(1-DOCF)*Nappies!E49</f>
        <v>0</v>
      </c>
      <c r="J48" s="574">
        <f>Amnt_Deposited!N44*$H$11*(1-DOCF)*Sludge!E49</f>
        <v>0</v>
      </c>
      <c r="K48" s="575">
        <f>Amnt_Deposited!P44*$H$12*(1-DOCF)*Industry!D49</f>
        <v>0</v>
      </c>
      <c r="L48" s="572">
        <f>Amnt_Deposited!P44*Parameters!$E$58*$D$11*(1-DOCF)*Industry!E49</f>
        <v>0</v>
      </c>
      <c r="M48" s="573">
        <f>Amnt_Deposited!P44*Parameters!$E$59*$D$12*(1-DOCF)*Industry!E49</f>
        <v>0</v>
      </c>
      <c r="N48" s="508">
        <f t="shared" si="0"/>
        <v>0</v>
      </c>
      <c r="O48" s="510">
        <f t="shared" si="1"/>
        <v>24.27886161574326</v>
      </c>
    </row>
    <row r="49" spans="2:15">
      <c r="B49" s="507">
        <f t="shared" si="2"/>
        <v>1981</v>
      </c>
      <c r="C49" s="570">
        <f>Amnt_Deposited!O45*$D$10*(1-DOCF)*MSW!E50</f>
        <v>0</v>
      </c>
      <c r="D49" s="571">
        <f>Amnt_Deposited!C45*$F$10*(1-DOCF)*Food!E50</f>
        <v>0</v>
      </c>
      <c r="E49" s="572">
        <f>Amnt_Deposited!F45*$F$11*(1-DOCF)*Garden!E50</f>
        <v>0</v>
      </c>
      <c r="F49" s="572">
        <f>Amnt_Deposited!D45*$D$11*(1-DOCF)*Paper!E50</f>
        <v>0</v>
      </c>
      <c r="G49" s="572">
        <f>Amnt_Deposited!G45*$D$12*(1-DOCF)*Wood!E50</f>
        <v>0</v>
      </c>
      <c r="H49" s="572">
        <f>Amnt_Deposited!H45*$F$12*(1-DOCF)*Textiles!E50</f>
        <v>0</v>
      </c>
      <c r="I49" s="573">
        <f>Amnt_Deposited!E45*$H$10*(1-DOCF)*Nappies!E50</f>
        <v>0</v>
      </c>
      <c r="J49" s="574">
        <f>Amnt_Deposited!N45*$H$11*(1-DOCF)*Sludge!E50</f>
        <v>0</v>
      </c>
      <c r="K49" s="575">
        <f>Amnt_Deposited!P45*$H$12*(1-DOCF)*Industry!D50</f>
        <v>0</v>
      </c>
      <c r="L49" s="572">
        <f>Amnt_Deposited!P45*Parameters!$E$58*$D$11*(1-DOCF)*Industry!E50</f>
        <v>0</v>
      </c>
      <c r="M49" s="573">
        <f>Amnt_Deposited!P45*Parameters!$E$59*$D$12*(1-DOCF)*Industry!E50</f>
        <v>0</v>
      </c>
      <c r="N49" s="508">
        <f t="shared" si="0"/>
        <v>0</v>
      </c>
      <c r="O49" s="510">
        <f t="shared" si="1"/>
        <v>24.27886161574326</v>
      </c>
    </row>
    <row r="50" spans="2:15">
      <c r="B50" s="507">
        <f t="shared" si="2"/>
        <v>1982</v>
      </c>
      <c r="C50" s="570">
        <f>Amnt_Deposited!O46*$D$10*(1-DOCF)*MSW!E51</f>
        <v>0</v>
      </c>
      <c r="D50" s="571">
        <f>Amnt_Deposited!C46*$F$10*(1-DOCF)*Food!E51</f>
        <v>0</v>
      </c>
      <c r="E50" s="572">
        <f>Amnt_Deposited!F46*$F$11*(1-DOCF)*Garden!E51</f>
        <v>0</v>
      </c>
      <c r="F50" s="572">
        <f>Amnt_Deposited!D46*$D$11*(1-DOCF)*Paper!E51</f>
        <v>0</v>
      </c>
      <c r="G50" s="572">
        <f>Amnt_Deposited!G46*$D$12*(1-DOCF)*Wood!E51</f>
        <v>0</v>
      </c>
      <c r="H50" s="572">
        <f>Amnt_Deposited!H46*$F$12*(1-DOCF)*Textiles!E51</f>
        <v>0</v>
      </c>
      <c r="I50" s="573">
        <f>Amnt_Deposited!E46*$H$10*(1-DOCF)*Nappies!E51</f>
        <v>0</v>
      </c>
      <c r="J50" s="574">
        <f>Amnt_Deposited!N46*$H$11*(1-DOCF)*Sludge!E51</f>
        <v>0</v>
      </c>
      <c r="K50" s="575">
        <f>Amnt_Deposited!P46*$H$12*(1-DOCF)*Industry!D51</f>
        <v>0</v>
      </c>
      <c r="L50" s="572">
        <f>Amnt_Deposited!P46*Parameters!$E$58*$D$11*(1-DOCF)*Industry!E51</f>
        <v>0</v>
      </c>
      <c r="M50" s="573">
        <f>Amnt_Deposited!P46*Parameters!$E$59*$D$12*(1-DOCF)*Industry!E51</f>
        <v>0</v>
      </c>
      <c r="N50" s="508">
        <f t="shared" ref="N50:N81" si="3">IF(Select2=2,C50+J50+K50, D50+E50+F50+G50+H50+I50+J50+K50)</f>
        <v>0</v>
      </c>
      <c r="O50" s="510">
        <f t="shared" si="1"/>
        <v>24.27886161574326</v>
      </c>
    </row>
    <row r="51" spans="2:15">
      <c r="B51" s="507">
        <f t="shared" si="2"/>
        <v>1983</v>
      </c>
      <c r="C51" s="570">
        <f>Amnt_Deposited!O47*$D$10*(1-DOCF)*MSW!E52</f>
        <v>0</v>
      </c>
      <c r="D51" s="571">
        <f>Amnt_Deposited!C47*$F$10*(1-DOCF)*Food!E52</f>
        <v>0</v>
      </c>
      <c r="E51" s="572">
        <f>Amnt_Deposited!F47*$F$11*(1-DOCF)*Garden!E52</f>
        <v>0</v>
      </c>
      <c r="F51" s="572">
        <f>Amnt_Deposited!D47*$D$11*(1-DOCF)*Paper!E52</f>
        <v>0</v>
      </c>
      <c r="G51" s="572">
        <f>Amnt_Deposited!G47*$D$12*(1-DOCF)*Wood!E52</f>
        <v>0</v>
      </c>
      <c r="H51" s="572">
        <f>Amnt_Deposited!H47*$F$12*(1-DOCF)*Textiles!E52</f>
        <v>0</v>
      </c>
      <c r="I51" s="573">
        <f>Amnt_Deposited!E47*$H$10*(1-DOCF)*Nappies!E52</f>
        <v>0</v>
      </c>
      <c r="J51" s="574">
        <f>Amnt_Deposited!N47*$H$11*(1-DOCF)*Sludge!E52</f>
        <v>0</v>
      </c>
      <c r="K51" s="575">
        <f>Amnt_Deposited!P47*$H$12*(1-DOCF)*Industry!D52</f>
        <v>0</v>
      </c>
      <c r="L51" s="572">
        <f>Amnt_Deposited!P47*Parameters!$E$58*$D$11*(1-DOCF)*Industry!E52</f>
        <v>0</v>
      </c>
      <c r="M51" s="573">
        <f>Amnt_Deposited!P47*Parameters!$E$59*$D$12*(1-DOCF)*Industry!E52</f>
        <v>0</v>
      </c>
      <c r="N51" s="508">
        <f t="shared" si="3"/>
        <v>0</v>
      </c>
      <c r="O51" s="510">
        <f t="shared" si="1"/>
        <v>24.27886161574326</v>
      </c>
    </row>
    <row r="52" spans="2:15">
      <c r="B52" s="507">
        <f t="shared" si="2"/>
        <v>1984</v>
      </c>
      <c r="C52" s="570">
        <f>Amnt_Deposited!O48*$D$10*(1-DOCF)*MSW!E53</f>
        <v>0</v>
      </c>
      <c r="D52" s="571">
        <f>Amnt_Deposited!C48*$F$10*(1-DOCF)*Food!E53</f>
        <v>0</v>
      </c>
      <c r="E52" s="572">
        <f>Amnt_Deposited!F48*$F$11*(1-DOCF)*Garden!E53</f>
        <v>0</v>
      </c>
      <c r="F52" s="572">
        <f>Amnt_Deposited!D48*$D$11*(1-DOCF)*Paper!E53</f>
        <v>0</v>
      </c>
      <c r="G52" s="572">
        <f>Amnt_Deposited!G48*$D$12*(1-DOCF)*Wood!E53</f>
        <v>0</v>
      </c>
      <c r="H52" s="572">
        <f>Amnt_Deposited!H48*$F$12*(1-DOCF)*Textiles!E53</f>
        <v>0</v>
      </c>
      <c r="I52" s="573">
        <f>Amnt_Deposited!E48*$H$10*(1-DOCF)*Nappies!E53</f>
        <v>0</v>
      </c>
      <c r="J52" s="574">
        <f>Amnt_Deposited!N48*$H$11*(1-DOCF)*Sludge!E53</f>
        <v>0</v>
      </c>
      <c r="K52" s="575">
        <f>Amnt_Deposited!P48*$H$12*(1-DOCF)*Industry!D53</f>
        <v>0</v>
      </c>
      <c r="L52" s="572">
        <f>Amnt_Deposited!P48*Parameters!$E$58*$D$11*(1-DOCF)*Industry!E53</f>
        <v>0</v>
      </c>
      <c r="M52" s="573">
        <f>Amnt_Deposited!P48*Parameters!$E$59*$D$12*(1-DOCF)*Industry!E53</f>
        <v>0</v>
      </c>
      <c r="N52" s="508">
        <f t="shared" si="3"/>
        <v>0</v>
      </c>
      <c r="O52" s="510">
        <f t="shared" si="1"/>
        <v>24.27886161574326</v>
      </c>
    </row>
    <row r="53" spans="2:15">
      <c r="B53" s="507">
        <f t="shared" si="2"/>
        <v>1985</v>
      </c>
      <c r="C53" s="570">
        <f>Amnt_Deposited!O49*$D$10*(1-DOCF)*MSW!E54</f>
        <v>0</v>
      </c>
      <c r="D53" s="571">
        <f>Amnt_Deposited!C49*$F$10*(1-DOCF)*Food!E54</f>
        <v>0</v>
      </c>
      <c r="E53" s="572">
        <f>Amnt_Deposited!F49*$F$11*(1-DOCF)*Garden!E54</f>
        <v>0</v>
      </c>
      <c r="F53" s="572">
        <f>Amnt_Deposited!D49*$D$11*(1-DOCF)*Paper!E54</f>
        <v>0</v>
      </c>
      <c r="G53" s="572">
        <f>Amnt_Deposited!G49*$D$12*(1-DOCF)*Wood!E54</f>
        <v>0</v>
      </c>
      <c r="H53" s="572">
        <f>Amnt_Deposited!H49*$F$12*(1-DOCF)*Textiles!E54</f>
        <v>0</v>
      </c>
      <c r="I53" s="573">
        <f>Amnt_Deposited!E49*$H$10*(1-DOCF)*Nappies!E54</f>
        <v>0</v>
      </c>
      <c r="J53" s="574">
        <f>Amnt_Deposited!N49*$H$11*(1-DOCF)*Sludge!E54</f>
        <v>0</v>
      </c>
      <c r="K53" s="575">
        <f>Amnt_Deposited!P49*$H$12*(1-DOCF)*Industry!D54</f>
        <v>0</v>
      </c>
      <c r="L53" s="572">
        <f>Amnt_Deposited!P49*Parameters!$E$58*$D$11*(1-DOCF)*Industry!E54</f>
        <v>0</v>
      </c>
      <c r="M53" s="573">
        <f>Amnt_Deposited!P49*Parameters!$E$59*$D$12*(1-DOCF)*Industry!E54</f>
        <v>0</v>
      </c>
      <c r="N53" s="508">
        <f t="shared" si="3"/>
        <v>0</v>
      </c>
      <c r="O53" s="510">
        <f t="shared" si="1"/>
        <v>24.27886161574326</v>
      </c>
    </row>
    <row r="54" spans="2:15">
      <c r="B54" s="507">
        <f t="shared" si="2"/>
        <v>1986</v>
      </c>
      <c r="C54" s="570">
        <f>Amnt_Deposited!O50*$D$10*(1-DOCF)*MSW!E55</f>
        <v>0</v>
      </c>
      <c r="D54" s="571">
        <f>Amnt_Deposited!C50*$F$10*(1-DOCF)*Food!E55</f>
        <v>0</v>
      </c>
      <c r="E54" s="572">
        <f>Amnt_Deposited!F50*$F$11*(1-DOCF)*Garden!E55</f>
        <v>0</v>
      </c>
      <c r="F54" s="572">
        <f>Amnt_Deposited!D50*$D$11*(1-DOCF)*Paper!E55</f>
        <v>0</v>
      </c>
      <c r="G54" s="572">
        <f>Amnt_Deposited!G50*$D$12*(1-DOCF)*Wood!E55</f>
        <v>0</v>
      </c>
      <c r="H54" s="572">
        <f>Amnt_Deposited!H50*$F$12*(1-DOCF)*Textiles!E55</f>
        <v>0</v>
      </c>
      <c r="I54" s="573">
        <f>Amnt_Deposited!E50*$H$10*(1-DOCF)*Nappies!E55</f>
        <v>0</v>
      </c>
      <c r="J54" s="574">
        <f>Amnt_Deposited!N50*$H$11*(1-DOCF)*Sludge!E55</f>
        <v>0</v>
      </c>
      <c r="K54" s="575">
        <f>Amnt_Deposited!P50*$H$12*(1-DOCF)*Industry!D55</f>
        <v>0</v>
      </c>
      <c r="L54" s="572">
        <f>Amnt_Deposited!P50*Parameters!$E$58*$D$11*(1-DOCF)*Industry!E55</f>
        <v>0</v>
      </c>
      <c r="M54" s="573">
        <f>Amnt_Deposited!P50*Parameters!$E$59*$D$12*(1-DOCF)*Industry!E55</f>
        <v>0</v>
      </c>
      <c r="N54" s="508">
        <f t="shared" si="3"/>
        <v>0</v>
      </c>
      <c r="O54" s="510">
        <f t="shared" si="1"/>
        <v>24.27886161574326</v>
      </c>
    </row>
    <row r="55" spans="2:15">
      <c r="B55" s="507">
        <f t="shared" si="2"/>
        <v>1987</v>
      </c>
      <c r="C55" s="570">
        <f>Amnt_Deposited!O51*$D$10*(1-DOCF)*MSW!E56</f>
        <v>0</v>
      </c>
      <c r="D55" s="571">
        <f>Amnt_Deposited!C51*$F$10*(1-DOCF)*Food!E56</f>
        <v>0</v>
      </c>
      <c r="E55" s="572">
        <f>Amnt_Deposited!F51*$F$11*(1-DOCF)*Garden!E56</f>
        <v>0</v>
      </c>
      <c r="F55" s="572">
        <f>Amnt_Deposited!D51*$D$11*(1-DOCF)*Paper!E56</f>
        <v>0</v>
      </c>
      <c r="G55" s="572">
        <f>Amnt_Deposited!G51*$D$12*(1-DOCF)*Wood!E56</f>
        <v>0</v>
      </c>
      <c r="H55" s="572">
        <f>Amnt_Deposited!H51*$F$12*(1-DOCF)*Textiles!E56</f>
        <v>0</v>
      </c>
      <c r="I55" s="573">
        <f>Amnt_Deposited!E51*$H$10*(1-DOCF)*Nappies!E56</f>
        <v>0</v>
      </c>
      <c r="J55" s="574">
        <f>Amnt_Deposited!N51*$H$11*(1-DOCF)*Sludge!E56</f>
        <v>0</v>
      </c>
      <c r="K55" s="575">
        <f>Amnt_Deposited!P51*$H$12*(1-DOCF)*Industry!D56</f>
        <v>0</v>
      </c>
      <c r="L55" s="572">
        <f>Amnt_Deposited!P51*Parameters!$E$58*$D$11*(1-DOCF)*Industry!E56</f>
        <v>0</v>
      </c>
      <c r="M55" s="573">
        <f>Amnt_Deposited!P51*Parameters!$E$59*$D$12*(1-DOCF)*Industry!E56</f>
        <v>0</v>
      </c>
      <c r="N55" s="508">
        <f t="shared" si="3"/>
        <v>0</v>
      </c>
      <c r="O55" s="510">
        <f t="shared" si="1"/>
        <v>24.27886161574326</v>
      </c>
    </row>
    <row r="56" spans="2:15">
      <c r="B56" s="507">
        <f t="shared" si="2"/>
        <v>1988</v>
      </c>
      <c r="C56" s="570">
        <f>Amnt_Deposited!O52*$D$10*(1-DOCF)*MSW!E57</f>
        <v>0</v>
      </c>
      <c r="D56" s="571">
        <f>Amnt_Deposited!C52*$F$10*(1-DOCF)*Food!E57</f>
        <v>0</v>
      </c>
      <c r="E56" s="572">
        <f>Amnt_Deposited!F52*$F$11*(1-DOCF)*Garden!E57</f>
        <v>0</v>
      </c>
      <c r="F56" s="572">
        <f>Amnt_Deposited!D52*$D$11*(1-DOCF)*Paper!E57</f>
        <v>0</v>
      </c>
      <c r="G56" s="572">
        <f>Amnt_Deposited!G52*$D$12*(1-DOCF)*Wood!E57</f>
        <v>0</v>
      </c>
      <c r="H56" s="572">
        <f>Amnt_Deposited!H52*$F$12*(1-DOCF)*Textiles!E57</f>
        <v>0</v>
      </c>
      <c r="I56" s="573">
        <f>Amnt_Deposited!E52*$H$10*(1-DOCF)*Nappies!E57</f>
        <v>0</v>
      </c>
      <c r="J56" s="574">
        <f>Amnt_Deposited!N52*$H$11*(1-DOCF)*Sludge!E57</f>
        <v>0</v>
      </c>
      <c r="K56" s="575">
        <f>Amnt_Deposited!P52*$H$12*(1-DOCF)*Industry!D57</f>
        <v>0</v>
      </c>
      <c r="L56" s="572">
        <f>Amnt_Deposited!P52*Parameters!$E$58*$D$11*(1-DOCF)*Industry!E57</f>
        <v>0</v>
      </c>
      <c r="M56" s="573">
        <f>Amnt_Deposited!P52*Parameters!$E$59*$D$12*(1-DOCF)*Industry!E57</f>
        <v>0</v>
      </c>
      <c r="N56" s="508">
        <f t="shared" si="3"/>
        <v>0</v>
      </c>
      <c r="O56" s="510">
        <f t="shared" si="1"/>
        <v>24.27886161574326</v>
      </c>
    </row>
    <row r="57" spans="2:15">
      <c r="B57" s="507">
        <f t="shared" si="2"/>
        <v>1989</v>
      </c>
      <c r="C57" s="570">
        <f>Amnt_Deposited!O53*$D$10*(1-DOCF)*MSW!E58</f>
        <v>0</v>
      </c>
      <c r="D57" s="571">
        <f>Amnt_Deposited!C53*$F$10*(1-DOCF)*Food!E58</f>
        <v>0</v>
      </c>
      <c r="E57" s="572">
        <f>Amnt_Deposited!F53*$F$11*(1-DOCF)*Garden!E58</f>
        <v>0</v>
      </c>
      <c r="F57" s="572">
        <f>Amnt_Deposited!D53*$D$11*(1-DOCF)*Paper!E58</f>
        <v>0</v>
      </c>
      <c r="G57" s="572">
        <f>Amnt_Deposited!G53*$D$12*(1-DOCF)*Wood!E58</f>
        <v>0</v>
      </c>
      <c r="H57" s="572">
        <f>Amnt_Deposited!H53*$F$12*(1-DOCF)*Textiles!E58</f>
        <v>0</v>
      </c>
      <c r="I57" s="573">
        <f>Amnt_Deposited!E53*$H$10*(1-DOCF)*Nappies!E58</f>
        <v>0</v>
      </c>
      <c r="J57" s="574">
        <f>Amnt_Deposited!N53*$H$11*(1-DOCF)*Sludge!E58</f>
        <v>0</v>
      </c>
      <c r="K57" s="575">
        <f>Amnt_Deposited!P53*$H$12*(1-DOCF)*Industry!D58</f>
        <v>0</v>
      </c>
      <c r="L57" s="572">
        <f>Amnt_Deposited!P53*Parameters!$E$58*$D$11*(1-DOCF)*Industry!E58</f>
        <v>0</v>
      </c>
      <c r="M57" s="573">
        <f>Amnt_Deposited!P53*Parameters!$E$59*$D$12*(1-DOCF)*Industry!E58</f>
        <v>0</v>
      </c>
      <c r="N57" s="508">
        <f t="shared" si="3"/>
        <v>0</v>
      </c>
      <c r="O57" s="510">
        <f t="shared" si="1"/>
        <v>24.27886161574326</v>
      </c>
    </row>
    <row r="58" spans="2:15">
      <c r="B58" s="507">
        <f t="shared" si="2"/>
        <v>1990</v>
      </c>
      <c r="C58" s="570">
        <f>Amnt_Deposited!O54*$D$10*(1-DOCF)*MSW!E59</f>
        <v>0</v>
      </c>
      <c r="D58" s="571">
        <f>Amnt_Deposited!C54*$F$10*(1-DOCF)*Food!E59</f>
        <v>0</v>
      </c>
      <c r="E58" s="572">
        <f>Amnt_Deposited!F54*$F$11*(1-DOCF)*Garden!E59</f>
        <v>0</v>
      </c>
      <c r="F58" s="572">
        <f>Amnt_Deposited!D54*$D$11*(1-DOCF)*Paper!E59</f>
        <v>0</v>
      </c>
      <c r="G58" s="572">
        <f>Amnt_Deposited!G54*$D$12*(1-DOCF)*Wood!E59</f>
        <v>0</v>
      </c>
      <c r="H58" s="572">
        <f>Amnt_Deposited!H54*$F$12*(1-DOCF)*Textiles!E59</f>
        <v>0</v>
      </c>
      <c r="I58" s="573">
        <f>Amnt_Deposited!E54*$H$10*(1-DOCF)*Nappies!E59</f>
        <v>0</v>
      </c>
      <c r="J58" s="574">
        <f>Amnt_Deposited!N54*$H$11*(1-DOCF)*Sludge!E59</f>
        <v>0</v>
      </c>
      <c r="K58" s="575">
        <f>Amnt_Deposited!P54*$H$12*(1-DOCF)*Industry!D59</f>
        <v>0</v>
      </c>
      <c r="L58" s="572">
        <f>Amnt_Deposited!P54*Parameters!$E$58*$D$11*(1-DOCF)*Industry!E59</f>
        <v>0</v>
      </c>
      <c r="M58" s="573">
        <f>Amnt_Deposited!P54*Parameters!$E$59*$D$12*(1-DOCF)*Industry!E59</f>
        <v>0</v>
      </c>
      <c r="N58" s="508">
        <f t="shared" si="3"/>
        <v>0</v>
      </c>
      <c r="O58" s="510">
        <f t="shared" si="1"/>
        <v>24.27886161574326</v>
      </c>
    </row>
    <row r="59" spans="2:15">
      <c r="B59" s="507">
        <f t="shared" si="2"/>
        <v>1991</v>
      </c>
      <c r="C59" s="570">
        <f>Amnt_Deposited!O55*$D$10*(1-DOCF)*MSW!E60</f>
        <v>0</v>
      </c>
      <c r="D59" s="571">
        <f>Amnt_Deposited!C55*$F$10*(1-DOCF)*Food!E60</f>
        <v>0</v>
      </c>
      <c r="E59" s="572">
        <f>Amnt_Deposited!F55*$F$11*(1-DOCF)*Garden!E60</f>
        <v>0</v>
      </c>
      <c r="F59" s="572">
        <f>Amnt_Deposited!D55*$D$11*(1-DOCF)*Paper!E60</f>
        <v>0</v>
      </c>
      <c r="G59" s="572">
        <f>Amnt_Deposited!G55*$D$12*(1-DOCF)*Wood!E60</f>
        <v>0</v>
      </c>
      <c r="H59" s="572">
        <f>Amnt_Deposited!H55*$F$12*(1-DOCF)*Textiles!E60</f>
        <v>0</v>
      </c>
      <c r="I59" s="573">
        <f>Amnt_Deposited!E55*$H$10*(1-DOCF)*Nappies!E60</f>
        <v>0</v>
      </c>
      <c r="J59" s="574">
        <f>Amnt_Deposited!N55*$H$11*(1-DOCF)*Sludge!E60</f>
        <v>0</v>
      </c>
      <c r="K59" s="575">
        <f>Amnt_Deposited!P55*$H$12*(1-DOCF)*Industry!D60</f>
        <v>0</v>
      </c>
      <c r="L59" s="572">
        <f>Amnt_Deposited!P55*Parameters!$E$58*$D$11*(1-DOCF)*Industry!E60</f>
        <v>0</v>
      </c>
      <c r="M59" s="573">
        <f>Amnt_Deposited!P55*Parameters!$E$59*$D$12*(1-DOCF)*Industry!E60</f>
        <v>0</v>
      </c>
      <c r="N59" s="508">
        <f t="shared" si="3"/>
        <v>0</v>
      </c>
      <c r="O59" s="510">
        <f t="shared" si="1"/>
        <v>24.27886161574326</v>
      </c>
    </row>
    <row r="60" spans="2:15">
      <c r="B60" s="507">
        <f t="shared" si="2"/>
        <v>1992</v>
      </c>
      <c r="C60" s="570">
        <f>Amnt_Deposited!O56*$D$10*(1-DOCF)*MSW!E61</f>
        <v>0</v>
      </c>
      <c r="D60" s="571">
        <f>Amnt_Deposited!C56*$F$10*(1-DOCF)*Food!E61</f>
        <v>0</v>
      </c>
      <c r="E60" s="572">
        <f>Amnt_Deposited!F56*$F$11*(1-DOCF)*Garden!E61</f>
        <v>0</v>
      </c>
      <c r="F60" s="572">
        <f>Amnt_Deposited!D56*$D$11*(1-DOCF)*Paper!E61</f>
        <v>0</v>
      </c>
      <c r="G60" s="572">
        <f>Amnt_Deposited!G56*$D$12*(1-DOCF)*Wood!E61</f>
        <v>0</v>
      </c>
      <c r="H60" s="572">
        <f>Amnt_Deposited!H56*$F$12*(1-DOCF)*Textiles!E61</f>
        <v>0</v>
      </c>
      <c r="I60" s="573">
        <f>Amnt_Deposited!E56*$H$10*(1-DOCF)*Nappies!E61</f>
        <v>0</v>
      </c>
      <c r="J60" s="574">
        <f>Amnt_Deposited!N56*$H$11*(1-DOCF)*Sludge!E61</f>
        <v>0</v>
      </c>
      <c r="K60" s="575">
        <f>Amnt_Deposited!P56*$H$12*(1-DOCF)*Industry!D61</f>
        <v>0</v>
      </c>
      <c r="L60" s="572">
        <f>Amnt_Deposited!P56*Parameters!$E$58*$D$11*(1-DOCF)*Industry!E61</f>
        <v>0</v>
      </c>
      <c r="M60" s="573">
        <f>Amnt_Deposited!P56*Parameters!$E$59*$D$12*(1-DOCF)*Industry!E61</f>
        <v>0</v>
      </c>
      <c r="N60" s="508">
        <f t="shared" si="3"/>
        <v>0</v>
      </c>
      <c r="O60" s="510">
        <f t="shared" si="1"/>
        <v>24.27886161574326</v>
      </c>
    </row>
    <row r="61" spans="2:15">
      <c r="B61" s="507">
        <f t="shared" si="2"/>
        <v>1993</v>
      </c>
      <c r="C61" s="570">
        <f>Amnt_Deposited!O57*$D$10*(1-DOCF)*MSW!E62</f>
        <v>0</v>
      </c>
      <c r="D61" s="571">
        <f>Amnt_Deposited!C57*$F$10*(1-DOCF)*Food!E62</f>
        <v>0</v>
      </c>
      <c r="E61" s="572">
        <f>Amnt_Deposited!F57*$F$11*(1-DOCF)*Garden!E62</f>
        <v>0</v>
      </c>
      <c r="F61" s="572">
        <f>Amnt_Deposited!D57*$D$11*(1-DOCF)*Paper!E62</f>
        <v>0</v>
      </c>
      <c r="G61" s="572">
        <f>Amnt_Deposited!G57*$D$12*(1-DOCF)*Wood!E62</f>
        <v>0</v>
      </c>
      <c r="H61" s="572">
        <f>Amnt_Deposited!H57*$F$12*(1-DOCF)*Textiles!E62</f>
        <v>0</v>
      </c>
      <c r="I61" s="573">
        <f>Amnt_Deposited!E57*$H$10*(1-DOCF)*Nappies!E62</f>
        <v>0</v>
      </c>
      <c r="J61" s="574">
        <f>Amnt_Deposited!N57*$H$11*(1-DOCF)*Sludge!E62</f>
        <v>0</v>
      </c>
      <c r="K61" s="575">
        <f>Amnt_Deposited!P57*$H$12*(1-DOCF)*Industry!D62</f>
        <v>0</v>
      </c>
      <c r="L61" s="572">
        <f>Amnt_Deposited!P57*Parameters!$E$58*$D$11*(1-DOCF)*Industry!E62</f>
        <v>0</v>
      </c>
      <c r="M61" s="573">
        <f>Amnt_Deposited!P57*Parameters!$E$59*$D$12*(1-DOCF)*Industry!E62</f>
        <v>0</v>
      </c>
      <c r="N61" s="508">
        <f t="shared" si="3"/>
        <v>0</v>
      </c>
      <c r="O61" s="510">
        <f t="shared" si="1"/>
        <v>24.27886161574326</v>
      </c>
    </row>
    <row r="62" spans="2:15">
      <c r="B62" s="507">
        <f t="shared" si="2"/>
        <v>1994</v>
      </c>
      <c r="C62" s="570">
        <f>Amnt_Deposited!O58*$D$10*(1-DOCF)*MSW!E63</f>
        <v>0</v>
      </c>
      <c r="D62" s="571">
        <f>Amnt_Deposited!C58*$F$10*(1-DOCF)*Food!E63</f>
        <v>0</v>
      </c>
      <c r="E62" s="572">
        <f>Amnt_Deposited!F58*$F$11*(1-DOCF)*Garden!E63</f>
        <v>0</v>
      </c>
      <c r="F62" s="572">
        <f>Amnt_Deposited!D58*$D$11*(1-DOCF)*Paper!E63</f>
        <v>0</v>
      </c>
      <c r="G62" s="572">
        <f>Amnt_Deposited!G58*$D$12*(1-DOCF)*Wood!E63</f>
        <v>0</v>
      </c>
      <c r="H62" s="572">
        <f>Amnt_Deposited!H58*$F$12*(1-DOCF)*Textiles!E63</f>
        <v>0</v>
      </c>
      <c r="I62" s="573">
        <f>Amnt_Deposited!E58*$H$10*(1-DOCF)*Nappies!E63</f>
        <v>0</v>
      </c>
      <c r="J62" s="574">
        <f>Amnt_Deposited!N58*$H$11*(1-DOCF)*Sludge!E63</f>
        <v>0</v>
      </c>
      <c r="K62" s="575">
        <f>Amnt_Deposited!P58*$H$12*(1-DOCF)*Industry!D63</f>
        <v>0</v>
      </c>
      <c r="L62" s="572">
        <f>Amnt_Deposited!P58*Parameters!$E$58*$D$11*(1-DOCF)*Industry!E63</f>
        <v>0</v>
      </c>
      <c r="M62" s="573">
        <f>Amnt_Deposited!P58*Parameters!$E$59*$D$12*(1-DOCF)*Industry!E63</f>
        <v>0</v>
      </c>
      <c r="N62" s="508">
        <f t="shared" si="3"/>
        <v>0</v>
      </c>
      <c r="O62" s="510">
        <f t="shared" si="1"/>
        <v>24.27886161574326</v>
      </c>
    </row>
    <row r="63" spans="2:15">
      <c r="B63" s="507">
        <f t="shared" si="2"/>
        <v>1995</v>
      </c>
      <c r="C63" s="570">
        <f>Amnt_Deposited!O59*$D$10*(1-DOCF)*MSW!E64</f>
        <v>0</v>
      </c>
      <c r="D63" s="571">
        <f>Amnt_Deposited!C59*$F$10*(1-DOCF)*Food!E64</f>
        <v>0</v>
      </c>
      <c r="E63" s="572">
        <f>Amnt_Deposited!F59*$F$11*(1-DOCF)*Garden!E64</f>
        <v>0</v>
      </c>
      <c r="F63" s="572">
        <f>Amnt_Deposited!D59*$D$11*(1-DOCF)*Paper!E64</f>
        <v>0</v>
      </c>
      <c r="G63" s="572">
        <f>Amnt_Deposited!G59*$D$12*(1-DOCF)*Wood!E64</f>
        <v>0</v>
      </c>
      <c r="H63" s="572">
        <f>Amnt_Deposited!H59*$F$12*(1-DOCF)*Textiles!E64</f>
        <v>0</v>
      </c>
      <c r="I63" s="573">
        <f>Amnt_Deposited!E59*$H$10*(1-DOCF)*Nappies!E64</f>
        <v>0</v>
      </c>
      <c r="J63" s="574">
        <f>Amnt_Deposited!N59*$H$11*(1-DOCF)*Sludge!E64</f>
        <v>0</v>
      </c>
      <c r="K63" s="575">
        <f>Amnt_Deposited!P59*$H$12*(1-DOCF)*Industry!D64</f>
        <v>0</v>
      </c>
      <c r="L63" s="572">
        <f>Amnt_Deposited!P59*Parameters!$E$58*$D$11*(1-DOCF)*Industry!E64</f>
        <v>0</v>
      </c>
      <c r="M63" s="573">
        <f>Amnt_Deposited!P59*Parameters!$E$59*$D$12*(1-DOCF)*Industry!E64</f>
        <v>0</v>
      </c>
      <c r="N63" s="508">
        <f t="shared" si="3"/>
        <v>0</v>
      </c>
      <c r="O63" s="510">
        <f t="shared" si="1"/>
        <v>24.27886161574326</v>
      </c>
    </row>
    <row r="64" spans="2:15">
      <c r="B64" s="507">
        <f t="shared" si="2"/>
        <v>1996</v>
      </c>
      <c r="C64" s="570">
        <f>Amnt_Deposited!O60*$D$10*(1-DOCF)*MSW!E65</f>
        <v>0</v>
      </c>
      <c r="D64" s="571">
        <f>Amnt_Deposited!C60*$F$10*(1-DOCF)*Food!E65</f>
        <v>0</v>
      </c>
      <c r="E64" s="572">
        <f>Amnt_Deposited!F60*$F$11*(1-DOCF)*Garden!E65</f>
        <v>0</v>
      </c>
      <c r="F64" s="572">
        <f>Amnt_Deposited!D60*$D$11*(1-DOCF)*Paper!E65</f>
        <v>0</v>
      </c>
      <c r="G64" s="572">
        <f>Amnt_Deposited!G60*$D$12*(1-DOCF)*Wood!E65</f>
        <v>0</v>
      </c>
      <c r="H64" s="572">
        <f>Amnt_Deposited!H60*$F$12*(1-DOCF)*Textiles!E65</f>
        <v>0</v>
      </c>
      <c r="I64" s="573">
        <f>Amnt_Deposited!E60*$H$10*(1-DOCF)*Nappies!E65</f>
        <v>0</v>
      </c>
      <c r="J64" s="574">
        <f>Amnt_Deposited!N60*$H$11*(1-DOCF)*Sludge!E65</f>
        <v>0</v>
      </c>
      <c r="K64" s="575">
        <f>Amnt_Deposited!P60*$H$12*(1-DOCF)*Industry!D65</f>
        <v>0</v>
      </c>
      <c r="L64" s="572">
        <f>Amnt_Deposited!P60*Parameters!$E$58*$D$11*(1-DOCF)*Industry!E65</f>
        <v>0</v>
      </c>
      <c r="M64" s="573">
        <f>Amnt_Deposited!P60*Parameters!$E$59*$D$12*(1-DOCF)*Industry!E65</f>
        <v>0</v>
      </c>
      <c r="N64" s="508">
        <f t="shared" si="3"/>
        <v>0</v>
      </c>
      <c r="O64" s="510">
        <f t="shared" si="1"/>
        <v>24.27886161574326</v>
      </c>
    </row>
    <row r="65" spans="2:15">
      <c r="B65" s="507">
        <f t="shared" si="2"/>
        <v>1997</v>
      </c>
      <c r="C65" s="570">
        <f>Amnt_Deposited!O61*$D$10*(1-DOCF)*MSW!E66</f>
        <v>0</v>
      </c>
      <c r="D65" s="571">
        <f>Amnt_Deposited!C61*$F$10*(1-DOCF)*Food!E66</f>
        <v>0</v>
      </c>
      <c r="E65" s="572">
        <f>Amnt_Deposited!F61*$F$11*(1-DOCF)*Garden!E66</f>
        <v>0</v>
      </c>
      <c r="F65" s="572">
        <f>Amnt_Deposited!D61*$D$11*(1-DOCF)*Paper!E66</f>
        <v>0</v>
      </c>
      <c r="G65" s="572">
        <f>Amnt_Deposited!G61*$D$12*(1-DOCF)*Wood!E66</f>
        <v>0</v>
      </c>
      <c r="H65" s="572">
        <f>Amnt_Deposited!H61*$F$12*(1-DOCF)*Textiles!E66</f>
        <v>0</v>
      </c>
      <c r="I65" s="573">
        <f>Amnt_Deposited!E61*$H$10*(1-DOCF)*Nappies!E66</f>
        <v>0</v>
      </c>
      <c r="J65" s="574">
        <f>Amnt_Deposited!N61*$H$11*(1-DOCF)*Sludge!E66</f>
        <v>0</v>
      </c>
      <c r="K65" s="575">
        <f>Amnt_Deposited!P61*$H$12*(1-DOCF)*Industry!D66</f>
        <v>0</v>
      </c>
      <c r="L65" s="572">
        <f>Amnt_Deposited!P61*Parameters!$E$58*$D$11*(1-DOCF)*Industry!E66</f>
        <v>0</v>
      </c>
      <c r="M65" s="573">
        <f>Amnt_Deposited!P61*Parameters!$E$59*$D$12*(1-DOCF)*Industry!E66</f>
        <v>0</v>
      </c>
      <c r="N65" s="508">
        <f t="shared" si="3"/>
        <v>0</v>
      </c>
      <c r="O65" s="510">
        <f t="shared" si="1"/>
        <v>24.27886161574326</v>
      </c>
    </row>
    <row r="66" spans="2:15">
      <c r="B66" s="507">
        <f t="shared" si="2"/>
        <v>1998</v>
      </c>
      <c r="C66" s="570">
        <f>Amnt_Deposited!O62*$D$10*(1-DOCF)*MSW!E67</f>
        <v>0</v>
      </c>
      <c r="D66" s="571">
        <f>Amnt_Deposited!C62*$F$10*(1-DOCF)*Food!E67</f>
        <v>0</v>
      </c>
      <c r="E66" s="572">
        <f>Amnt_Deposited!F62*$F$11*(1-DOCF)*Garden!E67</f>
        <v>0</v>
      </c>
      <c r="F66" s="572">
        <f>Amnt_Deposited!D62*$D$11*(1-DOCF)*Paper!E67</f>
        <v>0</v>
      </c>
      <c r="G66" s="572">
        <f>Amnt_Deposited!G62*$D$12*(1-DOCF)*Wood!E67</f>
        <v>0</v>
      </c>
      <c r="H66" s="572">
        <f>Amnt_Deposited!H62*$F$12*(1-DOCF)*Textiles!E67</f>
        <v>0</v>
      </c>
      <c r="I66" s="573">
        <f>Amnt_Deposited!E62*$H$10*(1-DOCF)*Nappies!E67</f>
        <v>0</v>
      </c>
      <c r="J66" s="574">
        <f>Amnt_Deposited!N62*$H$11*(1-DOCF)*Sludge!E67</f>
        <v>0</v>
      </c>
      <c r="K66" s="575">
        <f>Amnt_Deposited!P62*$H$12*(1-DOCF)*Industry!D67</f>
        <v>0</v>
      </c>
      <c r="L66" s="572">
        <f>Amnt_Deposited!P62*Parameters!$E$58*$D$11*(1-DOCF)*Industry!E67</f>
        <v>0</v>
      </c>
      <c r="M66" s="573">
        <f>Amnt_Deposited!P62*Parameters!$E$59*$D$12*(1-DOCF)*Industry!E67</f>
        <v>0</v>
      </c>
      <c r="N66" s="508">
        <f t="shared" si="3"/>
        <v>0</v>
      </c>
      <c r="O66" s="510">
        <f t="shared" si="1"/>
        <v>24.27886161574326</v>
      </c>
    </row>
    <row r="67" spans="2:15">
      <c r="B67" s="507">
        <f t="shared" si="2"/>
        <v>1999</v>
      </c>
      <c r="C67" s="570">
        <f>Amnt_Deposited!O63*$D$10*(1-DOCF)*MSW!E68</f>
        <v>0</v>
      </c>
      <c r="D67" s="571">
        <f>Amnt_Deposited!C63*$F$10*(1-DOCF)*Food!E68</f>
        <v>0</v>
      </c>
      <c r="E67" s="572">
        <f>Amnt_Deposited!F63*$F$11*(1-DOCF)*Garden!E68</f>
        <v>0</v>
      </c>
      <c r="F67" s="572">
        <f>Amnt_Deposited!D63*$D$11*(1-DOCF)*Paper!E68</f>
        <v>0</v>
      </c>
      <c r="G67" s="572">
        <f>Amnt_Deposited!G63*$D$12*(1-DOCF)*Wood!E68</f>
        <v>0</v>
      </c>
      <c r="H67" s="572">
        <f>Amnt_Deposited!H63*$F$12*(1-DOCF)*Textiles!E68</f>
        <v>0</v>
      </c>
      <c r="I67" s="573">
        <f>Amnt_Deposited!E63*$H$10*(1-DOCF)*Nappies!E68</f>
        <v>0</v>
      </c>
      <c r="J67" s="574">
        <f>Amnt_Deposited!N63*$H$11*(1-DOCF)*Sludge!E68</f>
        <v>0</v>
      </c>
      <c r="K67" s="575">
        <f>Amnt_Deposited!P63*$H$12*(1-DOCF)*Industry!D68</f>
        <v>0</v>
      </c>
      <c r="L67" s="572">
        <f>Amnt_Deposited!P63*Parameters!$E$58*$D$11*(1-DOCF)*Industry!E68</f>
        <v>0</v>
      </c>
      <c r="M67" s="573">
        <f>Amnt_Deposited!P63*Parameters!$E$59*$D$12*(1-DOCF)*Industry!E68</f>
        <v>0</v>
      </c>
      <c r="N67" s="508">
        <f t="shared" si="3"/>
        <v>0</v>
      </c>
      <c r="O67" s="510">
        <f t="shared" si="1"/>
        <v>24.27886161574326</v>
      </c>
    </row>
    <row r="68" spans="2:15">
      <c r="B68" s="507">
        <f t="shared" si="2"/>
        <v>2000</v>
      </c>
      <c r="C68" s="570">
        <f>Amnt_Deposited!O64*$D$10*(1-DOCF)*MSW!E69</f>
        <v>0</v>
      </c>
      <c r="D68" s="571">
        <f>Amnt_Deposited!C64*$F$10*(1-DOCF)*Food!E69</f>
        <v>0</v>
      </c>
      <c r="E68" s="572">
        <f>Amnt_Deposited!F64*$F$11*(1-DOCF)*Garden!E69</f>
        <v>0</v>
      </c>
      <c r="F68" s="572">
        <f>Amnt_Deposited!D64*$D$11*(1-DOCF)*Paper!E69</f>
        <v>0</v>
      </c>
      <c r="G68" s="572">
        <f>Amnt_Deposited!G64*$D$12*(1-DOCF)*Wood!E69</f>
        <v>0</v>
      </c>
      <c r="H68" s="572">
        <f>Amnt_Deposited!H64*$F$12*(1-DOCF)*Textiles!E69</f>
        <v>0</v>
      </c>
      <c r="I68" s="573">
        <f>Amnt_Deposited!E64*$H$10*(1-DOCF)*Nappies!E69</f>
        <v>0</v>
      </c>
      <c r="J68" s="574">
        <f>Amnt_Deposited!N64*$H$11*(1-DOCF)*Sludge!E69</f>
        <v>0</v>
      </c>
      <c r="K68" s="575">
        <f>Amnt_Deposited!P64*$H$12*(1-DOCF)*Industry!D69</f>
        <v>0</v>
      </c>
      <c r="L68" s="572">
        <f>Amnt_Deposited!P64*Parameters!$E$58*$D$11*(1-DOCF)*Industry!E69</f>
        <v>0</v>
      </c>
      <c r="M68" s="573">
        <f>Amnt_Deposited!P64*Parameters!$E$59*$D$12*(1-DOCF)*Industry!E69</f>
        <v>0</v>
      </c>
      <c r="N68" s="508">
        <f t="shared" si="3"/>
        <v>0</v>
      </c>
      <c r="O68" s="510">
        <f t="shared" si="1"/>
        <v>24.27886161574326</v>
      </c>
    </row>
    <row r="69" spans="2:15">
      <c r="B69" s="507">
        <f t="shared" si="2"/>
        <v>2001</v>
      </c>
      <c r="C69" s="570">
        <f>Amnt_Deposited!O65*$D$10*(1-DOCF)*MSW!E70</f>
        <v>0</v>
      </c>
      <c r="D69" s="571">
        <f>Amnt_Deposited!C65*$F$10*(1-DOCF)*Food!E70</f>
        <v>0</v>
      </c>
      <c r="E69" s="572">
        <f>Amnt_Deposited!F65*$F$11*(1-DOCF)*Garden!E70</f>
        <v>0</v>
      </c>
      <c r="F69" s="572">
        <f>Amnt_Deposited!D65*$D$11*(1-DOCF)*Paper!E70</f>
        <v>0</v>
      </c>
      <c r="G69" s="572">
        <f>Amnt_Deposited!G65*$D$12*(1-DOCF)*Wood!E70</f>
        <v>0</v>
      </c>
      <c r="H69" s="572">
        <f>Amnt_Deposited!H65*$F$12*(1-DOCF)*Textiles!E70</f>
        <v>0</v>
      </c>
      <c r="I69" s="573">
        <f>Amnt_Deposited!E65*$H$10*(1-DOCF)*Nappies!E70</f>
        <v>0</v>
      </c>
      <c r="J69" s="574">
        <f>Amnt_Deposited!N65*$H$11*(1-DOCF)*Sludge!E70</f>
        <v>0</v>
      </c>
      <c r="K69" s="575">
        <f>Amnt_Deposited!P65*$H$12*(1-DOCF)*Industry!D70</f>
        <v>0</v>
      </c>
      <c r="L69" s="572">
        <f>Amnt_Deposited!P65*Parameters!$E$58*$D$11*(1-DOCF)*Industry!E70</f>
        <v>0</v>
      </c>
      <c r="M69" s="573">
        <f>Amnt_Deposited!P65*Parameters!$E$59*$D$12*(1-DOCF)*Industry!E70</f>
        <v>0</v>
      </c>
      <c r="N69" s="508">
        <f t="shared" si="3"/>
        <v>0</v>
      </c>
      <c r="O69" s="510">
        <f t="shared" si="1"/>
        <v>24.27886161574326</v>
      </c>
    </row>
    <row r="70" spans="2:15">
      <c r="B70" s="507">
        <f t="shared" si="2"/>
        <v>2002</v>
      </c>
      <c r="C70" s="570">
        <f>Amnt_Deposited!O66*$D$10*(1-DOCF)*MSW!E71</f>
        <v>0</v>
      </c>
      <c r="D70" s="571">
        <f>Amnt_Deposited!C66*$F$10*(1-DOCF)*Food!E71</f>
        <v>0</v>
      </c>
      <c r="E70" s="572">
        <f>Amnt_Deposited!F66*$F$11*(1-DOCF)*Garden!E71</f>
        <v>0</v>
      </c>
      <c r="F70" s="572">
        <f>Amnt_Deposited!D66*$D$11*(1-DOCF)*Paper!E71</f>
        <v>0</v>
      </c>
      <c r="G70" s="572">
        <f>Amnt_Deposited!G66*$D$12*(1-DOCF)*Wood!E71</f>
        <v>0</v>
      </c>
      <c r="H70" s="572">
        <f>Amnt_Deposited!H66*$F$12*(1-DOCF)*Textiles!E71</f>
        <v>0</v>
      </c>
      <c r="I70" s="573">
        <f>Amnt_Deposited!E66*$H$10*(1-DOCF)*Nappies!E71</f>
        <v>0</v>
      </c>
      <c r="J70" s="574">
        <f>Amnt_Deposited!N66*$H$11*(1-DOCF)*Sludge!E71</f>
        <v>0</v>
      </c>
      <c r="K70" s="575">
        <f>Amnt_Deposited!P66*$H$12*(1-DOCF)*Industry!D71</f>
        <v>0</v>
      </c>
      <c r="L70" s="572">
        <f>Amnt_Deposited!P66*Parameters!$E$58*$D$11*(1-DOCF)*Industry!E71</f>
        <v>0</v>
      </c>
      <c r="M70" s="573">
        <f>Amnt_Deposited!P66*Parameters!$E$59*$D$12*(1-DOCF)*Industry!E71</f>
        <v>0</v>
      </c>
      <c r="N70" s="508">
        <f t="shared" si="3"/>
        <v>0</v>
      </c>
      <c r="O70" s="510">
        <f t="shared" si="1"/>
        <v>24.27886161574326</v>
      </c>
    </row>
    <row r="71" spans="2:15">
      <c r="B71" s="507">
        <f t="shared" si="2"/>
        <v>2003</v>
      </c>
      <c r="C71" s="570">
        <f>Amnt_Deposited!O67*$D$10*(1-DOCF)*MSW!E72</f>
        <v>0</v>
      </c>
      <c r="D71" s="571">
        <f>Amnt_Deposited!C67*$F$10*(1-DOCF)*Food!E72</f>
        <v>0</v>
      </c>
      <c r="E71" s="572">
        <f>Amnt_Deposited!F67*$F$11*(1-DOCF)*Garden!E72</f>
        <v>0</v>
      </c>
      <c r="F71" s="572">
        <f>Amnt_Deposited!D67*$D$11*(1-DOCF)*Paper!E72</f>
        <v>0</v>
      </c>
      <c r="G71" s="572">
        <f>Amnt_Deposited!G67*$D$12*(1-DOCF)*Wood!E72</f>
        <v>0</v>
      </c>
      <c r="H71" s="572">
        <f>Amnt_Deposited!H67*$F$12*(1-DOCF)*Textiles!E72</f>
        <v>0</v>
      </c>
      <c r="I71" s="573">
        <f>Amnt_Deposited!E67*$H$10*(1-DOCF)*Nappies!E72</f>
        <v>0</v>
      </c>
      <c r="J71" s="574">
        <f>Amnt_Deposited!N67*$H$11*(1-DOCF)*Sludge!E72</f>
        <v>0</v>
      </c>
      <c r="K71" s="575">
        <f>Amnt_Deposited!P67*$H$12*(1-DOCF)*Industry!D72</f>
        <v>0</v>
      </c>
      <c r="L71" s="572">
        <f>Amnt_Deposited!P67*Parameters!$E$58*$D$11*(1-DOCF)*Industry!E72</f>
        <v>0</v>
      </c>
      <c r="M71" s="573">
        <f>Amnt_Deposited!P67*Parameters!$E$59*$D$12*(1-DOCF)*Industry!E72</f>
        <v>0</v>
      </c>
      <c r="N71" s="508">
        <f t="shared" si="3"/>
        <v>0</v>
      </c>
      <c r="O71" s="510">
        <f t="shared" si="1"/>
        <v>24.27886161574326</v>
      </c>
    </row>
    <row r="72" spans="2:15">
      <c r="B72" s="507">
        <f t="shared" si="2"/>
        <v>2004</v>
      </c>
      <c r="C72" s="570">
        <f>Amnt_Deposited!O68*$D$10*(1-DOCF)*MSW!E73</f>
        <v>0</v>
      </c>
      <c r="D72" s="571">
        <f>Amnt_Deposited!C68*$F$10*(1-DOCF)*Food!E73</f>
        <v>0</v>
      </c>
      <c r="E72" s="572">
        <f>Amnt_Deposited!F68*$F$11*(1-DOCF)*Garden!E73</f>
        <v>0</v>
      </c>
      <c r="F72" s="572">
        <f>Amnt_Deposited!D68*$D$11*(1-DOCF)*Paper!E73</f>
        <v>0</v>
      </c>
      <c r="G72" s="572">
        <f>Amnt_Deposited!G68*$D$12*(1-DOCF)*Wood!E73</f>
        <v>0</v>
      </c>
      <c r="H72" s="572">
        <f>Amnt_Deposited!H68*$F$12*(1-DOCF)*Textiles!E73</f>
        <v>0</v>
      </c>
      <c r="I72" s="573">
        <f>Amnt_Deposited!E68*$H$10*(1-DOCF)*Nappies!E73</f>
        <v>0</v>
      </c>
      <c r="J72" s="574">
        <f>Amnt_Deposited!N68*$H$11*(1-DOCF)*Sludge!E73</f>
        <v>0</v>
      </c>
      <c r="K72" s="575">
        <f>Amnt_Deposited!P68*$H$12*(1-DOCF)*Industry!D73</f>
        <v>0</v>
      </c>
      <c r="L72" s="572">
        <f>Amnt_Deposited!P68*Parameters!$E$58*$D$11*(1-DOCF)*Industry!E73</f>
        <v>0</v>
      </c>
      <c r="M72" s="573">
        <f>Amnt_Deposited!P68*Parameters!$E$59*$D$12*(1-DOCF)*Industry!E73</f>
        <v>0</v>
      </c>
      <c r="N72" s="508">
        <f t="shared" si="3"/>
        <v>0</v>
      </c>
      <c r="O72" s="510">
        <f t="shared" si="1"/>
        <v>24.27886161574326</v>
      </c>
    </row>
    <row r="73" spans="2:15">
      <c r="B73" s="507">
        <f t="shared" si="2"/>
        <v>2005</v>
      </c>
      <c r="C73" s="570">
        <f>Amnt_Deposited!O69*$D$10*(1-DOCF)*MSW!E74</f>
        <v>0</v>
      </c>
      <c r="D73" s="571">
        <f>Amnt_Deposited!C69*$F$10*(1-DOCF)*Food!E74</f>
        <v>0</v>
      </c>
      <c r="E73" s="572">
        <f>Amnt_Deposited!F69*$F$11*(1-DOCF)*Garden!E74</f>
        <v>0</v>
      </c>
      <c r="F73" s="572">
        <f>Amnt_Deposited!D69*$D$11*(1-DOCF)*Paper!E74</f>
        <v>0</v>
      </c>
      <c r="G73" s="572">
        <f>Amnt_Deposited!G69*$D$12*(1-DOCF)*Wood!E74</f>
        <v>0</v>
      </c>
      <c r="H73" s="572">
        <f>Amnt_Deposited!H69*$F$12*(1-DOCF)*Textiles!E74</f>
        <v>0</v>
      </c>
      <c r="I73" s="573">
        <f>Amnt_Deposited!E69*$H$10*(1-DOCF)*Nappies!E74</f>
        <v>0</v>
      </c>
      <c r="J73" s="574">
        <f>Amnt_Deposited!N69*$H$11*(1-DOCF)*Sludge!E74</f>
        <v>0</v>
      </c>
      <c r="K73" s="575">
        <f>Amnt_Deposited!P69*$H$12*(1-DOCF)*Industry!D74</f>
        <v>0</v>
      </c>
      <c r="L73" s="572">
        <f>Amnt_Deposited!P69*Parameters!$E$58*$D$11*(1-DOCF)*Industry!E74</f>
        <v>0</v>
      </c>
      <c r="M73" s="573">
        <f>Amnt_Deposited!P69*Parameters!$E$59*$D$12*(1-DOCF)*Industry!E74</f>
        <v>0</v>
      </c>
      <c r="N73" s="508">
        <f t="shared" si="3"/>
        <v>0</v>
      </c>
      <c r="O73" s="510">
        <f t="shared" si="1"/>
        <v>24.27886161574326</v>
      </c>
    </row>
    <row r="74" spans="2:15">
      <c r="B74" s="507">
        <f t="shared" si="2"/>
        <v>2006</v>
      </c>
      <c r="C74" s="570">
        <f>Amnt_Deposited!O70*$D$10*(1-DOCF)*MSW!E75</f>
        <v>0</v>
      </c>
      <c r="D74" s="571">
        <f>Amnt_Deposited!C70*$F$10*(1-DOCF)*Food!E75</f>
        <v>0</v>
      </c>
      <c r="E74" s="572">
        <f>Amnt_Deposited!F70*$F$11*(1-DOCF)*Garden!E75</f>
        <v>0</v>
      </c>
      <c r="F74" s="572">
        <f>Amnt_Deposited!D70*$D$11*(1-DOCF)*Paper!E75</f>
        <v>0</v>
      </c>
      <c r="G74" s="572">
        <f>Amnt_Deposited!G70*$D$12*(1-DOCF)*Wood!E75</f>
        <v>0</v>
      </c>
      <c r="H74" s="572">
        <f>Amnt_Deposited!H70*$F$12*(1-DOCF)*Textiles!E75</f>
        <v>0</v>
      </c>
      <c r="I74" s="573">
        <f>Amnt_Deposited!E70*$H$10*(1-DOCF)*Nappies!E75</f>
        <v>0</v>
      </c>
      <c r="J74" s="574">
        <f>Amnt_Deposited!N70*$H$11*(1-DOCF)*Sludge!E75</f>
        <v>0</v>
      </c>
      <c r="K74" s="575">
        <f>Amnt_Deposited!P70*$H$12*(1-DOCF)*Industry!D75</f>
        <v>0</v>
      </c>
      <c r="L74" s="572">
        <f>Amnt_Deposited!P70*Parameters!$E$58*$D$11*(1-DOCF)*Industry!E75</f>
        <v>0</v>
      </c>
      <c r="M74" s="573">
        <f>Amnt_Deposited!P70*Parameters!$E$59*$D$12*(1-DOCF)*Industry!E75</f>
        <v>0</v>
      </c>
      <c r="N74" s="508">
        <f t="shared" si="3"/>
        <v>0</v>
      </c>
      <c r="O74" s="510">
        <f t="shared" si="1"/>
        <v>24.27886161574326</v>
      </c>
    </row>
    <row r="75" spans="2:15">
      <c r="B75" s="507">
        <f t="shared" si="2"/>
        <v>2007</v>
      </c>
      <c r="C75" s="570">
        <f>Amnt_Deposited!O71*$D$10*(1-DOCF)*MSW!E76</f>
        <v>0</v>
      </c>
      <c r="D75" s="571">
        <f>Amnt_Deposited!C71*$F$10*(1-DOCF)*Food!E76</f>
        <v>0</v>
      </c>
      <c r="E75" s="572">
        <f>Amnt_Deposited!F71*$F$11*(1-DOCF)*Garden!E76</f>
        <v>0</v>
      </c>
      <c r="F75" s="572">
        <f>Amnt_Deposited!D71*$D$11*(1-DOCF)*Paper!E76</f>
        <v>0</v>
      </c>
      <c r="G75" s="572">
        <f>Amnt_Deposited!G71*$D$12*(1-DOCF)*Wood!E76</f>
        <v>0</v>
      </c>
      <c r="H75" s="572">
        <f>Amnt_Deposited!H71*$F$12*(1-DOCF)*Textiles!E76</f>
        <v>0</v>
      </c>
      <c r="I75" s="573">
        <f>Amnt_Deposited!E71*$H$10*(1-DOCF)*Nappies!E76</f>
        <v>0</v>
      </c>
      <c r="J75" s="574">
        <f>Amnt_Deposited!N71*$H$11*(1-DOCF)*Sludge!E76</f>
        <v>0</v>
      </c>
      <c r="K75" s="575">
        <f>Amnt_Deposited!P71*$H$12*(1-DOCF)*Industry!D76</f>
        <v>0</v>
      </c>
      <c r="L75" s="572">
        <f>Amnt_Deposited!P71*Parameters!$E$58*$D$11*(1-DOCF)*Industry!E76</f>
        <v>0</v>
      </c>
      <c r="M75" s="573">
        <f>Amnt_Deposited!P71*Parameters!$E$59*$D$12*(1-DOCF)*Industry!E76</f>
        <v>0</v>
      </c>
      <c r="N75" s="508">
        <f t="shared" si="3"/>
        <v>0</v>
      </c>
      <c r="O75" s="510">
        <f t="shared" si="1"/>
        <v>24.27886161574326</v>
      </c>
    </row>
    <row r="76" spans="2:15">
      <c r="B76" s="507">
        <f t="shared" si="2"/>
        <v>2008</v>
      </c>
      <c r="C76" s="570">
        <f>Amnt_Deposited!O72*$D$10*(1-DOCF)*MSW!E77</f>
        <v>0</v>
      </c>
      <c r="D76" s="571">
        <f>Amnt_Deposited!C72*$F$10*(1-DOCF)*Food!E77</f>
        <v>0</v>
      </c>
      <c r="E76" s="572">
        <f>Amnt_Deposited!F72*$F$11*(1-DOCF)*Garden!E77</f>
        <v>0</v>
      </c>
      <c r="F76" s="572">
        <f>Amnt_Deposited!D72*$D$11*(1-DOCF)*Paper!E77</f>
        <v>0</v>
      </c>
      <c r="G76" s="572">
        <f>Amnt_Deposited!G72*$D$12*(1-DOCF)*Wood!E77</f>
        <v>0</v>
      </c>
      <c r="H76" s="572">
        <f>Amnt_Deposited!H72*$F$12*(1-DOCF)*Textiles!E77</f>
        <v>0</v>
      </c>
      <c r="I76" s="573">
        <f>Amnt_Deposited!E72*$H$10*(1-DOCF)*Nappies!E77</f>
        <v>0</v>
      </c>
      <c r="J76" s="574">
        <f>Amnt_Deposited!N72*$H$11*(1-DOCF)*Sludge!E77</f>
        <v>0</v>
      </c>
      <c r="K76" s="575">
        <f>Amnt_Deposited!P72*$H$12*(1-DOCF)*Industry!D77</f>
        <v>0</v>
      </c>
      <c r="L76" s="572">
        <f>Amnt_Deposited!P72*Parameters!$E$58*$D$11*(1-DOCF)*Industry!E77</f>
        <v>0</v>
      </c>
      <c r="M76" s="573">
        <f>Amnt_Deposited!P72*Parameters!$E$59*$D$12*(1-DOCF)*Industry!E77</f>
        <v>0</v>
      </c>
      <c r="N76" s="508">
        <f t="shared" si="3"/>
        <v>0</v>
      </c>
      <c r="O76" s="510">
        <f t="shared" si="1"/>
        <v>24.27886161574326</v>
      </c>
    </row>
    <row r="77" spans="2:15">
      <c r="B77" s="507">
        <f t="shared" si="2"/>
        <v>2009</v>
      </c>
      <c r="C77" s="570">
        <f>Amnt_Deposited!O73*$D$10*(1-DOCF)*MSW!E78</f>
        <v>0</v>
      </c>
      <c r="D77" s="571">
        <f>Amnt_Deposited!C73*$F$10*(1-DOCF)*Food!E78</f>
        <v>0</v>
      </c>
      <c r="E77" s="572">
        <f>Amnt_Deposited!F73*$F$11*(1-DOCF)*Garden!E78</f>
        <v>0</v>
      </c>
      <c r="F77" s="572">
        <f>Amnt_Deposited!D73*$D$11*(1-DOCF)*Paper!E78</f>
        <v>0</v>
      </c>
      <c r="G77" s="572">
        <f>Amnt_Deposited!G73*$D$12*(1-DOCF)*Wood!E78</f>
        <v>0</v>
      </c>
      <c r="H77" s="572">
        <f>Amnt_Deposited!H73*$F$12*(1-DOCF)*Textiles!E78</f>
        <v>0</v>
      </c>
      <c r="I77" s="573">
        <f>Amnt_Deposited!E73*$H$10*(1-DOCF)*Nappies!E78</f>
        <v>0</v>
      </c>
      <c r="J77" s="574">
        <f>Amnt_Deposited!N73*$H$11*(1-DOCF)*Sludge!E78</f>
        <v>0</v>
      </c>
      <c r="K77" s="575">
        <f>Amnt_Deposited!P73*$H$12*(1-DOCF)*Industry!D78</f>
        <v>0</v>
      </c>
      <c r="L77" s="572">
        <f>Amnt_Deposited!P73*Parameters!$E$58*$D$11*(1-DOCF)*Industry!E78</f>
        <v>0</v>
      </c>
      <c r="M77" s="573">
        <f>Amnt_Deposited!P73*Parameters!$E$59*$D$12*(1-DOCF)*Industry!E78</f>
        <v>0</v>
      </c>
      <c r="N77" s="508">
        <f t="shared" si="3"/>
        <v>0</v>
      </c>
      <c r="O77" s="510">
        <f t="shared" si="1"/>
        <v>24.27886161574326</v>
      </c>
    </row>
    <row r="78" spans="2:15">
      <c r="B78" s="507">
        <f t="shared" si="2"/>
        <v>2010</v>
      </c>
      <c r="C78" s="570">
        <f>Amnt_Deposited!O74*$D$10*(1-DOCF)*MSW!E79</f>
        <v>0</v>
      </c>
      <c r="D78" s="571">
        <f>Amnt_Deposited!C74*$F$10*(1-DOCF)*Food!E79</f>
        <v>0</v>
      </c>
      <c r="E78" s="572">
        <f>Amnt_Deposited!F74*$F$11*(1-DOCF)*Garden!E79</f>
        <v>0</v>
      </c>
      <c r="F78" s="572">
        <f>Amnt_Deposited!D74*$D$11*(1-DOCF)*Paper!E79</f>
        <v>0</v>
      </c>
      <c r="G78" s="572">
        <f>Amnt_Deposited!G74*$D$12*(1-DOCF)*Wood!E79</f>
        <v>0</v>
      </c>
      <c r="H78" s="572">
        <f>Amnt_Deposited!H74*$F$12*(1-DOCF)*Textiles!E79</f>
        <v>0</v>
      </c>
      <c r="I78" s="573">
        <f>Amnt_Deposited!E74*$H$10*(1-DOCF)*Nappies!E79</f>
        <v>0</v>
      </c>
      <c r="J78" s="574">
        <f>Amnt_Deposited!N74*$H$11*(1-DOCF)*Sludge!E79</f>
        <v>0</v>
      </c>
      <c r="K78" s="575">
        <f>Amnt_Deposited!P74*$H$12*(1-DOCF)*Industry!D79</f>
        <v>0</v>
      </c>
      <c r="L78" s="572">
        <f>Amnt_Deposited!P74*Parameters!$E$58*$D$11*(1-DOCF)*Industry!E79</f>
        <v>0</v>
      </c>
      <c r="M78" s="573">
        <f>Amnt_Deposited!P74*Parameters!$E$59*$D$12*(1-DOCF)*Industry!E79</f>
        <v>0</v>
      </c>
      <c r="N78" s="508">
        <f t="shared" si="3"/>
        <v>0</v>
      </c>
      <c r="O78" s="510">
        <f t="shared" si="1"/>
        <v>24.27886161574326</v>
      </c>
    </row>
    <row r="79" spans="2:15">
      <c r="B79" s="507">
        <f t="shared" si="2"/>
        <v>2011</v>
      </c>
      <c r="C79" s="570">
        <f>Amnt_Deposited!O75*$D$10*(1-DOCF)*MSW!E80</f>
        <v>0</v>
      </c>
      <c r="D79" s="571">
        <f>Amnt_Deposited!C75*$F$10*(1-DOCF)*Food!E80</f>
        <v>0</v>
      </c>
      <c r="E79" s="572">
        <f>Amnt_Deposited!F75*$F$11*(1-DOCF)*Garden!E80</f>
        <v>0</v>
      </c>
      <c r="F79" s="572">
        <f>Amnt_Deposited!D75*$D$11*(1-DOCF)*Paper!E80</f>
        <v>0</v>
      </c>
      <c r="G79" s="572">
        <f>Amnt_Deposited!G75*$D$12*(1-DOCF)*Wood!E80</f>
        <v>0</v>
      </c>
      <c r="H79" s="572">
        <f>Amnt_Deposited!H75*$F$12*(1-DOCF)*Textiles!E80</f>
        <v>0</v>
      </c>
      <c r="I79" s="573">
        <f>Amnt_Deposited!E75*$H$10*(1-DOCF)*Nappies!E80</f>
        <v>0</v>
      </c>
      <c r="J79" s="574">
        <f>Amnt_Deposited!N75*$H$11*(1-DOCF)*Sludge!E80</f>
        <v>0</v>
      </c>
      <c r="K79" s="575">
        <f>Amnt_Deposited!P75*$H$12*(1-DOCF)*Industry!D80</f>
        <v>0</v>
      </c>
      <c r="L79" s="572">
        <f>Amnt_Deposited!P75*Parameters!$E$58*$D$11*(1-DOCF)*Industry!E80</f>
        <v>0</v>
      </c>
      <c r="M79" s="573">
        <f>Amnt_Deposited!P75*Parameters!$E$59*$D$12*(1-DOCF)*Industry!E80</f>
        <v>0</v>
      </c>
      <c r="N79" s="508">
        <f t="shared" si="3"/>
        <v>0</v>
      </c>
      <c r="O79" s="510">
        <f t="shared" si="1"/>
        <v>24.27886161574326</v>
      </c>
    </row>
    <row r="80" spans="2:15">
      <c r="B80" s="507">
        <f t="shared" si="2"/>
        <v>2012</v>
      </c>
      <c r="C80" s="570">
        <f>Amnt_Deposited!O76*$D$10*(1-DOCF)*MSW!E81</f>
        <v>0</v>
      </c>
      <c r="D80" s="571">
        <f>Amnt_Deposited!C76*$F$10*(1-DOCF)*Food!E81</f>
        <v>0</v>
      </c>
      <c r="E80" s="572">
        <f>Amnt_Deposited!F76*$F$11*(1-DOCF)*Garden!E81</f>
        <v>0</v>
      </c>
      <c r="F80" s="572">
        <f>Amnt_Deposited!D76*$D$11*(1-DOCF)*Paper!E81</f>
        <v>0</v>
      </c>
      <c r="G80" s="572">
        <f>Amnt_Deposited!G76*$D$12*(1-DOCF)*Wood!E81</f>
        <v>0</v>
      </c>
      <c r="H80" s="572">
        <f>Amnt_Deposited!H76*$F$12*(1-DOCF)*Textiles!E81</f>
        <v>0</v>
      </c>
      <c r="I80" s="573">
        <f>Amnt_Deposited!E76*$H$10*(1-DOCF)*Nappies!E81</f>
        <v>0</v>
      </c>
      <c r="J80" s="574">
        <f>Amnt_Deposited!N76*$H$11*(1-DOCF)*Sludge!E81</f>
        <v>0</v>
      </c>
      <c r="K80" s="575">
        <f>Amnt_Deposited!P76*$H$12*(1-DOCF)*Industry!D81</f>
        <v>0</v>
      </c>
      <c r="L80" s="572">
        <f>Amnt_Deposited!P76*Parameters!$E$58*$D$11*(1-DOCF)*Industry!E81</f>
        <v>0</v>
      </c>
      <c r="M80" s="573">
        <f>Amnt_Deposited!P76*Parameters!$E$59*$D$12*(1-DOCF)*Industry!E81</f>
        <v>0</v>
      </c>
      <c r="N80" s="508">
        <f t="shared" si="3"/>
        <v>0</v>
      </c>
      <c r="O80" s="510">
        <f t="shared" si="1"/>
        <v>24.27886161574326</v>
      </c>
    </row>
    <row r="81" spans="2:15">
      <c r="B81" s="507">
        <f t="shared" si="2"/>
        <v>2013</v>
      </c>
      <c r="C81" s="570">
        <f>Amnt_Deposited!O77*$D$10*(1-DOCF)*MSW!E82</f>
        <v>0</v>
      </c>
      <c r="D81" s="571">
        <f>Amnt_Deposited!C77*$F$10*(1-DOCF)*Food!E82</f>
        <v>0</v>
      </c>
      <c r="E81" s="572">
        <f>Amnt_Deposited!F77*$F$11*(1-DOCF)*Garden!E82</f>
        <v>0</v>
      </c>
      <c r="F81" s="572">
        <f>Amnt_Deposited!D77*$D$11*(1-DOCF)*Paper!E82</f>
        <v>0</v>
      </c>
      <c r="G81" s="572">
        <f>Amnt_Deposited!G77*$D$12*(1-DOCF)*Wood!E82</f>
        <v>0</v>
      </c>
      <c r="H81" s="572">
        <f>Amnt_Deposited!H77*$F$12*(1-DOCF)*Textiles!E82</f>
        <v>0</v>
      </c>
      <c r="I81" s="573">
        <f>Amnt_Deposited!E77*$H$10*(1-DOCF)*Nappies!E82</f>
        <v>0</v>
      </c>
      <c r="J81" s="574">
        <f>Amnt_Deposited!N77*$H$11*(1-DOCF)*Sludge!E82</f>
        <v>0</v>
      </c>
      <c r="K81" s="575">
        <f>Amnt_Deposited!P77*$H$12*(1-DOCF)*Industry!D82</f>
        <v>0</v>
      </c>
      <c r="L81" s="572">
        <f>Amnt_Deposited!P77*Parameters!$E$58*$D$11*(1-DOCF)*Industry!E82</f>
        <v>0</v>
      </c>
      <c r="M81" s="573">
        <f>Amnt_Deposited!P77*Parameters!$E$59*$D$12*(1-DOCF)*Industry!E82</f>
        <v>0</v>
      </c>
      <c r="N81" s="508">
        <f t="shared" si="3"/>
        <v>0</v>
      </c>
      <c r="O81" s="510">
        <f t="shared" si="1"/>
        <v>24.27886161574326</v>
      </c>
    </row>
    <row r="82" spans="2:15">
      <c r="B82" s="507">
        <f t="shared" si="2"/>
        <v>2014</v>
      </c>
      <c r="C82" s="570">
        <f>Amnt_Deposited!O78*$D$10*(1-DOCF)*MSW!E83</f>
        <v>0</v>
      </c>
      <c r="D82" s="571">
        <f>Amnt_Deposited!C78*$F$10*(1-DOCF)*Food!E83</f>
        <v>0</v>
      </c>
      <c r="E82" s="572">
        <f>Amnt_Deposited!F78*$F$11*(1-DOCF)*Garden!E83</f>
        <v>0</v>
      </c>
      <c r="F82" s="572">
        <f>Amnt_Deposited!D78*$D$11*(1-DOCF)*Paper!E83</f>
        <v>0</v>
      </c>
      <c r="G82" s="572">
        <f>Amnt_Deposited!G78*$D$12*(1-DOCF)*Wood!E83</f>
        <v>0</v>
      </c>
      <c r="H82" s="572">
        <f>Amnt_Deposited!H78*$F$12*(1-DOCF)*Textiles!E83</f>
        <v>0</v>
      </c>
      <c r="I82" s="573">
        <f>Amnt_Deposited!E78*$H$10*(1-DOCF)*Nappies!E83</f>
        <v>0</v>
      </c>
      <c r="J82" s="574">
        <f>Amnt_Deposited!N78*$H$11*(1-DOCF)*Sludge!E83</f>
        <v>0</v>
      </c>
      <c r="K82" s="575">
        <f>Amnt_Deposited!P78*$H$12*(1-DOCF)*Industry!D83</f>
        <v>0</v>
      </c>
      <c r="L82" s="572">
        <f>Amnt_Deposited!P78*Parameters!$E$58*$D$11*(1-DOCF)*Industry!E83</f>
        <v>0</v>
      </c>
      <c r="M82" s="573">
        <f>Amnt_Deposited!P78*Parameters!$E$59*$D$12*(1-DOCF)*Industry!E83</f>
        <v>0</v>
      </c>
      <c r="N82" s="508">
        <f t="shared" ref="N82:N98" si="4">IF(Select2=2,C82+J82+K82, D82+E82+F82+G82+H82+I82+J82+K82)</f>
        <v>0</v>
      </c>
      <c r="O82" s="510">
        <f t="shared" ref="O82:O98" si="5">O81+N82</f>
        <v>24.27886161574326</v>
      </c>
    </row>
    <row r="83" spans="2:15">
      <c r="B83" s="507">
        <f t="shared" si="2"/>
        <v>2015</v>
      </c>
      <c r="C83" s="570">
        <f>Amnt_Deposited!O79*$D$10*(1-DOCF)*MSW!E84</f>
        <v>0</v>
      </c>
      <c r="D83" s="571">
        <f>Amnt_Deposited!C79*$F$10*(1-DOCF)*Food!E84</f>
        <v>0</v>
      </c>
      <c r="E83" s="572">
        <f>Amnt_Deposited!F79*$F$11*(1-DOCF)*Garden!E84</f>
        <v>0</v>
      </c>
      <c r="F83" s="572">
        <f>Amnt_Deposited!D79*$D$11*(1-DOCF)*Paper!E84</f>
        <v>0</v>
      </c>
      <c r="G83" s="572">
        <f>Amnt_Deposited!G79*$D$12*(1-DOCF)*Wood!E84</f>
        <v>0</v>
      </c>
      <c r="H83" s="572">
        <f>Amnt_Deposited!H79*$F$12*(1-DOCF)*Textiles!E84</f>
        <v>0</v>
      </c>
      <c r="I83" s="573">
        <f>Amnt_Deposited!E79*$H$10*(1-DOCF)*Nappies!E84</f>
        <v>0</v>
      </c>
      <c r="J83" s="574">
        <f>Amnt_Deposited!N79*$H$11*(1-DOCF)*Sludge!E84</f>
        <v>0</v>
      </c>
      <c r="K83" s="575">
        <f>Amnt_Deposited!P79*$H$12*(1-DOCF)*Industry!D84</f>
        <v>0</v>
      </c>
      <c r="L83" s="572">
        <f>Amnt_Deposited!P79*Parameters!$E$58*$D$11*(1-DOCF)*Industry!E84</f>
        <v>0</v>
      </c>
      <c r="M83" s="573">
        <f>Amnt_Deposited!P79*Parameters!$E$59*$D$12*(1-DOCF)*Industry!E84</f>
        <v>0</v>
      </c>
      <c r="N83" s="508">
        <f t="shared" si="4"/>
        <v>0</v>
      </c>
      <c r="O83" s="510">
        <f t="shared" si="5"/>
        <v>24.27886161574326</v>
      </c>
    </row>
    <row r="84" spans="2:15">
      <c r="B84" s="507">
        <f t="shared" ref="B84:B98" si="6">B83+1</f>
        <v>2016</v>
      </c>
      <c r="C84" s="570">
        <f>Amnt_Deposited!O80*$D$10*(1-DOCF)*MSW!E85</f>
        <v>0</v>
      </c>
      <c r="D84" s="571">
        <f>Amnt_Deposited!C80*$F$10*(1-DOCF)*Food!E85</f>
        <v>0</v>
      </c>
      <c r="E84" s="572">
        <f>Amnt_Deposited!F80*$F$11*(1-DOCF)*Garden!E85</f>
        <v>0</v>
      </c>
      <c r="F84" s="572">
        <f>Amnt_Deposited!D80*$D$11*(1-DOCF)*Paper!E85</f>
        <v>0</v>
      </c>
      <c r="G84" s="572">
        <f>Amnt_Deposited!G80*$D$12*(1-DOCF)*Wood!E85</f>
        <v>0</v>
      </c>
      <c r="H84" s="572">
        <f>Amnt_Deposited!H80*$F$12*(1-DOCF)*Textiles!E85</f>
        <v>0</v>
      </c>
      <c r="I84" s="573">
        <f>Amnt_Deposited!E80*$H$10*(1-DOCF)*Nappies!E85</f>
        <v>0</v>
      </c>
      <c r="J84" s="574">
        <f>Amnt_Deposited!N80*$H$11*(1-DOCF)*Sludge!E85</f>
        <v>0</v>
      </c>
      <c r="K84" s="575">
        <f>Amnt_Deposited!P80*$H$12*(1-DOCF)*Industry!D85</f>
        <v>0</v>
      </c>
      <c r="L84" s="572">
        <f>Amnt_Deposited!P80*Parameters!$E$58*$D$11*(1-DOCF)*Industry!E85</f>
        <v>0</v>
      </c>
      <c r="M84" s="573">
        <f>Amnt_Deposited!P80*Parameters!$E$59*$D$12*(1-DOCF)*Industry!E85</f>
        <v>0</v>
      </c>
      <c r="N84" s="508">
        <f t="shared" si="4"/>
        <v>0</v>
      </c>
      <c r="O84" s="510">
        <f t="shared" si="5"/>
        <v>24.27886161574326</v>
      </c>
    </row>
    <row r="85" spans="2:15">
      <c r="B85" s="507">
        <f t="shared" si="6"/>
        <v>2017</v>
      </c>
      <c r="C85" s="570">
        <f>Amnt_Deposited!O81*$D$10*(1-DOCF)*MSW!E86</f>
        <v>0</v>
      </c>
      <c r="D85" s="571">
        <f>Amnt_Deposited!C81*$F$10*(1-DOCF)*Food!E86</f>
        <v>0</v>
      </c>
      <c r="E85" s="572">
        <f>Amnt_Deposited!F81*$F$11*(1-DOCF)*Garden!E86</f>
        <v>0</v>
      </c>
      <c r="F85" s="572">
        <f>Amnt_Deposited!D81*$D$11*(1-DOCF)*Paper!E86</f>
        <v>0</v>
      </c>
      <c r="G85" s="572">
        <f>Amnt_Deposited!G81*$D$12*(1-DOCF)*Wood!E86</f>
        <v>0</v>
      </c>
      <c r="H85" s="572">
        <f>Amnt_Deposited!H81*$F$12*(1-DOCF)*Textiles!E86</f>
        <v>0</v>
      </c>
      <c r="I85" s="573">
        <f>Amnt_Deposited!E81*$H$10*(1-DOCF)*Nappies!E86</f>
        <v>0</v>
      </c>
      <c r="J85" s="574">
        <f>Amnt_Deposited!N81*$H$11*(1-DOCF)*Sludge!E86</f>
        <v>0</v>
      </c>
      <c r="K85" s="575">
        <f>Amnt_Deposited!P81*$H$12*(1-DOCF)*Industry!D86</f>
        <v>0</v>
      </c>
      <c r="L85" s="572">
        <f>Amnt_Deposited!P81*Parameters!$E$58*$D$11*(1-DOCF)*Industry!E86</f>
        <v>0</v>
      </c>
      <c r="M85" s="573">
        <f>Amnt_Deposited!P81*Parameters!$E$59*$D$12*(1-DOCF)*Industry!E86</f>
        <v>0</v>
      </c>
      <c r="N85" s="508">
        <f t="shared" si="4"/>
        <v>0</v>
      </c>
      <c r="O85" s="510">
        <f t="shared" si="5"/>
        <v>24.27886161574326</v>
      </c>
    </row>
    <row r="86" spans="2:15">
      <c r="B86" s="507">
        <f t="shared" si="6"/>
        <v>2018</v>
      </c>
      <c r="C86" s="570">
        <f>Amnt_Deposited!O82*$D$10*(1-DOCF)*MSW!E87</f>
        <v>0</v>
      </c>
      <c r="D86" s="571">
        <f>Amnt_Deposited!C82*$F$10*(1-DOCF)*Food!E87</f>
        <v>0</v>
      </c>
      <c r="E86" s="572">
        <f>Amnt_Deposited!F82*$F$11*(1-DOCF)*Garden!E87</f>
        <v>0</v>
      </c>
      <c r="F86" s="572">
        <f>Amnt_Deposited!D82*$D$11*(1-DOCF)*Paper!E87</f>
        <v>0</v>
      </c>
      <c r="G86" s="572">
        <f>Amnt_Deposited!G82*$D$12*(1-DOCF)*Wood!E87</f>
        <v>0</v>
      </c>
      <c r="H86" s="572">
        <f>Amnt_Deposited!H82*$F$12*(1-DOCF)*Textiles!E87</f>
        <v>0</v>
      </c>
      <c r="I86" s="573">
        <f>Amnt_Deposited!E82*$H$10*(1-DOCF)*Nappies!E87</f>
        <v>0</v>
      </c>
      <c r="J86" s="574">
        <f>Amnt_Deposited!N82*$H$11*(1-DOCF)*Sludge!E87</f>
        <v>0</v>
      </c>
      <c r="K86" s="575">
        <f>Amnt_Deposited!P82*$H$12*(1-DOCF)*Industry!D87</f>
        <v>0</v>
      </c>
      <c r="L86" s="572">
        <f>Amnt_Deposited!P82*Parameters!$E$58*$D$11*(1-DOCF)*Industry!E87</f>
        <v>0</v>
      </c>
      <c r="M86" s="573">
        <f>Amnt_Deposited!P82*Parameters!$E$59*$D$12*(1-DOCF)*Industry!E87</f>
        <v>0</v>
      </c>
      <c r="N86" s="508">
        <f t="shared" si="4"/>
        <v>0</v>
      </c>
      <c r="O86" s="510">
        <f t="shared" si="5"/>
        <v>24.27886161574326</v>
      </c>
    </row>
    <row r="87" spans="2:15">
      <c r="B87" s="507">
        <f t="shared" si="6"/>
        <v>2019</v>
      </c>
      <c r="C87" s="570">
        <f>Amnt_Deposited!O83*$D$10*(1-DOCF)*MSW!E88</f>
        <v>0</v>
      </c>
      <c r="D87" s="571">
        <f>Amnt_Deposited!C83*$F$10*(1-DOCF)*Food!E88</f>
        <v>0</v>
      </c>
      <c r="E87" s="572">
        <f>Amnt_Deposited!F83*$F$11*(1-DOCF)*Garden!E88</f>
        <v>0</v>
      </c>
      <c r="F87" s="572">
        <f>Amnt_Deposited!D83*$D$11*(1-DOCF)*Paper!E88</f>
        <v>0</v>
      </c>
      <c r="G87" s="572">
        <f>Amnt_Deposited!G83*$D$12*(1-DOCF)*Wood!E88</f>
        <v>0</v>
      </c>
      <c r="H87" s="572">
        <f>Amnt_Deposited!H83*$F$12*(1-DOCF)*Textiles!E88</f>
        <v>0</v>
      </c>
      <c r="I87" s="573">
        <f>Amnt_Deposited!E83*$H$10*(1-DOCF)*Nappies!E88</f>
        <v>0</v>
      </c>
      <c r="J87" s="574">
        <f>Amnt_Deposited!N83*$H$11*(1-DOCF)*Sludge!E88</f>
        <v>0</v>
      </c>
      <c r="K87" s="575">
        <f>Amnt_Deposited!P83*$H$12*(1-DOCF)*Industry!D88</f>
        <v>0</v>
      </c>
      <c r="L87" s="572">
        <f>Amnt_Deposited!P83*Parameters!$E$58*$D$11*(1-DOCF)*Industry!E88</f>
        <v>0</v>
      </c>
      <c r="M87" s="573">
        <f>Amnt_Deposited!P83*Parameters!$E$59*$D$12*(1-DOCF)*Industry!E88</f>
        <v>0</v>
      </c>
      <c r="N87" s="508">
        <f t="shared" si="4"/>
        <v>0</v>
      </c>
      <c r="O87" s="510">
        <f t="shared" si="5"/>
        <v>24.27886161574326</v>
      </c>
    </row>
    <row r="88" spans="2:15">
      <c r="B88" s="507">
        <f t="shared" si="6"/>
        <v>2020</v>
      </c>
      <c r="C88" s="570">
        <f>Amnt_Deposited!O84*$D$10*(1-DOCF)*MSW!E89</f>
        <v>0</v>
      </c>
      <c r="D88" s="571">
        <f>Amnt_Deposited!C84*$F$10*(1-DOCF)*Food!E89</f>
        <v>0</v>
      </c>
      <c r="E88" s="572">
        <f>Amnt_Deposited!F84*$F$11*(1-DOCF)*Garden!E89</f>
        <v>0</v>
      </c>
      <c r="F88" s="572">
        <f>Amnt_Deposited!D84*$D$11*(1-DOCF)*Paper!E89</f>
        <v>0</v>
      </c>
      <c r="G88" s="572">
        <f>Amnt_Deposited!G84*$D$12*(1-DOCF)*Wood!E89</f>
        <v>0</v>
      </c>
      <c r="H88" s="572">
        <f>Amnt_Deposited!H84*$F$12*(1-DOCF)*Textiles!E89</f>
        <v>0</v>
      </c>
      <c r="I88" s="573">
        <f>Amnt_Deposited!E84*$H$10*(1-DOCF)*Nappies!E89</f>
        <v>0</v>
      </c>
      <c r="J88" s="574">
        <f>Amnt_Deposited!N84*$H$11*(1-DOCF)*Sludge!E89</f>
        <v>0</v>
      </c>
      <c r="K88" s="575">
        <f>Amnt_Deposited!P84*$H$12*(1-DOCF)*Industry!D89</f>
        <v>0</v>
      </c>
      <c r="L88" s="572">
        <f>Amnt_Deposited!P84*Parameters!$E$58*$D$11*(1-DOCF)*Industry!E89</f>
        <v>0</v>
      </c>
      <c r="M88" s="573">
        <f>Amnt_Deposited!P84*Parameters!$E$59*$D$12*(1-DOCF)*Industry!E89</f>
        <v>0</v>
      </c>
      <c r="N88" s="508">
        <f t="shared" si="4"/>
        <v>0</v>
      </c>
      <c r="O88" s="510">
        <f t="shared" si="5"/>
        <v>24.27886161574326</v>
      </c>
    </row>
    <row r="89" spans="2:15">
      <c r="B89" s="507">
        <f t="shared" si="6"/>
        <v>2021</v>
      </c>
      <c r="C89" s="570">
        <f>Amnt_Deposited!O85*$D$10*(1-DOCF)*MSW!E90</f>
        <v>0</v>
      </c>
      <c r="D89" s="571">
        <f>Amnt_Deposited!C85*$F$10*(1-DOCF)*Food!E90</f>
        <v>0</v>
      </c>
      <c r="E89" s="572">
        <f>Amnt_Deposited!F85*$F$11*(1-DOCF)*Garden!E90</f>
        <v>0</v>
      </c>
      <c r="F89" s="572">
        <f>Amnt_Deposited!D85*$D$11*(1-DOCF)*Paper!E90</f>
        <v>0</v>
      </c>
      <c r="G89" s="572">
        <f>Amnt_Deposited!G85*$D$12*(1-DOCF)*Wood!E90</f>
        <v>0</v>
      </c>
      <c r="H89" s="572">
        <f>Amnt_Deposited!H85*$F$12*(1-DOCF)*Textiles!E90</f>
        <v>0</v>
      </c>
      <c r="I89" s="573">
        <f>Amnt_Deposited!E85*$H$10*(1-DOCF)*Nappies!E90</f>
        <v>0</v>
      </c>
      <c r="J89" s="574">
        <f>Amnt_Deposited!N85*$H$11*(1-DOCF)*Sludge!E90</f>
        <v>0</v>
      </c>
      <c r="K89" s="575">
        <f>Amnt_Deposited!P85*$H$12*(1-DOCF)*Industry!D90</f>
        <v>0</v>
      </c>
      <c r="L89" s="572">
        <f>Amnt_Deposited!P85*Parameters!$E$58*$D$11*(1-DOCF)*Industry!E90</f>
        <v>0</v>
      </c>
      <c r="M89" s="573">
        <f>Amnt_Deposited!P85*Parameters!$E$59*$D$12*(1-DOCF)*Industry!E90</f>
        <v>0</v>
      </c>
      <c r="N89" s="508">
        <f t="shared" si="4"/>
        <v>0</v>
      </c>
      <c r="O89" s="510">
        <f t="shared" si="5"/>
        <v>24.27886161574326</v>
      </c>
    </row>
    <row r="90" spans="2:15">
      <c r="B90" s="507">
        <f t="shared" si="6"/>
        <v>2022</v>
      </c>
      <c r="C90" s="570">
        <f>Amnt_Deposited!O86*$D$10*(1-DOCF)*MSW!E91</f>
        <v>0</v>
      </c>
      <c r="D90" s="571">
        <f>Amnt_Deposited!C86*$F$10*(1-DOCF)*Food!E91</f>
        <v>0</v>
      </c>
      <c r="E90" s="572">
        <f>Amnt_Deposited!F86*$F$11*(1-DOCF)*Garden!E91</f>
        <v>0</v>
      </c>
      <c r="F90" s="572">
        <f>Amnt_Deposited!D86*$D$11*(1-DOCF)*Paper!E91</f>
        <v>0</v>
      </c>
      <c r="G90" s="572">
        <f>Amnt_Deposited!G86*$D$12*(1-DOCF)*Wood!E91</f>
        <v>0</v>
      </c>
      <c r="H90" s="572">
        <f>Amnt_Deposited!H86*$F$12*(1-DOCF)*Textiles!E91</f>
        <v>0</v>
      </c>
      <c r="I90" s="573">
        <f>Amnt_Deposited!E86*$H$10*(1-DOCF)*Nappies!E91</f>
        <v>0</v>
      </c>
      <c r="J90" s="574">
        <f>Amnt_Deposited!N86*$H$11*(1-DOCF)*Sludge!E91</f>
        <v>0</v>
      </c>
      <c r="K90" s="575">
        <f>Amnt_Deposited!P86*$H$12*(1-DOCF)*Industry!D91</f>
        <v>0</v>
      </c>
      <c r="L90" s="572">
        <f>Amnt_Deposited!P86*Parameters!$E$58*$D$11*(1-DOCF)*Industry!E91</f>
        <v>0</v>
      </c>
      <c r="M90" s="573">
        <f>Amnt_Deposited!P86*Parameters!$E$59*$D$12*(1-DOCF)*Industry!E91</f>
        <v>0</v>
      </c>
      <c r="N90" s="508">
        <f t="shared" si="4"/>
        <v>0</v>
      </c>
      <c r="O90" s="510">
        <f t="shared" si="5"/>
        <v>24.27886161574326</v>
      </c>
    </row>
    <row r="91" spans="2:15">
      <c r="B91" s="507">
        <f t="shared" si="6"/>
        <v>2023</v>
      </c>
      <c r="C91" s="570">
        <f>Amnt_Deposited!O87*$D$10*(1-DOCF)*MSW!E92</f>
        <v>0</v>
      </c>
      <c r="D91" s="571">
        <f>Amnt_Deposited!C87*$F$10*(1-DOCF)*Food!E92</f>
        <v>0</v>
      </c>
      <c r="E91" s="572">
        <f>Amnt_Deposited!F87*$F$11*(1-DOCF)*Garden!E92</f>
        <v>0</v>
      </c>
      <c r="F91" s="572">
        <f>Amnt_Deposited!D87*$D$11*(1-DOCF)*Paper!E92</f>
        <v>0</v>
      </c>
      <c r="G91" s="572">
        <f>Amnt_Deposited!G87*$D$12*(1-DOCF)*Wood!E92</f>
        <v>0</v>
      </c>
      <c r="H91" s="572">
        <f>Amnt_Deposited!H87*$F$12*(1-DOCF)*Textiles!E92</f>
        <v>0</v>
      </c>
      <c r="I91" s="573">
        <f>Amnt_Deposited!E87*$H$10*(1-DOCF)*Nappies!E92</f>
        <v>0</v>
      </c>
      <c r="J91" s="574">
        <f>Amnt_Deposited!N87*$H$11*(1-DOCF)*Sludge!E92</f>
        <v>0</v>
      </c>
      <c r="K91" s="575">
        <f>Amnt_Deposited!P87*$H$12*(1-DOCF)*Industry!D92</f>
        <v>0</v>
      </c>
      <c r="L91" s="572">
        <f>Amnt_Deposited!P87*Parameters!$E$58*$D$11*(1-DOCF)*Industry!E92</f>
        <v>0</v>
      </c>
      <c r="M91" s="573">
        <f>Amnt_Deposited!P87*Parameters!$E$59*$D$12*(1-DOCF)*Industry!E92</f>
        <v>0</v>
      </c>
      <c r="N91" s="508">
        <f t="shared" si="4"/>
        <v>0</v>
      </c>
      <c r="O91" s="510">
        <f t="shared" si="5"/>
        <v>24.27886161574326</v>
      </c>
    </row>
    <row r="92" spans="2:15">
      <c r="B92" s="507">
        <f t="shared" si="6"/>
        <v>2024</v>
      </c>
      <c r="C92" s="570">
        <f>Amnt_Deposited!O88*$D$10*(1-DOCF)*MSW!E93</f>
        <v>0</v>
      </c>
      <c r="D92" s="571">
        <f>Amnt_Deposited!C88*$F$10*(1-DOCF)*Food!E93</f>
        <v>0</v>
      </c>
      <c r="E92" s="572">
        <f>Amnt_Deposited!F88*$F$11*(1-DOCF)*Garden!E93</f>
        <v>0</v>
      </c>
      <c r="F92" s="572">
        <f>Amnt_Deposited!D88*$D$11*(1-DOCF)*Paper!E93</f>
        <v>0</v>
      </c>
      <c r="G92" s="572">
        <f>Amnt_Deposited!G88*$D$12*(1-DOCF)*Wood!E93</f>
        <v>0</v>
      </c>
      <c r="H92" s="572">
        <f>Amnt_Deposited!H88*$F$12*(1-DOCF)*Textiles!E93</f>
        <v>0</v>
      </c>
      <c r="I92" s="573">
        <f>Amnt_Deposited!E88*$H$10*(1-DOCF)*Nappies!E93</f>
        <v>0</v>
      </c>
      <c r="J92" s="574">
        <f>Amnt_Deposited!N88*$H$11*(1-DOCF)*Sludge!E93</f>
        <v>0</v>
      </c>
      <c r="K92" s="575">
        <f>Amnt_Deposited!P88*$H$12*(1-DOCF)*Industry!D93</f>
        <v>0</v>
      </c>
      <c r="L92" s="572">
        <f>Amnt_Deposited!P88*Parameters!$E$58*$D$11*(1-DOCF)*Industry!E93</f>
        <v>0</v>
      </c>
      <c r="M92" s="573">
        <f>Amnt_Deposited!P88*Parameters!$E$59*$D$12*(1-DOCF)*Industry!E93</f>
        <v>0</v>
      </c>
      <c r="N92" s="508">
        <f t="shared" si="4"/>
        <v>0</v>
      </c>
      <c r="O92" s="510">
        <f t="shared" si="5"/>
        <v>24.27886161574326</v>
      </c>
    </row>
    <row r="93" spans="2:15">
      <c r="B93" s="507">
        <f t="shared" si="6"/>
        <v>2025</v>
      </c>
      <c r="C93" s="570">
        <f>Amnt_Deposited!O89*$D$10*(1-DOCF)*MSW!E94</f>
        <v>0</v>
      </c>
      <c r="D93" s="571">
        <f>Amnt_Deposited!C89*$F$10*(1-DOCF)*Food!E94</f>
        <v>0</v>
      </c>
      <c r="E93" s="572">
        <f>Amnt_Deposited!F89*$F$11*(1-DOCF)*Garden!E94</f>
        <v>0</v>
      </c>
      <c r="F93" s="572">
        <f>Amnt_Deposited!D89*$D$11*(1-DOCF)*Paper!E94</f>
        <v>0</v>
      </c>
      <c r="G93" s="572">
        <f>Amnt_Deposited!G89*$D$12*(1-DOCF)*Wood!E94</f>
        <v>0</v>
      </c>
      <c r="H93" s="572">
        <f>Amnt_Deposited!H89*$F$12*(1-DOCF)*Textiles!E94</f>
        <v>0</v>
      </c>
      <c r="I93" s="573">
        <f>Amnt_Deposited!E89*$H$10*(1-DOCF)*Nappies!E94</f>
        <v>0</v>
      </c>
      <c r="J93" s="574">
        <f>Amnt_Deposited!N89*$H$11*(1-DOCF)*Sludge!E94</f>
        <v>0</v>
      </c>
      <c r="K93" s="575">
        <f>Amnt_Deposited!P89*$H$12*(1-DOCF)*Industry!D94</f>
        <v>0</v>
      </c>
      <c r="L93" s="572">
        <f>Amnt_Deposited!P89*Parameters!$E$58*$D$11*(1-DOCF)*Industry!E94</f>
        <v>0</v>
      </c>
      <c r="M93" s="573">
        <f>Amnt_Deposited!P89*Parameters!$E$59*$D$12*(1-DOCF)*Industry!E94</f>
        <v>0</v>
      </c>
      <c r="N93" s="508">
        <f t="shared" si="4"/>
        <v>0</v>
      </c>
      <c r="O93" s="510">
        <f t="shared" si="5"/>
        <v>24.27886161574326</v>
      </c>
    </row>
    <row r="94" spans="2:15">
      <c r="B94" s="507">
        <f t="shared" si="6"/>
        <v>2026</v>
      </c>
      <c r="C94" s="570">
        <f>Amnt_Deposited!O90*$D$10*(1-DOCF)*MSW!E95</f>
        <v>0</v>
      </c>
      <c r="D94" s="571">
        <f>Amnt_Deposited!C90*$F$10*(1-DOCF)*Food!E95</f>
        <v>0</v>
      </c>
      <c r="E94" s="572">
        <f>Amnt_Deposited!F90*$F$11*(1-DOCF)*Garden!E95</f>
        <v>0</v>
      </c>
      <c r="F94" s="572">
        <f>Amnt_Deposited!D90*$D$11*(1-DOCF)*Paper!E95</f>
        <v>0</v>
      </c>
      <c r="G94" s="572">
        <f>Amnt_Deposited!G90*$D$12*(1-DOCF)*Wood!E95</f>
        <v>0</v>
      </c>
      <c r="H94" s="572">
        <f>Amnt_Deposited!H90*$F$12*(1-DOCF)*Textiles!E95</f>
        <v>0</v>
      </c>
      <c r="I94" s="573">
        <f>Amnt_Deposited!E90*$H$10*(1-DOCF)*Nappies!E95</f>
        <v>0</v>
      </c>
      <c r="J94" s="574">
        <f>Amnt_Deposited!N90*$H$11*(1-DOCF)*Sludge!E95</f>
        <v>0</v>
      </c>
      <c r="K94" s="575">
        <f>Amnt_Deposited!P90*$H$12*(1-DOCF)*Industry!D95</f>
        <v>0</v>
      </c>
      <c r="L94" s="572">
        <f>Amnt_Deposited!P90*Parameters!$E$58*$D$11*(1-DOCF)*Industry!E95</f>
        <v>0</v>
      </c>
      <c r="M94" s="573">
        <f>Amnt_Deposited!P90*Parameters!$E$59*$D$12*(1-DOCF)*Industry!E95</f>
        <v>0</v>
      </c>
      <c r="N94" s="508">
        <f t="shared" si="4"/>
        <v>0</v>
      </c>
      <c r="O94" s="510">
        <f t="shared" si="5"/>
        <v>24.27886161574326</v>
      </c>
    </row>
    <row r="95" spans="2:15">
      <c r="B95" s="507">
        <f t="shared" si="6"/>
        <v>2027</v>
      </c>
      <c r="C95" s="570">
        <f>Amnt_Deposited!O91*$D$10*(1-DOCF)*MSW!E96</f>
        <v>0</v>
      </c>
      <c r="D95" s="571">
        <f>Amnt_Deposited!C91*$F$10*(1-DOCF)*Food!E96</f>
        <v>0</v>
      </c>
      <c r="E95" s="572">
        <f>Amnt_Deposited!F91*$F$11*(1-DOCF)*Garden!E96</f>
        <v>0</v>
      </c>
      <c r="F95" s="572">
        <f>Amnt_Deposited!D91*$D$11*(1-DOCF)*Paper!E96</f>
        <v>0</v>
      </c>
      <c r="G95" s="572">
        <f>Amnt_Deposited!G91*$D$12*(1-DOCF)*Wood!E96</f>
        <v>0</v>
      </c>
      <c r="H95" s="572">
        <f>Amnt_Deposited!H91*$F$12*(1-DOCF)*Textiles!E96</f>
        <v>0</v>
      </c>
      <c r="I95" s="573">
        <f>Amnt_Deposited!E91*$H$10*(1-DOCF)*Nappies!E96</f>
        <v>0</v>
      </c>
      <c r="J95" s="574">
        <f>Amnt_Deposited!N91*$H$11*(1-DOCF)*Sludge!E96</f>
        <v>0</v>
      </c>
      <c r="K95" s="575">
        <f>Amnt_Deposited!P91*$H$12*(1-DOCF)*Industry!D96</f>
        <v>0</v>
      </c>
      <c r="L95" s="572">
        <f>Amnt_Deposited!P91*Parameters!$E$58*$D$11*(1-DOCF)*Industry!E96</f>
        <v>0</v>
      </c>
      <c r="M95" s="573">
        <f>Amnt_Deposited!P91*Parameters!$E$59*$D$12*(1-DOCF)*Industry!E96</f>
        <v>0</v>
      </c>
      <c r="N95" s="508">
        <f t="shared" si="4"/>
        <v>0</v>
      </c>
      <c r="O95" s="510">
        <f t="shared" si="5"/>
        <v>24.27886161574326</v>
      </c>
    </row>
    <row r="96" spans="2:15">
      <c r="B96" s="507">
        <f t="shared" si="6"/>
        <v>2028</v>
      </c>
      <c r="C96" s="570">
        <f>Amnt_Deposited!O92*$D$10*(1-DOCF)*MSW!E97</f>
        <v>0</v>
      </c>
      <c r="D96" s="571">
        <f>Amnt_Deposited!C92*$F$10*(1-DOCF)*Food!E97</f>
        <v>0</v>
      </c>
      <c r="E96" s="572">
        <f>Amnt_Deposited!F92*$F$11*(1-DOCF)*Garden!E97</f>
        <v>0</v>
      </c>
      <c r="F96" s="572">
        <f>Amnt_Deposited!D92*$D$11*(1-DOCF)*Paper!E97</f>
        <v>0</v>
      </c>
      <c r="G96" s="572">
        <f>Amnt_Deposited!G92*$D$12*(1-DOCF)*Wood!E97</f>
        <v>0</v>
      </c>
      <c r="H96" s="572">
        <f>Amnt_Deposited!H92*$F$12*(1-DOCF)*Textiles!E97</f>
        <v>0</v>
      </c>
      <c r="I96" s="573">
        <f>Amnt_Deposited!E92*$H$10*(1-DOCF)*Nappies!E97</f>
        <v>0</v>
      </c>
      <c r="J96" s="574">
        <f>Amnt_Deposited!N92*$H$11*(1-DOCF)*Sludge!E97</f>
        <v>0</v>
      </c>
      <c r="K96" s="575">
        <f>Amnt_Deposited!P92*$H$12*(1-DOCF)*Industry!D97</f>
        <v>0</v>
      </c>
      <c r="L96" s="572">
        <f>Amnt_Deposited!P92*Parameters!$E$58*$D$11*(1-DOCF)*Industry!E97</f>
        <v>0</v>
      </c>
      <c r="M96" s="573">
        <f>Amnt_Deposited!P92*Parameters!$E$59*$D$12*(1-DOCF)*Industry!E97</f>
        <v>0</v>
      </c>
      <c r="N96" s="508">
        <f t="shared" si="4"/>
        <v>0</v>
      </c>
      <c r="O96" s="510">
        <f t="shared" si="5"/>
        <v>24.27886161574326</v>
      </c>
    </row>
    <row r="97" spans="2:15">
      <c r="B97" s="507">
        <f t="shared" si="6"/>
        <v>2029</v>
      </c>
      <c r="C97" s="570">
        <f>Amnt_Deposited!O93*$D$10*(1-DOCF)*MSW!E98</f>
        <v>0</v>
      </c>
      <c r="D97" s="571">
        <f>Amnt_Deposited!C93*$F$10*(1-DOCF)*Food!E98</f>
        <v>0</v>
      </c>
      <c r="E97" s="572">
        <f>Amnt_Deposited!F93*$F$11*(1-DOCF)*Garden!E98</f>
        <v>0</v>
      </c>
      <c r="F97" s="572">
        <f>Amnt_Deposited!D93*$D$11*(1-DOCF)*Paper!E98</f>
        <v>0</v>
      </c>
      <c r="G97" s="572">
        <f>Amnt_Deposited!G93*$D$12*(1-DOCF)*Wood!E98</f>
        <v>0</v>
      </c>
      <c r="H97" s="572">
        <f>Amnt_Deposited!H93*$F$12*(1-DOCF)*Textiles!E98</f>
        <v>0</v>
      </c>
      <c r="I97" s="573">
        <f>Amnt_Deposited!E93*$H$10*(1-DOCF)*Nappies!E98</f>
        <v>0</v>
      </c>
      <c r="J97" s="574">
        <f>Amnt_Deposited!N93*$H$11*(1-DOCF)*Sludge!E98</f>
        <v>0</v>
      </c>
      <c r="K97" s="575">
        <f>Amnt_Deposited!P93*$H$12*(1-DOCF)*Industry!D98</f>
        <v>0</v>
      </c>
      <c r="L97" s="572">
        <f>Amnt_Deposited!P93*Parameters!$E$58*$D$11*(1-DOCF)*Industry!E98</f>
        <v>0</v>
      </c>
      <c r="M97" s="573">
        <f>Amnt_Deposited!P93*Parameters!$E$59*$D$12*(1-DOCF)*Industry!E98</f>
        <v>0</v>
      </c>
      <c r="N97" s="508">
        <f t="shared" si="4"/>
        <v>0</v>
      </c>
      <c r="O97" s="510">
        <f t="shared" si="5"/>
        <v>24.27886161574326</v>
      </c>
    </row>
    <row r="98" spans="2:15" ht="13.5" thickBot="1">
      <c r="B98" s="516">
        <f t="shared" si="6"/>
        <v>2030</v>
      </c>
      <c r="C98" s="570">
        <f>Amnt_Deposited!O94*$D$10*(1-DOCF)*MSW!E99</f>
        <v>0</v>
      </c>
      <c r="D98" s="571">
        <f>Amnt_Deposited!C94*$F$10*(1-DOCF)*Food!E99</f>
        <v>0</v>
      </c>
      <c r="E98" s="572">
        <f>Amnt_Deposited!F94*$F$11*(1-DOCF)*Garden!E99</f>
        <v>0</v>
      </c>
      <c r="F98" s="572">
        <f>Amnt_Deposited!D94*$D$11*(1-DOCF)*Paper!E99</f>
        <v>0</v>
      </c>
      <c r="G98" s="572">
        <f>Amnt_Deposited!G94*$D$12*(1-DOCF)*Wood!E99</f>
        <v>0</v>
      </c>
      <c r="H98" s="572">
        <f>Amnt_Deposited!H94*$F$12*(1-DOCF)*Textiles!E99</f>
        <v>0</v>
      </c>
      <c r="I98" s="573">
        <f>Amnt_Deposited!E94*$H$10*(1-DOCF)*Nappies!E99</f>
        <v>0</v>
      </c>
      <c r="J98" s="574">
        <f>Amnt_Deposited!N94*$H$11*(1-DOCF)*Sludge!E99</f>
        <v>0</v>
      </c>
      <c r="K98" s="575">
        <f>Amnt_Deposited!P94*$H$12*(1-DOCF)*Industry!D99</f>
        <v>0</v>
      </c>
      <c r="L98" s="572">
        <f>Amnt_Deposited!P94*Parameters!$E$58*$D$11*(1-DOCF)*Industry!E99</f>
        <v>0</v>
      </c>
      <c r="M98" s="573">
        <f>Amnt_Deposited!P94*Parameters!$E$59*$D$12*(1-DOCF)*Industry!E99</f>
        <v>0</v>
      </c>
      <c r="N98" s="517">
        <f t="shared" si="4"/>
        <v>0</v>
      </c>
      <c r="O98" s="519">
        <f t="shared" si="5"/>
        <v>24.27886161574326</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0" t="s">
        <v>17</v>
      </c>
    </row>
    <row r="3" spans="2:5" ht="9" customHeight="1"/>
    <row r="4" spans="2:5" ht="15.75">
      <c r="B4" s="11" t="s">
        <v>202</v>
      </c>
      <c r="D4" s="157"/>
      <c r="E4" s="157"/>
    </row>
    <row r="5" spans="2:5" ht="5.25" customHeight="1">
      <c r="B5" s="157"/>
      <c r="C5" s="157"/>
      <c r="D5" s="157"/>
      <c r="E5" s="15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89" customWidth="1"/>
    <col min="2" max="2" width="16.42578125" style="89" customWidth="1"/>
    <col min="3" max="3" width="16" style="89" customWidth="1"/>
    <col min="4" max="4" width="12.140625" style="89" customWidth="1"/>
    <col min="5" max="5" width="11.7109375" style="89" customWidth="1"/>
    <col min="6" max="6" width="9.7109375" style="89" customWidth="1"/>
    <col min="7" max="7" width="11" style="89" customWidth="1"/>
    <col min="8" max="8" width="9.7109375" style="89" customWidth="1"/>
    <col min="9" max="9" width="11.42578125" style="89" customWidth="1"/>
    <col min="10" max="10" width="9.7109375" style="89" customWidth="1"/>
    <col min="11" max="11" width="12.140625" style="89" customWidth="1"/>
    <col min="12" max="12" width="9.7109375" style="89" customWidth="1"/>
    <col min="13" max="14" width="10.7109375" style="89" customWidth="1"/>
    <col min="15" max="15" width="16.140625" style="89" customWidth="1"/>
    <col min="16" max="21" width="8.85546875" style="89"/>
    <col min="22" max="22" width="19.42578125" style="176" customWidth="1"/>
    <col min="23" max="23" width="11" style="89" customWidth="1"/>
    <col min="24" max="24" width="10.140625" style="89" customWidth="1"/>
    <col min="25" max="31" width="9.7109375" style="89" customWidth="1"/>
    <col min="32" max="32" width="12.140625" style="89" customWidth="1"/>
    <col min="33" max="34" width="9.7109375" style="89" customWidth="1"/>
    <col min="35" max="16384" width="8.85546875" style="89"/>
  </cols>
  <sheetData>
    <row r="1" spans="1:35" ht="15">
      <c r="B1" s="91" t="s">
        <v>205</v>
      </c>
      <c r="O1" s="91" t="s">
        <v>112</v>
      </c>
      <c r="V1" s="91" t="s">
        <v>128</v>
      </c>
    </row>
    <row r="2" spans="1:35" ht="12.75" customHeight="1">
      <c r="B2" s="845" t="s">
        <v>52</v>
      </c>
      <c r="C2" s="845"/>
      <c r="D2" s="845"/>
      <c r="E2" s="845"/>
      <c r="F2" s="845"/>
      <c r="G2" s="845"/>
      <c r="H2" s="845"/>
    </row>
    <row r="3" spans="1:35" ht="13.5" thickBot="1">
      <c r="B3" s="845"/>
      <c r="C3" s="845"/>
      <c r="D3" s="845"/>
      <c r="E3" s="845"/>
      <c r="F3" s="845"/>
      <c r="G3" s="845"/>
      <c r="H3" s="845"/>
    </row>
    <row r="4" spans="1:35" ht="13.5" thickBot="1">
      <c r="P4" s="828" t="s">
        <v>242</v>
      </c>
      <c r="Q4" s="829"/>
      <c r="R4" s="830" t="s">
        <v>243</v>
      </c>
      <c r="S4" s="831"/>
      <c r="V4" s="199" t="s">
        <v>155</v>
      </c>
      <c r="W4" s="159">
        <f>P7</f>
        <v>0.44</v>
      </c>
      <c r="X4" s="261">
        <f>P9</f>
        <v>0.3</v>
      </c>
      <c r="Y4" s="261">
        <f>P6</f>
        <v>0.38</v>
      </c>
      <c r="Z4" s="261">
        <f>P11</f>
        <v>0.5</v>
      </c>
      <c r="AA4" s="261">
        <f>P8</f>
        <v>0.49</v>
      </c>
      <c r="AB4" s="261">
        <f>P12</f>
        <v>0.6</v>
      </c>
      <c r="AC4" s="261">
        <f>R18</f>
        <v>0.05</v>
      </c>
      <c r="AD4" s="261">
        <f>P10</f>
        <v>0.47</v>
      </c>
      <c r="AE4" s="262">
        <v>0</v>
      </c>
    </row>
    <row r="5" spans="1:35" ht="13.5" customHeight="1" thickBot="1">
      <c r="B5" s="92"/>
      <c r="C5" s="161"/>
      <c r="D5" s="847" t="s">
        <v>47</v>
      </c>
      <c r="E5" s="848"/>
      <c r="F5" s="848"/>
      <c r="G5" s="837"/>
      <c r="H5" s="848" t="s">
        <v>57</v>
      </c>
      <c r="I5" s="848"/>
      <c r="J5" s="848"/>
      <c r="K5" s="837"/>
      <c r="L5" s="155"/>
      <c r="M5" s="155"/>
      <c r="N5" s="155"/>
      <c r="O5" s="190"/>
      <c r="P5" s="234" t="s">
        <v>116</v>
      </c>
      <c r="Q5" s="235" t="s">
        <v>113</v>
      </c>
      <c r="R5" s="234" t="s">
        <v>116</v>
      </c>
      <c r="S5" s="235" t="s">
        <v>113</v>
      </c>
      <c r="V5" s="340" t="s">
        <v>118</v>
      </c>
      <c r="W5" s="341">
        <v>3</v>
      </c>
      <c r="AF5" s="849" t="s">
        <v>126</v>
      </c>
      <c r="AG5" s="849" t="s">
        <v>129</v>
      </c>
      <c r="AH5" s="849" t="s">
        <v>154</v>
      </c>
      <c r="AI5"/>
    </row>
    <row r="6" spans="1:35" ht="13.5" thickBot="1">
      <c r="B6" s="193"/>
      <c r="C6" s="179"/>
      <c r="D6" s="846" t="s">
        <v>45</v>
      </c>
      <c r="E6" s="846"/>
      <c r="F6" s="846" t="s">
        <v>46</v>
      </c>
      <c r="G6" s="846"/>
      <c r="H6" s="846" t="s">
        <v>45</v>
      </c>
      <c r="I6" s="846"/>
      <c r="J6" s="846" t="s">
        <v>99</v>
      </c>
      <c r="K6" s="846"/>
      <c r="L6" s="155"/>
      <c r="M6" s="155"/>
      <c r="N6" s="155"/>
      <c r="O6" s="230" t="s">
        <v>6</v>
      </c>
      <c r="P6" s="189">
        <v>0.38</v>
      </c>
      <c r="Q6" s="191" t="s">
        <v>234</v>
      </c>
      <c r="R6" s="189">
        <v>0.15</v>
      </c>
      <c r="S6" s="191" t="s">
        <v>244</v>
      </c>
      <c r="W6" s="854" t="s">
        <v>125</v>
      </c>
      <c r="X6" s="856"/>
      <c r="Y6" s="856"/>
      <c r="Z6" s="856"/>
      <c r="AA6" s="856"/>
      <c r="AB6" s="856"/>
      <c r="AC6" s="856"/>
      <c r="AD6" s="856"/>
      <c r="AE6" s="856"/>
      <c r="AF6" s="850"/>
      <c r="AG6" s="850"/>
      <c r="AH6" s="850"/>
      <c r="AI6"/>
    </row>
    <row r="7" spans="1:35" ht="26.25" thickBot="1">
      <c r="B7" s="854" t="s">
        <v>133</v>
      </c>
      <c r="C7" s="855"/>
      <c r="D7" s="234" t="s">
        <v>116</v>
      </c>
      <c r="E7" s="235" t="s">
        <v>113</v>
      </c>
      <c r="F7" s="236" t="s">
        <v>116</v>
      </c>
      <c r="G7" s="235" t="s">
        <v>113</v>
      </c>
      <c r="H7" s="236" t="s">
        <v>116</v>
      </c>
      <c r="I7" s="235" t="s">
        <v>113</v>
      </c>
      <c r="J7" s="236" t="s">
        <v>116</v>
      </c>
      <c r="K7" s="235" t="s">
        <v>113</v>
      </c>
      <c r="M7" s="154"/>
      <c r="N7" s="154"/>
      <c r="O7" s="231" t="s">
        <v>256</v>
      </c>
      <c r="P7" s="188">
        <v>0.44</v>
      </c>
      <c r="Q7" s="192" t="s">
        <v>235</v>
      </c>
      <c r="R7" s="188">
        <v>0.4</v>
      </c>
      <c r="S7" s="192" t="s">
        <v>245</v>
      </c>
      <c r="T7" s="198"/>
      <c r="V7" s="199"/>
      <c r="W7" s="219" t="s">
        <v>127</v>
      </c>
      <c r="X7" s="208" t="s">
        <v>16</v>
      </c>
      <c r="Y7" s="208" t="s">
        <v>6</v>
      </c>
      <c r="Z7" s="208" t="s">
        <v>2</v>
      </c>
      <c r="AA7" s="208" t="s">
        <v>139</v>
      </c>
      <c r="AB7" s="208" t="s">
        <v>140</v>
      </c>
      <c r="AC7" s="208" t="s">
        <v>135</v>
      </c>
      <c r="AD7" s="208" t="s">
        <v>141</v>
      </c>
      <c r="AE7" s="208" t="s">
        <v>142</v>
      </c>
      <c r="AF7" s="851"/>
      <c r="AG7" s="851"/>
      <c r="AH7" s="851"/>
      <c r="AI7"/>
    </row>
    <row r="8" spans="1:35" ht="25.5" customHeight="1">
      <c r="B8" s="852" t="s">
        <v>48</v>
      </c>
      <c r="C8" s="164" t="s">
        <v>56</v>
      </c>
      <c r="D8" s="110">
        <v>0.04</v>
      </c>
      <c r="E8" s="180" t="s">
        <v>169</v>
      </c>
      <c r="F8" s="194">
        <v>0.06</v>
      </c>
      <c r="G8" s="197" t="s">
        <v>170</v>
      </c>
      <c r="H8" s="110">
        <v>4.4999999999999998E-2</v>
      </c>
      <c r="I8" s="180" t="s">
        <v>167</v>
      </c>
      <c r="J8" s="194">
        <v>7.0000000000000007E-2</v>
      </c>
      <c r="K8" s="180" t="s">
        <v>176</v>
      </c>
      <c r="M8" s="156"/>
      <c r="N8" s="156"/>
      <c r="O8" s="231" t="s">
        <v>255</v>
      </c>
      <c r="P8" s="188">
        <v>0.49</v>
      </c>
      <c r="Q8" s="192" t="s">
        <v>236</v>
      </c>
      <c r="R8" s="188">
        <v>0.2</v>
      </c>
      <c r="S8" s="192" t="s">
        <v>246</v>
      </c>
      <c r="T8" s="198"/>
      <c r="U8" s="198">
        <v>1</v>
      </c>
      <c r="V8" s="201" t="s">
        <v>119</v>
      </c>
      <c r="W8" s="217">
        <v>18.8</v>
      </c>
      <c r="X8" s="218">
        <v>3.5</v>
      </c>
      <c r="Y8" s="218">
        <v>26.2</v>
      </c>
      <c r="Z8" s="218">
        <v>3.5</v>
      </c>
      <c r="AA8" s="218"/>
      <c r="AB8" s="218"/>
      <c r="AC8" s="218"/>
      <c r="AD8" s="218">
        <v>1</v>
      </c>
      <c r="AE8" s="218">
        <f>100-SUM(W8:AD8)</f>
        <v>47</v>
      </c>
      <c r="AF8" s="209">
        <v>0.55000000000000004</v>
      </c>
      <c r="AG8" s="212">
        <v>0.55000000000000004</v>
      </c>
      <c r="AH8" s="263">
        <f>ROUND((W8*W$4+X8*X$4+Y8*Y$4+Z8*Z$4+AA8*AA$4+AB8*AB$4+AC8*AC$4+AD8*AD$4)/100,2)</f>
        <v>0.21</v>
      </c>
      <c r="AI8"/>
    </row>
    <row r="9" spans="1:35" ht="25.5">
      <c r="B9" s="853"/>
      <c r="C9" s="222" t="s">
        <v>134</v>
      </c>
      <c r="D9" s="224">
        <v>0.02</v>
      </c>
      <c r="E9" s="225" t="s">
        <v>168</v>
      </c>
      <c r="F9" s="226">
        <v>0.03</v>
      </c>
      <c r="G9" s="227" t="s">
        <v>171</v>
      </c>
      <c r="H9" s="224">
        <v>2.5000000000000001E-2</v>
      </c>
      <c r="I9" s="225" t="s">
        <v>171</v>
      </c>
      <c r="J9" s="226">
        <v>3.5000000000000003E-2</v>
      </c>
      <c r="K9" s="225" t="s">
        <v>169</v>
      </c>
      <c r="M9" s="156"/>
      <c r="N9" s="156"/>
      <c r="O9" s="231" t="s">
        <v>16</v>
      </c>
      <c r="P9" s="188">
        <v>0.3</v>
      </c>
      <c r="Q9" s="192" t="s">
        <v>237</v>
      </c>
      <c r="R9" s="188">
        <v>0.24</v>
      </c>
      <c r="S9" s="192" t="s">
        <v>247</v>
      </c>
      <c r="T9" s="198"/>
      <c r="U9" s="198">
        <v>2</v>
      </c>
      <c r="V9" s="202" t="s">
        <v>214</v>
      </c>
      <c r="W9" s="203">
        <v>11.3</v>
      </c>
      <c r="X9" s="204">
        <v>2.5</v>
      </c>
      <c r="Y9" s="204">
        <v>40.299999999999997</v>
      </c>
      <c r="Z9" s="204">
        <v>7.9</v>
      </c>
      <c r="AA9" s="204"/>
      <c r="AB9" s="204"/>
      <c r="AC9" s="204"/>
      <c r="AD9" s="204">
        <v>0.8</v>
      </c>
      <c r="AE9" s="204">
        <f t="shared" ref="AE9:AE26" si="0">100-SUM(W9:AD9)</f>
        <v>37.20000000000001</v>
      </c>
      <c r="AF9" s="210">
        <v>0.21</v>
      </c>
      <c r="AG9" s="213">
        <v>0.74</v>
      </c>
      <c r="AH9" s="264">
        <f t="shared" ref="AH9:AH26" si="1">ROUND((W9*W$4+X9*X$4+Y9*Y$4+Z9*Z$4+AA9*AA$4+AB9*AB$4+AC9*AC$4+AD9*AD$4)/100,2)</f>
        <v>0.25</v>
      </c>
      <c r="AI9"/>
    </row>
    <row r="10" spans="1:35" ht="25.5" customHeight="1">
      <c r="B10" s="221" t="s">
        <v>49</v>
      </c>
      <c r="C10" s="222" t="s">
        <v>50</v>
      </c>
      <c r="D10" s="111">
        <v>0.05</v>
      </c>
      <c r="E10" s="181" t="s">
        <v>167</v>
      </c>
      <c r="F10" s="195">
        <v>0.1</v>
      </c>
      <c r="G10" s="182" t="s">
        <v>172</v>
      </c>
      <c r="H10" s="111">
        <v>6.5000000000000002E-2</v>
      </c>
      <c r="I10" s="181" t="s">
        <v>166</v>
      </c>
      <c r="J10" s="195">
        <v>0.17</v>
      </c>
      <c r="K10" s="181" t="s">
        <v>177</v>
      </c>
      <c r="M10" s="156"/>
      <c r="N10" s="156"/>
      <c r="O10" s="232" t="s">
        <v>229</v>
      </c>
      <c r="P10" s="228">
        <v>0.47</v>
      </c>
      <c r="Q10" s="229" t="s">
        <v>238</v>
      </c>
      <c r="R10" s="228">
        <v>0.39</v>
      </c>
      <c r="S10" s="229" t="s">
        <v>248</v>
      </c>
      <c r="T10" s="198"/>
      <c r="U10" s="198">
        <v>3</v>
      </c>
      <c r="V10" s="202" t="s">
        <v>120</v>
      </c>
      <c r="W10" s="203">
        <v>12.9</v>
      </c>
      <c r="X10" s="204">
        <v>2.7</v>
      </c>
      <c r="Y10" s="204">
        <v>43.5</v>
      </c>
      <c r="Z10" s="204">
        <v>9.9</v>
      </c>
      <c r="AA10" s="204"/>
      <c r="AB10" s="204"/>
      <c r="AC10" s="204"/>
      <c r="AD10" s="204">
        <v>0.9</v>
      </c>
      <c r="AE10" s="204">
        <f t="shared" si="0"/>
        <v>30.099999999999994</v>
      </c>
      <c r="AF10" s="210">
        <v>0.27</v>
      </c>
      <c r="AG10" s="213">
        <v>0.59</v>
      </c>
      <c r="AH10" s="264">
        <f t="shared" si="1"/>
        <v>0.28000000000000003</v>
      </c>
      <c r="AI10"/>
    </row>
    <row r="11" spans="1:35" ht="25.5" customHeight="1" thickBot="1">
      <c r="B11" s="223" t="s">
        <v>51</v>
      </c>
      <c r="C11" s="165" t="s">
        <v>79</v>
      </c>
      <c r="D11" s="111">
        <v>0.06</v>
      </c>
      <c r="E11" s="181" t="s">
        <v>166</v>
      </c>
      <c r="F11" s="195">
        <v>0.185</v>
      </c>
      <c r="G11" s="182" t="s">
        <v>173</v>
      </c>
      <c r="H11" s="112">
        <v>8.5000000000000006E-2</v>
      </c>
      <c r="I11" s="183" t="s">
        <v>175</v>
      </c>
      <c r="J11" s="196">
        <v>0.4</v>
      </c>
      <c r="K11" s="183" t="s">
        <v>165</v>
      </c>
      <c r="M11" s="156"/>
      <c r="N11" s="156"/>
      <c r="O11" s="232" t="s">
        <v>263</v>
      </c>
      <c r="P11" s="228">
        <v>0.5</v>
      </c>
      <c r="Q11" s="229" t="s">
        <v>259</v>
      </c>
      <c r="R11" s="228">
        <v>0.43</v>
      </c>
      <c r="S11" s="229" t="s">
        <v>257</v>
      </c>
      <c r="T11" s="198"/>
      <c r="U11" s="198">
        <v>4</v>
      </c>
      <c r="V11" s="202" t="s">
        <v>121</v>
      </c>
      <c r="W11" s="203">
        <v>18</v>
      </c>
      <c r="X11" s="204">
        <v>2.9</v>
      </c>
      <c r="Y11" s="204">
        <v>41.1</v>
      </c>
      <c r="Z11" s="204">
        <v>9.8000000000000007</v>
      </c>
      <c r="AA11" s="204"/>
      <c r="AB11" s="204"/>
      <c r="AC11" s="204"/>
      <c r="AD11" s="204">
        <v>0.6</v>
      </c>
      <c r="AE11" s="204">
        <f t="shared" si="0"/>
        <v>27.600000000000009</v>
      </c>
      <c r="AF11" s="210">
        <f>AF$32</f>
        <v>0.42055555555555557</v>
      </c>
      <c r="AG11" s="276">
        <f>AG$32</f>
        <v>0.676111111111111</v>
      </c>
      <c r="AH11" s="264">
        <f t="shared" si="1"/>
        <v>0.3</v>
      </c>
      <c r="AI11"/>
    </row>
    <row r="12" spans="1:35" ht="26.25" thickBot="1">
      <c r="B12" s="237" t="s">
        <v>136</v>
      </c>
      <c r="C12" s="238" t="s">
        <v>78</v>
      </c>
      <c r="D12" s="239">
        <v>0.05</v>
      </c>
      <c r="E12" s="240" t="s">
        <v>167</v>
      </c>
      <c r="F12" s="241">
        <v>0.09</v>
      </c>
      <c r="G12" s="242" t="s">
        <v>174</v>
      </c>
      <c r="H12" s="239">
        <v>6.5000000000000002E-2</v>
      </c>
      <c r="I12" s="240" t="s">
        <v>166</v>
      </c>
      <c r="J12" s="241">
        <v>0.17</v>
      </c>
      <c r="K12" s="240" t="s">
        <v>177</v>
      </c>
      <c r="M12" s="156"/>
      <c r="N12" s="156"/>
      <c r="O12" s="232" t="s">
        <v>267</v>
      </c>
      <c r="P12" s="228">
        <v>0.6</v>
      </c>
      <c r="Q12" s="229" t="s">
        <v>260</v>
      </c>
      <c r="R12" s="228">
        <v>0.24</v>
      </c>
      <c r="S12" s="229" t="s">
        <v>258</v>
      </c>
      <c r="U12" s="198">
        <v>5</v>
      </c>
      <c r="V12" s="202" t="s">
        <v>215</v>
      </c>
      <c r="W12" s="203">
        <v>7.7</v>
      </c>
      <c r="X12" s="204">
        <v>1.7</v>
      </c>
      <c r="Y12" s="204">
        <v>53.9</v>
      </c>
      <c r="Z12" s="204">
        <v>7</v>
      </c>
      <c r="AA12" s="204"/>
      <c r="AB12" s="204"/>
      <c r="AC12" s="204"/>
      <c r="AD12" s="204">
        <v>1.1000000000000001</v>
      </c>
      <c r="AE12" s="204">
        <f t="shared" si="0"/>
        <v>28.600000000000009</v>
      </c>
      <c r="AF12" s="210">
        <v>0.28999999999999998</v>
      </c>
      <c r="AG12" s="276">
        <v>0.69</v>
      </c>
      <c r="AH12" s="264">
        <f t="shared" si="1"/>
        <v>0.28000000000000003</v>
      </c>
      <c r="AI12"/>
    </row>
    <row r="13" spans="1:35" ht="12.75" customHeight="1">
      <c r="I13" s="93"/>
      <c r="M13" s="156"/>
      <c r="N13" s="156"/>
      <c r="O13" s="842" t="s">
        <v>264</v>
      </c>
      <c r="P13" s="843"/>
      <c r="Q13" s="843"/>
      <c r="R13" s="843"/>
      <c r="S13" s="844"/>
      <c r="U13" s="198">
        <v>6</v>
      </c>
      <c r="V13" s="202" t="s">
        <v>216</v>
      </c>
      <c r="W13" s="203">
        <v>16.8</v>
      </c>
      <c r="X13" s="204">
        <v>2.5</v>
      </c>
      <c r="Y13" s="204">
        <v>43.4</v>
      </c>
      <c r="Z13" s="204">
        <v>6.5</v>
      </c>
      <c r="AA13" s="205"/>
      <c r="AB13" s="204"/>
      <c r="AC13" s="204"/>
      <c r="AD13" s="205"/>
      <c r="AE13" s="204">
        <f t="shared" si="0"/>
        <v>30.799999999999997</v>
      </c>
      <c r="AF13" s="210">
        <v>0.28999999999999998</v>
      </c>
      <c r="AG13" s="276">
        <v>0.69</v>
      </c>
      <c r="AH13" s="264">
        <f t="shared" si="1"/>
        <v>0.28000000000000003</v>
      </c>
      <c r="AI13"/>
    </row>
    <row r="14" spans="1:35">
      <c r="A14" s="93"/>
      <c r="B14" s="94" t="s">
        <v>58</v>
      </c>
      <c r="C14" s="93"/>
      <c r="D14" s="93"/>
      <c r="E14" s="93"/>
      <c r="F14" s="93"/>
      <c r="G14" s="93"/>
      <c r="H14" s="93"/>
      <c r="I14" s="93"/>
      <c r="J14" s="93"/>
      <c r="K14" s="93"/>
      <c r="L14" s="93"/>
      <c r="M14" s="156"/>
      <c r="N14" s="156"/>
      <c r="O14" s="432" t="s">
        <v>230</v>
      </c>
      <c r="P14" s="228"/>
      <c r="Q14" s="229"/>
      <c r="R14" s="228"/>
      <c r="S14" s="229"/>
      <c r="U14" s="198">
        <v>7</v>
      </c>
      <c r="V14" s="202" t="s">
        <v>217</v>
      </c>
      <c r="W14" s="203">
        <v>16.5</v>
      </c>
      <c r="X14" s="204">
        <v>2.5</v>
      </c>
      <c r="Y14" s="204">
        <v>51.1</v>
      </c>
      <c r="Z14" s="204">
        <v>2</v>
      </c>
      <c r="AA14" s="205"/>
      <c r="AB14" s="204"/>
      <c r="AC14" s="204"/>
      <c r="AD14" s="205"/>
      <c r="AE14" s="204">
        <f t="shared" si="0"/>
        <v>27.900000000000006</v>
      </c>
      <c r="AF14" s="210">
        <v>0.28999999999999998</v>
      </c>
      <c r="AG14" s="276">
        <v>0.69</v>
      </c>
      <c r="AH14" s="264">
        <f t="shared" si="1"/>
        <v>0.28000000000000003</v>
      </c>
      <c r="AI14"/>
    </row>
    <row r="15" spans="1:35" ht="13.5" thickBot="1">
      <c r="M15" s="156"/>
      <c r="N15" s="156"/>
      <c r="O15" s="433" t="s">
        <v>231</v>
      </c>
      <c r="P15" s="228"/>
      <c r="Q15" s="229"/>
      <c r="R15" s="228"/>
      <c r="S15" s="229"/>
      <c r="U15" s="198">
        <v>8</v>
      </c>
      <c r="V15" s="202" t="s">
        <v>122</v>
      </c>
      <c r="W15" s="203">
        <v>25</v>
      </c>
      <c r="X15" s="204"/>
      <c r="Y15" s="204">
        <v>23</v>
      </c>
      <c r="Z15" s="204">
        <v>15</v>
      </c>
      <c r="AA15" s="204"/>
      <c r="AB15" s="204"/>
      <c r="AC15" s="204"/>
      <c r="AD15" s="204"/>
      <c r="AE15" s="204">
        <f t="shared" si="0"/>
        <v>37</v>
      </c>
      <c r="AF15" s="210">
        <v>0.28999999999999998</v>
      </c>
      <c r="AG15" s="276">
        <v>0.69</v>
      </c>
      <c r="AH15" s="264">
        <f t="shared" si="1"/>
        <v>0.27</v>
      </c>
      <c r="AI15"/>
    </row>
    <row r="16" spans="1:35" ht="13.5" thickBot="1">
      <c r="C16" s="95" t="s">
        <v>59</v>
      </c>
      <c r="D16" s="96" t="s">
        <v>60</v>
      </c>
      <c r="E16" s="97" t="s">
        <v>61</v>
      </c>
      <c r="G16" s="337" t="s">
        <v>62</v>
      </c>
      <c r="N16" s="156"/>
      <c r="O16" s="433" t="s">
        <v>232</v>
      </c>
      <c r="P16" s="228"/>
      <c r="Q16" s="229"/>
      <c r="R16" s="228"/>
      <c r="S16" s="229"/>
      <c r="U16" s="198">
        <v>9</v>
      </c>
      <c r="V16" s="202" t="s">
        <v>218</v>
      </c>
      <c r="W16" s="203">
        <v>9.8000000000000007</v>
      </c>
      <c r="X16" s="204">
        <v>1</v>
      </c>
      <c r="Y16" s="204">
        <v>40.4</v>
      </c>
      <c r="Z16" s="204">
        <v>4.4000000000000004</v>
      </c>
      <c r="AA16" s="204"/>
      <c r="AB16" s="204"/>
      <c r="AC16" s="204"/>
      <c r="AD16" s="204"/>
      <c r="AE16" s="204">
        <f t="shared" si="0"/>
        <v>44.4</v>
      </c>
      <c r="AF16" s="210">
        <v>0.28999999999999998</v>
      </c>
      <c r="AG16" s="276">
        <v>0.69</v>
      </c>
      <c r="AH16" s="264">
        <f t="shared" si="1"/>
        <v>0.22</v>
      </c>
      <c r="AI16"/>
    </row>
    <row r="17" spans="1:35" ht="13.5" thickBot="1">
      <c r="A17" s="89">
        <v>1</v>
      </c>
      <c r="B17" s="398" t="s">
        <v>44</v>
      </c>
      <c r="C17" s="98" t="s">
        <v>63</v>
      </c>
      <c r="D17" s="99"/>
      <c r="E17" s="100" t="s">
        <v>64</v>
      </c>
      <c r="G17" s="338">
        <v>4</v>
      </c>
      <c r="M17" s="93"/>
      <c r="O17" s="433" t="s">
        <v>233</v>
      </c>
      <c r="P17" s="228"/>
      <c r="Q17" s="229"/>
      <c r="R17" s="228"/>
      <c r="S17" s="229"/>
      <c r="U17" s="198">
        <v>10</v>
      </c>
      <c r="V17" s="202" t="s">
        <v>219</v>
      </c>
      <c r="W17" s="203">
        <v>21.8</v>
      </c>
      <c r="X17" s="204">
        <v>4.7</v>
      </c>
      <c r="Y17" s="204">
        <v>30.1</v>
      </c>
      <c r="Z17" s="204">
        <v>7.5</v>
      </c>
      <c r="AA17" s="204"/>
      <c r="AB17" s="204"/>
      <c r="AC17" s="204"/>
      <c r="AD17" s="204">
        <v>1.4</v>
      </c>
      <c r="AE17" s="204">
        <f t="shared" si="0"/>
        <v>34.5</v>
      </c>
      <c r="AF17" s="210">
        <v>0.38</v>
      </c>
      <c r="AG17" s="213">
        <v>0.9</v>
      </c>
      <c r="AH17" s="264">
        <f t="shared" si="1"/>
        <v>0.27</v>
      </c>
      <c r="AI17"/>
    </row>
    <row r="18" spans="1:35" ht="13.5" thickBot="1">
      <c r="A18" s="89">
        <v>2</v>
      </c>
      <c r="B18" s="398" t="s">
        <v>65</v>
      </c>
      <c r="C18" s="101" t="s">
        <v>63</v>
      </c>
      <c r="D18" s="102"/>
      <c r="E18" s="103" t="s">
        <v>66</v>
      </c>
      <c r="O18" s="231" t="s">
        <v>135</v>
      </c>
      <c r="P18" s="441"/>
      <c r="Q18" s="442" t="s">
        <v>277</v>
      </c>
      <c r="R18" s="441">
        <v>0.05</v>
      </c>
      <c r="S18" s="442" t="s">
        <v>137</v>
      </c>
      <c r="U18" s="198">
        <v>11</v>
      </c>
      <c r="V18" s="202" t="s">
        <v>220</v>
      </c>
      <c r="W18" s="203">
        <v>30.6</v>
      </c>
      <c r="X18" s="204">
        <v>2</v>
      </c>
      <c r="Y18" s="204">
        <v>23.8</v>
      </c>
      <c r="Z18" s="204">
        <v>10</v>
      </c>
      <c r="AA18" s="204"/>
      <c r="AB18" s="204"/>
      <c r="AC18" s="204"/>
      <c r="AD18" s="204"/>
      <c r="AE18" s="204">
        <f t="shared" si="0"/>
        <v>33.599999999999994</v>
      </c>
      <c r="AF18" s="210">
        <v>0.64</v>
      </c>
      <c r="AG18" s="213">
        <v>0.47</v>
      </c>
      <c r="AH18" s="264">
        <f t="shared" si="1"/>
        <v>0.28000000000000003</v>
      </c>
      <c r="AI18"/>
    </row>
    <row r="19" spans="1:35" s="93" customFormat="1" ht="26.25" thickBot="1">
      <c r="A19" s="89">
        <v>3</v>
      </c>
      <c r="B19" s="398" t="s">
        <v>67</v>
      </c>
      <c r="C19" s="101" t="s">
        <v>68</v>
      </c>
      <c r="D19" s="102" t="s">
        <v>69</v>
      </c>
      <c r="E19" s="103"/>
      <c r="F19" s="89"/>
      <c r="G19" s="89"/>
      <c r="H19" s="89"/>
      <c r="I19" s="89"/>
      <c r="J19" s="89"/>
      <c r="K19" s="89"/>
      <c r="L19" s="89"/>
      <c r="M19" s="89"/>
      <c r="O19" s="438" t="s">
        <v>143</v>
      </c>
      <c r="P19" s="439"/>
      <c r="Q19" s="440" t="s">
        <v>277</v>
      </c>
      <c r="R19" s="439">
        <v>0.18</v>
      </c>
      <c r="S19" s="440" t="s">
        <v>156</v>
      </c>
      <c r="U19" s="198">
        <v>12</v>
      </c>
      <c r="V19" s="202" t="s">
        <v>123</v>
      </c>
      <c r="W19" s="203">
        <v>17</v>
      </c>
      <c r="X19" s="204"/>
      <c r="Y19" s="204">
        <v>36.9</v>
      </c>
      <c r="Z19" s="204">
        <v>10.6</v>
      </c>
      <c r="AA19" s="204"/>
      <c r="AB19" s="204"/>
      <c r="AC19" s="204"/>
      <c r="AD19" s="204"/>
      <c r="AE19" s="204">
        <f t="shared" si="0"/>
        <v>35.5</v>
      </c>
      <c r="AF19" s="210">
        <v>0.52</v>
      </c>
      <c r="AG19" s="213">
        <v>0.85</v>
      </c>
      <c r="AH19" s="264">
        <f t="shared" si="1"/>
        <v>0.27</v>
      </c>
      <c r="AI19"/>
    </row>
    <row r="20" spans="1:35" ht="26.25" thickBot="1">
      <c r="A20" s="104">
        <v>4</v>
      </c>
      <c r="B20" s="398" t="s">
        <v>98</v>
      </c>
      <c r="C20" s="105" t="s">
        <v>68</v>
      </c>
      <c r="D20" s="106" t="s">
        <v>97</v>
      </c>
      <c r="E20" s="107"/>
      <c r="O20" s="233" t="s">
        <v>23</v>
      </c>
      <c r="P20" s="412"/>
      <c r="Q20" s="413" t="s">
        <v>277</v>
      </c>
      <c r="R20" s="412">
        <v>0.15</v>
      </c>
      <c r="S20" s="413" t="s">
        <v>138</v>
      </c>
      <c r="U20" s="198">
        <v>13</v>
      </c>
      <c r="V20" s="202" t="s">
        <v>221</v>
      </c>
      <c r="W20" s="203">
        <v>27.5</v>
      </c>
      <c r="X20" s="204"/>
      <c r="Y20" s="204">
        <v>24.2</v>
      </c>
      <c r="Z20" s="204">
        <v>11</v>
      </c>
      <c r="AA20" s="204"/>
      <c r="AB20" s="204"/>
      <c r="AC20" s="204"/>
      <c r="AD20" s="204"/>
      <c r="AE20" s="204">
        <f t="shared" si="0"/>
        <v>37.299999999999997</v>
      </c>
      <c r="AF20" s="210">
        <v>0.56000000000000005</v>
      </c>
      <c r="AG20" s="213">
        <v>0.47</v>
      </c>
      <c r="AH20" s="264">
        <f t="shared" si="1"/>
        <v>0.27</v>
      </c>
      <c r="AI20"/>
    </row>
    <row r="21" spans="1:35" ht="26.25" thickBot="1">
      <c r="A21" s="104"/>
      <c r="B21" s="154"/>
      <c r="C21" s="104"/>
      <c r="D21" s="104"/>
      <c r="E21" s="104"/>
      <c r="O21" s="93"/>
      <c r="P21" s="93"/>
      <c r="Q21" s="93"/>
      <c r="R21" s="93"/>
      <c r="U21" s="198">
        <v>14</v>
      </c>
      <c r="V21" s="202" t="s">
        <v>222</v>
      </c>
      <c r="W21" s="203">
        <v>30</v>
      </c>
      <c r="X21" s="204"/>
      <c r="Y21" s="204">
        <v>36</v>
      </c>
      <c r="Z21" s="204">
        <v>24</v>
      </c>
      <c r="AA21" s="204"/>
      <c r="AB21" s="204"/>
      <c r="AC21" s="204"/>
      <c r="AD21" s="204"/>
      <c r="AE21" s="204">
        <f t="shared" si="0"/>
        <v>10</v>
      </c>
      <c r="AF21" s="210">
        <v>0.69</v>
      </c>
      <c r="AG21" s="213">
        <v>0.85</v>
      </c>
      <c r="AH21" s="264">
        <f t="shared" si="1"/>
        <v>0.39</v>
      </c>
      <c r="AI21"/>
    </row>
    <row r="22" spans="1:35" ht="26.25" thickBot="1">
      <c r="O22" s="339" t="s">
        <v>114</v>
      </c>
      <c r="P22" s="89">
        <v>1</v>
      </c>
      <c r="Q22" s="89" t="s">
        <v>145</v>
      </c>
      <c r="U22" s="198">
        <v>15</v>
      </c>
      <c r="V22" s="202" t="s">
        <v>223</v>
      </c>
      <c r="W22" s="203">
        <v>6</v>
      </c>
      <c r="X22" s="204"/>
      <c r="Y22" s="204">
        <v>67.5</v>
      </c>
      <c r="Z22" s="204">
        <v>2.5</v>
      </c>
      <c r="AA22" s="204"/>
      <c r="AB22" s="204"/>
      <c r="AC22" s="204"/>
      <c r="AD22" s="204"/>
      <c r="AE22" s="204">
        <f t="shared" si="0"/>
        <v>24</v>
      </c>
      <c r="AF22" s="210">
        <v>0.69</v>
      </c>
      <c r="AG22" s="213">
        <v>0.85</v>
      </c>
      <c r="AH22" s="264">
        <f t="shared" si="1"/>
        <v>0.3</v>
      </c>
      <c r="AI22"/>
    </row>
    <row r="23" spans="1:35" ht="13.5" thickBot="1">
      <c r="B23" s="89" t="s">
        <v>53</v>
      </c>
      <c r="O23" s="338">
        <v>1</v>
      </c>
      <c r="P23" s="89">
        <v>2</v>
      </c>
      <c r="Q23" s="89" t="s">
        <v>144</v>
      </c>
      <c r="U23" s="198">
        <v>16</v>
      </c>
      <c r="V23" s="202" t="s">
        <v>224</v>
      </c>
      <c r="W23" s="203">
        <v>23.2</v>
      </c>
      <c r="X23" s="204">
        <v>3.9</v>
      </c>
      <c r="Y23" s="204">
        <v>33.9</v>
      </c>
      <c r="Z23" s="204">
        <v>6.2</v>
      </c>
      <c r="AA23" s="204"/>
      <c r="AB23" s="204"/>
      <c r="AC23" s="204"/>
      <c r="AD23" s="204">
        <v>1.4</v>
      </c>
      <c r="AE23" s="204">
        <f t="shared" si="0"/>
        <v>31.399999999999991</v>
      </c>
      <c r="AF23" s="210">
        <v>0.65</v>
      </c>
      <c r="AG23" s="213">
        <v>0.57999999999999996</v>
      </c>
      <c r="AH23" s="264">
        <f t="shared" si="1"/>
        <v>0.28000000000000003</v>
      </c>
      <c r="AI23"/>
    </row>
    <row r="24" spans="1:35">
      <c r="B24" s="89" t="s">
        <v>54</v>
      </c>
      <c r="S24" s="93"/>
      <c r="U24" s="198">
        <v>17</v>
      </c>
      <c r="V24" s="202" t="s">
        <v>225</v>
      </c>
      <c r="W24" s="203">
        <v>13.7</v>
      </c>
      <c r="X24" s="204">
        <v>2.6</v>
      </c>
      <c r="Y24" s="204">
        <v>43.8</v>
      </c>
      <c r="Z24" s="204">
        <v>13.5</v>
      </c>
      <c r="AA24" s="204"/>
      <c r="AB24" s="204"/>
      <c r="AC24" s="204"/>
      <c r="AD24" s="204">
        <v>1.8</v>
      </c>
      <c r="AE24" s="204">
        <f t="shared" si="0"/>
        <v>24.600000000000009</v>
      </c>
      <c r="AF24" s="210">
        <v>0.21</v>
      </c>
      <c r="AG24" s="213">
        <v>0.5</v>
      </c>
      <c r="AH24" s="264">
        <f t="shared" si="1"/>
        <v>0.31</v>
      </c>
      <c r="AI24"/>
    </row>
    <row r="25" spans="1:35">
      <c r="B25" s="89" t="s">
        <v>55</v>
      </c>
      <c r="O25" s="104"/>
      <c r="P25" s="434"/>
      <c r="Q25" s="434"/>
      <c r="R25" s="435"/>
      <c r="S25" s="435"/>
      <c r="U25" s="198">
        <v>18</v>
      </c>
      <c r="V25" s="202" t="s">
        <v>226</v>
      </c>
      <c r="W25" s="203">
        <v>17.100000000000001</v>
      </c>
      <c r="X25" s="204">
        <v>2.6</v>
      </c>
      <c r="Y25" s="204">
        <v>44.9</v>
      </c>
      <c r="Z25" s="204">
        <v>4.7</v>
      </c>
      <c r="AA25" s="204"/>
      <c r="AB25" s="204"/>
      <c r="AC25" s="204"/>
      <c r="AD25" s="204">
        <v>0.7</v>
      </c>
      <c r="AE25" s="204">
        <f t="shared" si="0"/>
        <v>30</v>
      </c>
      <c r="AF25" s="210">
        <v>0.26</v>
      </c>
      <c r="AG25" s="213">
        <v>0.54</v>
      </c>
      <c r="AH25" s="264">
        <f t="shared" si="1"/>
        <v>0.28000000000000003</v>
      </c>
      <c r="AI25"/>
    </row>
    <row r="26" spans="1:35" ht="13.5" thickBot="1">
      <c r="B26" s="834" t="s">
        <v>70</v>
      </c>
      <c r="C26" s="834"/>
      <c r="D26" s="834"/>
      <c r="E26" s="834"/>
      <c r="F26" s="834"/>
      <c r="G26" s="834"/>
      <c r="H26" s="834"/>
      <c r="O26" s="104"/>
      <c r="P26" s="436"/>
      <c r="Q26" s="434"/>
      <c r="R26" s="436"/>
      <c r="S26" s="434"/>
      <c r="U26" s="198">
        <v>19</v>
      </c>
      <c r="V26" s="202" t="s">
        <v>124</v>
      </c>
      <c r="W26" s="206">
        <v>17</v>
      </c>
      <c r="X26" s="207">
        <v>5.0999999999999996</v>
      </c>
      <c r="Y26" s="207">
        <v>46.9</v>
      </c>
      <c r="Z26" s="207">
        <v>2.4</v>
      </c>
      <c r="AA26" s="207"/>
      <c r="AB26" s="207"/>
      <c r="AC26" s="207"/>
      <c r="AD26" s="207">
        <v>1.9</v>
      </c>
      <c r="AE26" s="207">
        <f t="shared" si="0"/>
        <v>26.699999999999989</v>
      </c>
      <c r="AF26" s="211">
        <v>0.49</v>
      </c>
      <c r="AG26" s="214">
        <v>0.83</v>
      </c>
      <c r="AH26" s="265">
        <f t="shared" si="1"/>
        <v>0.28999999999999998</v>
      </c>
      <c r="AI26"/>
    </row>
    <row r="27" spans="1:35">
      <c r="B27" s="835"/>
      <c r="C27" s="835"/>
      <c r="D27" s="835"/>
      <c r="E27" s="835"/>
      <c r="F27" s="835"/>
      <c r="G27" s="835"/>
      <c r="H27" s="835"/>
      <c r="O27" s="104"/>
      <c r="P27" s="437"/>
      <c r="Q27" s="104"/>
      <c r="R27" s="104"/>
      <c r="S27" s="104"/>
      <c r="U27" s="198"/>
      <c r="V27" s="200"/>
    </row>
    <row r="28" spans="1:35">
      <c r="B28" s="835"/>
      <c r="C28" s="835"/>
      <c r="D28" s="835"/>
      <c r="E28" s="835"/>
      <c r="F28" s="835"/>
      <c r="G28" s="835"/>
      <c r="H28" s="835"/>
      <c r="O28" s="104"/>
      <c r="P28" s="437"/>
      <c r="Q28" s="104"/>
      <c r="R28" s="104"/>
      <c r="S28" s="104"/>
      <c r="V28" s="200"/>
    </row>
    <row r="29" spans="1:35">
      <c r="B29" s="835"/>
      <c r="C29" s="835"/>
      <c r="D29" s="835"/>
      <c r="E29" s="835"/>
      <c r="F29" s="835"/>
      <c r="G29" s="835"/>
      <c r="H29" s="835"/>
      <c r="O29" s="429"/>
      <c r="P29" s="430"/>
      <c r="Q29" s="431"/>
      <c r="R29" s="104"/>
      <c r="W29" s="215">
        <f>AVERAGE(W8:W26)</f>
        <v>17.931578947368422</v>
      </c>
      <c r="X29" s="215">
        <f t="shared" ref="X29:AE29" si="2">AVERAGE(X8:X26)</f>
        <v>2.871428571428571</v>
      </c>
      <c r="Y29" s="215">
        <f t="shared" si="2"/>
        <v>39.521052631578939</v>
      </c>
      <c r="Z29" s="215">
        <f t="shared" si="2"/>
        <v>8.3368421052631572</v>
      </c>
      <c r="AA29" s="215"/>
      <c r="AB29" s="215"/>
      <c r="AC29" s="215"/>
      <c r="AD29" s="215">
        <f t="shared" si="2"/>
        <v>1.1600000000000001</v>
      </c>
      <c r="AE29" s="215">
        <f t="shared" si="2"/>
        <v>31.484210526315792</v>
      </c>
      <c r="AF29" s="215">
        <f>SUM(W29:AE29)</f>
        <v>101.30511278195488</v>
      </c>
    </row>
    <row r="30" spans="1:35">
      <c r="B30" s="835"/>
      <c r="C30" s="835"/>
      <c r="D30" s="835"/>
      <c r="E30" s="835"/>
      <c r="F30" s="835"/>
      <c r="G30" s="835"/>
      <c r="H30" s="835"/>
      <c r="O30" s="429"/>
      <c r="P30" s="430"/>
      <c r="Q30" s="431"/>
      <c r="R30" s="104"/>
      <c r="W30" s="216">
        <f t="shared" ref="W30:AE30" si="3">W29/$AF$29</f>
        <v>0.17700566590319725</v>
      </c>
      <c r="X30" s="216">
        <f t="shared" si="3"/>
        <v>2.8344359850908222E-2</v>
      </c>
      <c r="Y30" s="216">
        <f t="shared" si="3"/>
        <v>0.39011903295189543</v>
      </c>
      <c r="Z30" s="216">
        <f t="shared" si="3"/>
        <v>8.229438649564555E-2</v>
      </c>
      <c r="AA30" s="216">
        <f t="shared" si="3"/>
        <v>0</v>
      </c>
      <c r="AB30" s="216">
        <f t="shared" si="3"/>
        <v>0</v>
      </c>
      <c r="AC30" s="216">
        <f t="shared" si="3"/>
        <v>0</v>
      </c>
      <c r="AD30" s="216">
        <f t="shared" si="3"/>
        <v>1.145055731290422E-2</v>
      </c>
      <c r="AE30" s="216">
        <f t="shared" si="3"/>
        <v>0.31078599748544938</v>
      </c>
    </row>
    <row r="31" spans="1:35" ht="13.5" thickBot="1">
      <c r="O31" s="429"/>
      <c r="P31" s="430"/>
      <c r="Q31" s="431"/>
      <c r="R31" s="104"/>
    </row>
    <row r="32" spans="1:35" ht="13.5" thickBot="1">
      <c r="B32" s="108" t="s">
        <v>71</v>
      </c>
      <c r="O32" s="429"/>
      <c r="P32" s="430"/>
      <c r="Q32" s="431"/>
      <c r="R32" s="104"/>
      <c r="AE32" s="159" t="s">
        <v>178</v>
      </c>
      <c r="AF32" s="277">
        <f>AVERAGE(AF12:AF26,AF8:AF10)</f>
        <v>0.42055555555555557</v>
      </c>
      <c r="AG32" s="298">
        <f>AVERAGE(AG12:AG26,AG8:AG10)</f>
        <v>0.676111111111111</v>
      </c>
      <c r="AH32" s="299">
        <f>AVERAGE(AH8:AH26)</f>
        <v>0.27947368421052637</v>
      </c>
    </row>
    <row r="33" spans="2:18">
      <c r="O33" s="429"/>
      <c r="P33" s="430"/>
      <c r="Q33" s="431"/>
      <c r="R33" s="104"/>
    </row>
    <row r="34" spans="2:18">
      <c r="B34" s="89" t="s">
        <v>72</v>
      </c>
      <c r="O34" s="429"/>
      <c r="P34" s="430"/>
      <c r="Q34" s="431"/>
      <c r="R34" s="104"/>
    </row>
    <row r="35" spans="2:18">
      <c r="O35" s="429"/>
      <c r="P35" s="430"/>
      <c r="Q35" s="431"/>
      <c r="R35" s="104"/>
    </row>
    <row r="36" spans="2:18">
      <c r="B36" s="5" t="s">
        <v>73</v>
      </c>
      <c r="O36" s="429"/>
      <c r="P36" s="430"/>
      <c r="Q36" s="431"/>
      <c r="R36" s="104"/>
    </row>
    <row r="37" spans="2:18" ht="13.5" thickBot="1">
      <c r="O37" s="429"/>
      <c r="P37" s="430"/>
      <c r="Q37" s="431"/>
      <c r="R37" s="104"/>
    </row>
    <row r="38" spans="2:18" ht="14.25">
      <c r="B38" s="109" t="s">
        <v>74</v>
      </c>
      <c r="C38" s="836" t="s">
        <v>75</v>
      </c>
      <c r="D38" s="837"/>
      <c r="O38" s="429"/>
      <c r="P38" s="430"/>
      <c r="Q38" s="431"/>
      <c r="R38" s="104"/>
    </row>
    <row r="39" spans="2:18">
      <c r="B39" s="162">
        <v>35</v>
      </c>
      <c r="C39" s="840">
        <f>LN(2)/B39</f>
        <v>1.980420515885558E-2</v>
      </c>
      <c r="D39" s="841"/>
    </row>
    <row r="40" spans="2:18" ht="27">
      <c r="B40" s="399" t="s">
        <v>76</v>
      </c>
      <c r="C40" s="838" t="s">
        <v>77</v>
      </c>
      <c r="D40" s="839"/>
    </row>
    <row r="41" spans="2:18" ht="13.5" thickBot="1">
      <c r="B41" s="163">
        <v>0.05</v>
      </c>
      <c r="C41" s="832">
        <f>LN(2)/B41</f>
        <v>13.862943611198904</v>
      </c>
      <c r="D41" s="833"/>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250" t="s">
        <v>102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Parameters!O15</f>
        <v>0.38</v>
      </c>
      <c r="O6" s="257"/>
      <c r="P6" s="258"/>
      <c r="Q6" s="249"/>
      <c r="R6" s="128" t="s">
        <v>9</v>
      </c>
      <c r="S6" s="129"/>
      <c r="T6" s="129"/>
      <c r="U6" s="133"/>
      <c r="V6" s="140" t="s">
        <v>9</v>
      </c>
      <c r="W6" s="293">
        <f>Parameters!R15</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Parameters!O34</f>
        <v>0.4</v>
      </c>
      <c r="O8" s="67"/>
      <c r="P8" s="67"/>
      <c r="Q8" s="249"/>
      <c r="R8" s="128" t="s">
        <v>192</v>
      </c>
      <c r="S8" s="129"/>
      <c r="T8" s="129"/>
      <c r="U8" s="133"/>
      <c r="V8" s="140" t="s">
        <v>188</v>
      </c>
      <c r="W8" s="134">
        <f>Parameters!O34</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Amnt_Deposited!C14</f>
        <v>21.341436171303602</v>
      </c>
      <c r="D19" s="451">
        <f>Dry_Matter_Content!C6</f>
        <v>0.59</v>
      </c>
      <c r="E19" s="318">
        <f>MCF!R18</f>
        <v>0.8</v>
      </c>
      <c r="F19" s="150">
        <f>C19*D19*$K$6*DOCF*E19</f>
        <v>1.9138999958425071</v>
      </c>
      <c r="G19" s="85">
        <f t="shared" ref="G19:G50" si="0">F19*$K$12</f>
        <v>1.9138999958425071</v>
      </c>
      <c r="H19" s="85">
        <f t="shared" ref="H19:H50" si="1">F19*(1-$K$12)</f>
        <v>0</v>
      </c>
      <c r="I19" s="85">
        <f t="shared" ref="I19:I50" si="2">G19+I18*$K$10</f>
        <v>1.9138999958425071</v>
      </c>
      <c r="J19" s="85">
        <f t="shared" ref="J19:J50" si="3">I18*(1-$K$10)+H19</f>
        <v>0</v>
      </c>
      <c r="K19" s="86">
        <f>J19*CH4_fraction*conv</f>
        <v>0</v>
      </c>
      <c r="O19" s="115">
        <f>Amnt_Deposited!B14</f>
        <v>2000</v>
      </c>
      <c r="P19" s="118">
        <f>Amnt_Deposited!C14</f>
        <v>21.341436171303602</v>
      </c>
      <c r="Q19" s="318">
        <f>MCF!R18</f>
        <v>0.8</v>
      </c>
      <c r="R19" s="150">
        <f t="shared" ref="R19:R50" si="4">P19*$W$6*DOCF*Q19</f>
        <v>1.2804861702782162</v>
      </c>
      <c r="S19" s="85">
        <f>R19*$W$12</f>
        <v>1.2804861702782162</v>
      </c>
      <c r="T19" s="85">
        <f>R19*(1-$W$12)</f>
        <v>0</v>
      </c>
      <c r="U19" s="85">
        <f>S19+U18*$W$10</f>
        <v>1.2804861702782162</v>
      </c>
      <c r="V19" s="85">
        <f>U18*(1-$W$10)+T19</f>
        <v>0</v>
      </c>
      <c r="W19" s="86">
        <f>V19*CH4_fraction*conv</f>
        <v>0</v>
      </c>
    </row>
    <row r="20" spans="2:23">
      <c r="B20" s="116">
        <f>Amnt_Deposited!B15</f>
        <v>2001</v>
      </c>
      <c r="C20" s="119">
        <f>Amnt_Deposited!C15</f>
        <v>21.768738811459201</v>
      </c>
      <c r="D20" s="453">
        <f>Dry_Matter_Content!C7</f>
        <v>0.59</v>
      </c>
      <c r="E20" s="319">
        <f>MCF!R19</f>
        <v>0.8</v>
      </c>
      <c r="F20" s="87">
        <f t="shared" ref="F20:F50" si="5">C20*D20*$K$6*DOCF*E20</f>
        <v>1.9522204966116612</v>
      </c>
      <c r="G20" s="87">
        <f t="shared" si="0"/>
        <v>1.9522204966116612</v>
      </c>
      <c r="H20" s="87">
        <f t="shared" si="1"/>
        <v>0</v>
      </c>
      <c r="I20" s="87">
        <f t="shared" si="2"/>
        <v>3.2351460299324204</v>
      </c>
      <c r="J20" s="87">
        <f t="shared" si="3"/>
        <v>0.63097446252174783</v>
      </c>
      <c r="K20" s="120">
        <f>J20*CH4_fraction*conv</f>
        <v>0.4206496416811652</v>
      </c>
      <c r="M20" s="428"/>
      <c r="O20" s="116">
        <f>Amnt_Deposited!B15</f>
        <v>2001</v>
      </c>
      <c r="P20" s="119">
        <f>Amnt_Deposited!C15</f>
        <v>21.768738811459201</v>
      </c>
      <c r="Q20" s="319">
        <f>MCF!R19</f>
        <v>0.8</v>
      </c>
      <c r="R20" s="87">
        <f t="shared" si="4"/>
        <v>1.3061243286875521</v>
      </c>
      <c r="S20" s="87">
        <f>R20*$W$12</f>
        <v>1.3061243286875521</v>
      </c>
      <c r="T20" s="87">
        <f>R20*(1-$W$12)</f>
        <v>0</v>
      </c>
      <c r="U20" s="87">
        <f>S20+U19*$W$10</f>
        <v>2.1644598772964456</v>
      </c>
      <c r="V20" s="87">
        <f>U19*(1-$W$10)+T20</f>
        <v>0.42215062166932282</v>
      </c>
      <c r="W20" s="120">
        <f>V20*CH4_fraction*conv</f>
        <v>0.28143374777954855</v>
      </c>
    </row>
    <row r="21" spans="2:23">
      <c r="B21" s="116">
        <f>Amnt_Deposited!B16</f>
        <v>2002</v>
      </c>
      <c r="C21" s="119">
        <f>Amnt_Deposited!C16</f>
        <v>22.265246390270406</v>
      </c>
      <c r="D21" s="453">
        <f>Dry_Matter_Content!C8</f>
        <v>0.59</v>
      </c>
      <c r="E21" s="319">
        <f>MCF!R20</f>
        <v>0.8</v>
      </c>
      <c r="F21" s="87">
        <f t="shared" si="5"/>
        <v>1.9967472962794499</v>
      </c>
      <c r="G21" s="87">
        <f t="shared" si="0"/>
        <v>1.9967472962794499</v>
      </c>
      <c r="H21" s="87">
        <f t="shared" si="1"/>
        <v>0</v>
      </c>
      <c r="I21" s="87">
        <f t="shared" si="2"/>
        <v>4.1653305319957656</v>
      </c>
      <c r="J21" s="87">
        <f t="shared" si="3"/>
        <v>1.0665627942161044</v>
      </c>
      <c r="K21" s="120">
        <f t="shared" ref="K21:K84" si="6">J21*CH4_fraction*conv</f>
        <v>0.71104186281073622</v>
      </c>
      <c r="O21" s="116">
        <f>Amnt_Deposited!B16</f>
        <v>2002</v>
      </c>
      <c r="P21" s="119">
        <f>Amnt_Deposited!C16</f>
        <v>22.265246390270406</v>
      </c>
      <c r="Q21" s="319">
        <f>MCF!R20</f>
        <v>0.8</v>
      </c>
      <c r="R21" s="87">
        <f t="shared" si="4"/>
        <v>1.3359147834162244</v>
      </c>
      <c r="S21" s="87">
        <f t="shared" ref="S21:S84" si="7">R21*$W$12</f>
        <v>1.3359147834162244</v>
      </c>
      <c r="T21" s="87">
        <f t="shared" ref="T21:T84" si="8">R21*(1-$W$12)</f>
        <v>0</v>
      </c>
      <c r="U21" s="87">
        <f t="shared" ref="U21:U84" si="9">S21+U20*$W$10</f>
        <v>2.7867956280078721</v>
      </c>
      <c r="V21" s="87">
        <f t="shared" ref="V21:V84" si="10">U20*(1-$W$10)+T21</f>
        <v>0.71357903270479794</v>
      </c>
      <c r="W21" s="120">
        <f t="shared" ref="W21:W84" si="11">V21*CH4_fraction*conv</f>
        <v>0.47571935513653196</v>
      </c>
    </row>
    <row r="22" spans="2:23">
      <c r="B22" s="116">
        <f>Amnt_Deposited!B17</f>
        <v>2003</v>
      </c>
      <c r="C22" s="119">
        <f>Amnt_Deposited!C17</f>
        <v>22.978454235303598</v>
      </c>
      <c r="D22" s="453">
        <f>Dry_Matter_Content!C9</f>
        <v>0.59</v>
      </c>
      <c r="E22" s="319">
        <f>MCF!R21</f>
        <v>0.8</v>
      </c>
      <c r="F22" s="87">
        <f t="shared" si="5"/>
        <v>2.0607077758220265</v>
      </c>
      <c r="G22" s="87">
        <f t="shared" si="0"/>
        <v>2.0607077758220265</v>
      </c>
      <c r="H22" s="87">
        <f t="shared" si="1"/>
        <v>0</v>
      </c>
      <c r="I22" s="87">
        <f t="shared" si="2"/>
        <v>4.8528123297830827</v>
      </c>
      <c r="J22" s="87">
        <f t="shared" si="3"/>
        <v>1.37322597803471</v>
      </c>
      <c r="K22" s="120">
        <f t="shared" si="6"/>
        <v>0.91548398535647335</v>
      </c>
      <c r="N22" s="290"/>
      <c r="O22" s="116">
        <f>Amnt_Deposited!B17</f>
        <v>2003</v>
      </c>
      <c r="P22" s="119">
        <f>Amnt_Deposited!C17</f>
        <v>22.978454235303598</v>
      </c>
      <c r="Q22" s="319">
        <f>MCF!R21</f>
        <v>0.8</v>
      </c>
      <c r="R22" s="87">
        <f t="shared" si="4"/>
        <v>1.3787072541182159</v>
      </c>
      <c r="S22" s="87">
        <f t="shared" si="7"/>
        <v>1.3787072541182159</v>
      </c>
      <c r="T22" s="87">
        <f t="shared" si="8"/>
        <v>0</v>
      </c>
      <c r="U22" s="87">
        <f t="shared" si="9"/>
        <v>3.246752227776371</v>
      </c>
      <c r="V22" s="87">
        <f t="shared" si="10"/>
        <v>0.91875065434971681</v>
      </c>
      <c r="W22" s="120">
        <f t="shared" si="11"/>
        <v>0.61250043623314454</v>
      </c>
    </row>
    <row r="23" spans="2:23">
      <c r="B23" s="116">
        <f>Amnt_Deposited!B18</f>
        <v>2004</v>
      </c>
      <c r="C23" s="119">
        <f>Amnt_Deposited!C18</f>
        <v>23.2455337324452</v>
      </c>
      <c r="D23" s="453">
        <f>Dry_Matter_Content!C10</f>
        <v>0.59</v>
      </c>
      <c r="E23" s="319">
        <f>MCF!R22</f>
        <v>0.8</v>
      </c>
      <c r="F23" s="87">
        <f t="shared" si="5"/>
        <v>2.0846594651256853</v>
      </c>
      <c r="G23" s="87">
        <f t="shared" si="0"/>
        <v>2.0846594651256853</v>
      </c>
      <c r="H23" s="87">
        <f t="shared" si="1"/>
        <v>0</v>
      </c>
      <c r="I23" s="87">
        <f t="shared" si="2"/>
        <v>5.3375968494281993</v>
      </c>
      <c r="J23" s="87">
        <f t="shared" si="3"/>
        <v>1.5998749454805685</v>
      </c>
      <c r="K23" s="120">
        <f t="shared" si="6"/>
        <v>1.0665832969870457</v>
      </c>
      <c r="N23" s="290"/>
      <c r="O23" s="116">
        <f>Amnt_Deposited!B18</f>
        <v>2004</v>
      </c>
      <c r="P23" s="119">
        <f>Amnt_Deposited!C18</f>
        <v>23.2455337324452</v>
      </c>
      <c r="Q23" s="319">
        <f>MCF!R22</f>
        <v>0.8</v>
      </c>
      <c r="R23" s="87">
        <f t="shared" si="4"/>
        <v>1.394732023946712</v>
      </c>
      <c r="S23" s="87">
        <f t="shared" si="7"/>
        <v>1.394732023946712</v>
      </c>
      <c r="T23" s="87">
        <f t="shared" si="8"/>
        <v>0</v>
      </c>
      <c r="U23" s="87">
        <f t="shared" si="9"/>
        <v>3.5710951267360835</v>
      </c>
      <c r="V23" s="87">
        <f t="shared" si="10"/>
        <v>1.0703891249869995</v>
      </c>
      <c r="W23" s="120">
        <f t="shared" si="11"/>
        <v>0.71359274999133293</v>
      </c>
    </row>
    <row r="24" spans="2:23">
      <c r="B24" s="116">
        <f>Amnt_Deposited!B19</f>
        <v>2005</v>
      </c>
      <c r="C24" s="119">
        <f>Amnt_Deposited!C19</f>
        <v>23.8917056877576</v>
      </c>
      <c r="D24" s="453">
        <f>Dry_Matter_Content!C11</f>
        <v>0.59</v>
      </c>
      <c r="E24" s="319">
        <f>MCF!R23</f>
        <v>0.8</v>
      </c>
      <c r="F24" s="87">
        <f t="shared" si="5"/>
        <v>2.1426081660781016</v>
      </c>
      <c r="G24" s="87">
        <f t="shared" si="0"/>
        <v>2.1426081660781016</v>
      </c>
      <c r="H24" s="87">
        <f t="shared" si="1"/>
        <v>0</v>
      </c>
      <c r="I24" s="87">
        <f t="shared" si="2"/>
        <v>5.7205063319064955</v>
      </c>
      <c r="J24" s="87">
        <f t="shared" si="3"/>
        <v>1.7596986835998054</v>
      </c>
      <c r="K24" s="120">
        <f t="shared" si="6"/>
        <v>1.1731324557332035</v>
      </c>
      <c r="N24" s="290"/>
      <c r="O24" s="116">
        <f>Amnt_Deposited!B19</f>
        <v>2005</v>
      </c>
      <c r="P24" s="119">
        <f>Amnt_Deposited!C19</f>
        <v>23.8917056877576</v>
      </c>
      <c r="Q24" s="319">
        <f>MCF!R23</f>
        <v>0.8</v>
      </c>
      <c r="R24" s="87">
        <f t="shared" si="4"/>
        <v>1.4335023412654559</v>
      </c>
      <c r="S24" s="87">
        <f t="shared" si="7"/>
        <v>1.4335023412654559</v>
      </c>
      <c r="T24" s="87">
        <f t="shared" si="8"/>
        <v>0</v>
      </c>
      <c r="U24" s="87">
        <f t="shared" si="9"/>
        <v>3.8272789910168346</v>
      </c>
      <c r="V24" s="87">
        <f t="shared" si="10"/>
        <v>1.1773184769847047</v>
      </c>
      <c r="W24" s="120">
        <f t="shared" si="11"/>
        <v>0.78487898465646977</v>
      </c>
    </row>
    <row r="25" spans="2:23">
      <c r="B25" s="116">
        <f>Amnt_Deposited!B20</f>
        <v>2006</v>
      </c>
      <c r="C25" s="119">
        <f>Amnt_Deposited!C20</f>
        <v>24.167256753380403</v>
      </c>
      <c r="D25" s="453">
        <f>Dry_Matter_Content!C12</f>
        <v>0.59</v>
      </c>
      <c r="E25" s="319">
        <f>MCF!R24</f>
        <v>0.8</v>
      </c>
      <c r="F25" s="87">
        <f t="shared" si="5"/>
        <v>2.1673195856431544</v>
      </c>
      <c r="G25" s="87">
        <f t="shared" si="0"/>
        <v>2.1673195856431544</v>
      </c>
      <c r="H25" s="87">
        <f t="shared" si="1"/>
        <v>0</v>
      </c>
      <c r="I25" s="87">
        <f t="shared" si="2"/>
        <v>6.0018896533938833</v>
      </c>
      <c r="J25" s="87">
        <f t="shared" si="3"/>
        <v>1.8859362641557671</v>
      </c>
      <c r="K25" s="120">
        <f t="shared" si="6"/>
        <v>1.2572908427705114</v>
      </c>
      <c r="N25" s="290"/>
      <c r="O25" s="116">
        <f>Amnt_Deposited!B20</f>
        <v>2006</v>
      </c>
      <c r="P25" s="119">
        <f>Amnt_Deposited!C20</f>
        <v>24.167256753380403</v>
      </c>
      <c r="Q25" s="319">
        <f>MCF!R24</f>
        <v>0.8</v>
      </c>
      <c r="R25" s="87">
        <f t="shared" si="4"/>
        <v>1.4500354052028241</v>
      </c>
      <c r="S25" s="87">
        <f t="shared" si="7"/>
        <v>1.4500354052028241</v>
      </c>
      <c r="T25" s="87">
        <f t="shared" si="8"/>
        <v>0</v>
      </c>
      <c r="U25" s="87">
        <f t="shared" si="9"/>
        <v>4.0155372346524638</v>
      </c>
      <c r="V25" s="87">
        <f t="shared" si="10"/>
        <v>1.2617771615671949</v>
      </c>
      <c r="W25" s="120">
        <f t="shared" si="11"/>
        <v>0.84118477437812988</v>
      </c>
    </row>
    <row r="26" spans="2:23">
      <c r="B26" s="116">
        <f>Amnt_Deposited!B21</f>
        <v>2007</v>
      </c>
      <c r="C26" s="119">
        <f>Amnt_Deposited!C21</f>
        <v>24.435564014070007</v>
      </c>
      <c r="D26" s="453">
        <f>Dry_Matter_Content!C13</f>
        <v>0.59</v>
      </c>
      <c r="E26" s="319">
        <f>MCF!R25</f>
        <v>0.8</v>
      </c>
      <c r="F26" s="87">
        <f t="shared" si="5"/>
        <v>2.1913813807817983</v>
      </c>
      <c r="G26" s="87">
        <f t="shared" si="0"/>
        <v>2.1913813807817983</v>
      </c>
      <c r="H26" s="87">
        <f t="shared" si="1"/>
        <v>0</v>
      </c>
      <c r="I26" s="87">
        <f t="shared" si="2"/>
        <v>6.2145683295456138</v>
      </c>
      <c r="J26" s="87">
        <f t="shared" si="3"/>
        <v>1.978702704630068</v>
      </c>
      <c r="K26" s="120">
        <f t="shared" si="6"/>
        <v>1.3191351364200452</v>
      </c>
      <c r="N26" s="290"/>
      <c r="O26" s="116">
        <f>Amnt_Deposited!B21</f>
        <v>2007</v>
      </c>
      <c r="P26" s="119">
        <f>Amnt_Deposited!C21</f>
        <v>24.435564014070007</v>
      </c>
      <c r="Q26" s="319">
        <f>MCF!R25</f>
        <v>0.8</v>
      </c>
      <c r="R26" s="87">
        <f t="shared" si="4"/>
        <v>1.4661338408442004</v>
      </c>
      <c r="S26" s="87">
        <f t="shared" si="7"/>
        <v>1.4661338408442004</v>
      </c>
      <c r="T26" s="87">
        <f t="shared" si="8"/>
        <v>0</v>
      </c>
      <c r="U26" s="87">
        <f t="shared" si="9"/>
        <v>4.1578289448342636</v>
      </c>
      <c r="V26" s="87">
        <f t="shared" si="10"/>
        <v>1.3238421306624004</v>
      </c>
      <c r="W26" s="120">
        <f t="shared" si="11"/>
        <v>0.88256142044160024</v>
      </c>
    </row>
    <row r="27" spans="2:23">
      <c r="B27" s="116">
        <f>Amnt_Deposited!B22</f>
        <v>2008</v>
      </c>
      <c r="C27" s="119">
        <f>Amnt_Deposited!C22</f>
        <v>24.693967315472399</v>
      </c>
      <c r="D27" s="453">
        <f>Dry_Matter_Content!C14</f>
        <v>0.59</v>
      </c>
      <c r="E27" s="319">
        <f>MCF!R26</f>
        <v>0.8</v>
      </c>
      <c r="F27" s="87">
        <f t="shared" si="5"/>
        <v>2.2145549888515648</v>
      </c>
      <c r="G27" s="87">
        <f t="shared" si="0"/>
        <v>2.2145549888515648</v>
      </c>
      <c r="H27" s="87">
        <f t="shared" si="1"/>
        <v>0</v>
      </c>
      <c r="I27" s="87">
        <f t="shared" si="2"/>
        <v>6.3803047176042069</v>
      </c>
      <c r="J27" s="87">
        <f t="shared" si="3"/>
        <v>2.0488186007929716</v>
      </c>
      <c r="K27" s="120">
        <f t="shared" si="6"/>
        <v>1.3658790671953143</v>
      </c>
      <c r="N27" s="290"/>
      <c r="O27" s="116">
        <f>Amnt_Deposited!B22</f>
        <v>2008</v>
      </c>
      <c r="P27" s="119">
        <f>Amnt_Deposited!C22</f>
        <v>24.693967315472399</v>
      </c>
      <c r="Q27" s="319">
        <f>MCF!R26</f>
        <v>0.8</v>
      </c>
      <c r="R27" s="87">
        <f t="shared" si="4"/>
        <v>1.4816380389283439</v>
      </c>
      <c r="S27" s="87">
        <f t="shared" si="7"/>
        <v>1.4816380389283439</v>
      </c>
      <c r="T27" s="87">
        <f t="shared" si="8"/>
        <v>0</v>
      </c>
      <c r="U27" s="87">
        <f t="shared" si="9"/>
        <v>4.2687141286379617</v>
      </c>
      <c r="V27" s="87">
        <f t="shared" si="10"/>
        <v>1.3707528551246464</v>
      </c>
      <c r="W27" s="120">
        <f t="shared" si="11"/>
        <v>0.91383523674976419</v>
      </c>
    </row>
    <row r="28" spans="2:23">
      <c r="B28" s="116">
        <f>Amnt_Deposited!B23</f>
        <v>2009</v>
      </c>
      <c r="C28" s="119">
        <f>Amnt_Deposited!C23</f>
        <v>24.939151696008</v>
      </c>
      <c r="D28" s="453">
        <f>Dry_Matter_Content!C15</f>
        <v>0.59</v>
      </c>
      <c r="E28" s="319">
        <f>MCF!R27</f>
        <v>0.8</v>
      </c>
      <c r="F28" s="87">
        <f t="shared" si="5"/>
        <v>2.2365431240979974</v>
      </c>
      <c r="G28" s="87">
        <f t="shared" si="0"/>
        <v>2.2365431240979974</v>
      </c>
      <c r="H28" s="87">
        <f t="shared" si="1"/>
        <v>0</v>
      </c>
      <c r="I28" s="87">
        <f t="shared" si="2"/>
        <v>6.5133892761238563</v>
      </c>
      <c r="J28" s="87">
        <f t="shared" si="3"/>
        <v>2.103458565578348</v>
      </c>
      <c r="K28" s="120">
        <f t="shared" si="6"/>
        <v>1.4023057103855652</v>
      </c>
      <c r="N28" s="290"/>
      <c r="O28" s="116">
        <f>Amnt_Deposited!B23</f>
        <v>2009</v>
      </c>
      <c r="P28" s="119">
        <f>Amnt_Deposited!C23</f>
        <v>24.939151696008</v>
      </c>
      <c r="Q28" s="319">
        <f>MCF!R27</f>
        <v>0.8</v>
      </c>
      <c r="R28" s="87">
        <f t="shared" si="4"/>
        <v>1.49634910176048</v>
      </c>
      <c r="S28" s="87">
        <f t="shared" si="7"/>
        <v>1.49634910176048</v>
      </c>
      <c r="T28" s="87">
        <f t="shared" si="8"/>
        <v>0</v>
      </c>
      <c r="U28" s="87">
        <f t="shared" si="9"/>
        <v>4.3577537529820631</v>
      </c>
      <c r="V28" s="87">
        <f t="shared" si="10"/>
        <v>1.4073094774163792</v>
      </c>
      <c r="W28" s="120">
        <f t="shared" si="11"/>
        <v>0.93820631827758616</v>
      </c>
    </row>
    <row r="29" spans="2:23">
      <c r="B29" s="116">
        <f>Amnt_Deposited!B24</f>
        <v>2010</v>
      </c>
      <c r="C29" s="119">
        <f>Amnt_Deposited!C24</f>
        <v>29.773266039000006</v>
      </c>
      <c r="D29" s="453">
        <f>Dry_Matter_Content!C16</f>
        <v>0.59</v>
      </c>
      <c r="E29" s="319">
        <f>MCF!R28</f>
        <v>0.8</v>
      </c>
      <c r="F29" s="87">
        <f t="shared" si="5"/>
        <v>2.6700664983775209</v>
      </c>
      <c r="G29" s="87">
        <f t="shared" si="0"/>
        <v>2.6700664983775209</v>
      </c>
      <c r="H29" s="87">
        <f t="shared" si="1"/>
        <v>0</v>
      </c>
      <c r="I29" s="87">
        <f t="shared" si="2"/>
        <v>7.036121897796904</v>
      </c>
      <c r="J29" s="87">
        <f t="shared" si="3"/>
        <v>2.1473338767044736</v>
      </c>
      <c r="K29" s="120">
        <f t="shared" si="6"/>
        <v>1.4315559178029824</v>
      </c>
      <c r="O29" s="116">
        <f>Amnt_Deposited!B24</f>
        <v>2010</v>
      </c>
      <c r="P29" s="119">
        <f>Amnt_Deposited!C24</f>
        <v>29.773266039000006</v>
      </c>
      <c r="Q29" s="319">
        <f>MCF!R28</f>
        <v>0.8</v>
      </c>
      <c r="R29" s="87">
        <f t="shared" si="4"/>
        <v>1.7863959623400003</v>
      </c>
      <c r="S29" s="87">
        <f t="shared" si="7"/>
        <v>1.7863959623400003</v>
      </c>
      <c r="T29" s="87">
        <f t="shared" si="8"/>
        <v>0</v>
      </c>
      <c r="U29" s="87">
        <f t="shared" si="9"/>
        <v>4.7074856586509171</v>
      </c>
      <c r="V29" s="87">
        <f t="shared" si="10"/>
        <v>1.4366640566711466</v>
      </c>
      <c r="W29" s="120">
        <f t="shared" si="11"/>
        <v>0.95777603778076437</v>
      </c>
    </row>
    <row r="30" spans="2:23">
      <c r="B30" s="116">
        <f>Amnt_Deposited!B25</f>
        <v>2011</v>
      </c>
      <c r="C30" s="119">
        <f>Amnt_Deposited!C25</f>
        <v>0</v>
      </c>
      <c r="D30" s="453">
        <f>Dry_Matter_Content!C17</f>
        <v>0.59</v>
      </c>
      <c r="E30" s="319">
        <f>MCF!R29</f>
        <v>0.8</v>
      </c>
      <c r="F30" s="87">
        <f t="shared" si="5"/>
        <v>0</v>
      </c>
      <c r="G30" s="87">
        <f t="shared" si="0"/>
        <v>0</v>
      </c>
      <c r="H30" s="87">
        <f t="shared" si="1"/>
        <v>0</v>
      </c>
      <c r="I30" s="87">
        <f t="shared" si="2"/>
        <v>4.716453554443591</v>
      </c>
      <c r="J30" s="87">
        <f t="shared" si="3"/>
        <v>2.3196683433533134</v>
      </c>
      <c r="K30" s="120">
        <f t="shared" si="6"/>
        <v>1.5464455622355422</v>
      </c>
      <c r="O30" s="116">
        <f>Amnt_Deposited!B25</f>
        <v>2011</v>
      </c>
      <c r="P30" s="119">
        <f>Amnt_Deposited!C25</f>
        <v>0</v>
      </c>
      <c r="Q30" s="319">
        <f>MCF!R29</f>
        <v>0.8</v>
      </c>
      <c r="R30" s="87">
        <f t="shared" si="4"/>
        <v>0</v>
      </c>
      <c r="S30" s="87">
        <f t="shared" si="7"/>
        <v>0</v>
      </c>
      <c r="T30" s="87">
        <f t="shared" si="8"/>
        <v>0</v>
      </c>
      <c r="U30" s="87">
        <f t="shared" si="9"/>
        <v>3.1555220034189948</v>
      </c>
      <c r="V30" s="87">
        <f t="shared" si="10"/>
        <v>1.5519636552319225</v>
      </c>
      <c r="W30" s="120">
        <f t="shared" si="11"/>
        <v>1.0346424368212817</v>
      </c>
    </row>
    <row r="31" spans="2:23">
      <c r="B31" s="116">
        <f>Amnt_Deposited!B26</f>
        <v>2012</v>
      </c>
      <c r="C31" s="119">
        <f>Amnt_Deposited!C26</f>
        <v>0</v>
      </c>
      <c r="D31" s="453">
        <f>Dry_Matter_Content!C18</f>
        <v>0.59</v>
      </c>
      <c r="E31" s="319">
        <f>MCF!R30</f>
        <v>0.8</v>
      </c>
      <c r="F31" s="87">
        <f t="shared" si="5"/>
        <v>0</v>
      </c>
      <c r="G31" s="87">
        <f t="shared" si="0"/>
        <v>0</v>
      </c>
      <c r="H31" s="87">
        <f t="shared" si="1"/>
        <v>0</v>
      </c>
      <c r="I31" s="87">
        <f t="shared" si="2"/>
        <v>3.1615333637395828</v>
      </c>
      <c r="J31" s="87">
        <f t="shared" si="3"/>
        <v>1.5549201907040084</v>
      </c>
      <c r="K31" s="120">
        <f t="shared" si="6"/>
        <v>1.0366134604693389</v>
      </c>
      <c r="O31" s="116">
        <f>Amnt_Deposited!B26</f>
        <v>2012</v>
      </c>
      <c r="P31" s="119">
        <f>Amnt_Deposited!C26</f>
        <v>0</v>
      </c>
      <c r="Q31" s="319">
        <f>MCF!R30</f>
        <v>0.8</v>
      </c>
      <c r="R31" s="87">
        <f t="shared" si="4"/>
        <v>0</v>
      </c>
      <c r="S31" s="87">
        <f t="shared" si="7"/>
        <v>0</v>
      </c>
      <c r="T31" s="87">
        <f t="shared" si="8"/>
        <v>0</v>
      </c>
      <c r="U31" s="87">
        <f t="shared" si="9"/>
        <v>2.1152096545982935</v>
      </c>
      <c r="V31" s="87">
        <f t="shared" si="10"/>
        <v>1.0403123488207013</v>
      </c>
      <c r="W31" s="120">
        <f t="shared" si="11"/>
        <v>0.69354156588046756</v>
      </c>
    </row>
    <row r="32" spans="2:23">
      <c r="B32" s="116">
        <f>Amnt_Deposited!B27</f>
        <v>2013</v>
      </c>
      <c r="C32" s="119">
        <f>Amnt_Deposited!C27</f>
        <v>0</v>
      </c>
      <c r="D32" s="453">
        <f>Dry_Matter_Content!C19</f>
        <v>0.59</v>
      </c>
      <c r="E32" s="319">
        <f>MCF!R31</f>
        <v>0.8</v>
      </c>
      <c r="F32" s="87">
        <f t="shared" si="5"/>
        <v>0</v>
      </c>
      <c r="G32" s="87">
        <f t="shared" si="0"/>
        <v>0</v>
      </c>
      <c r="H32" s="87">
        <f t="shared" si="1"/>
        <v>0</v>
      </c>
      <c r="I32" s="87">
        <f t="shared" si="2"/>
        <v>2.1192391899251266</v>
      </c>
      <c r="J32" s="87">
        <f t="shared" si="3"/>
        <v>1.042294173814456</v>
      </c>
      <c r="K32" s="120">
        <f t="shared" si="6"/>
        <v>0.69486278254297063</v>
      </c>
      <c r="O32" s="116">
        <f>Amnt_Deposited!B27</f>
        <v>2013</v>
      </c>
      <c r="P32" s="119">
        <f>Amnt_Deposited!C27</f>
        <v>0</v>
      </c>
      <c r="Q32" s="319">
        <f>MCF!R31</f>
        <v>0.8</v>
      </c>
      <c r="R32" s="87">
        <f t="shared" si="4"/>
        <v>0</v>
      </c>
      <c r="S32" s="87">
        <f t="shared" si="7"/>
        <v>0</v>
      </c>
      <c r="T32" s="87">
        <f t="shared" si="8"/>
        <v>0</v>
      </c>
      <c r="U32" s="87">
        <f t="shared" si="9"/>
        <v>1.4178674330453569</v>
      </c>
      <c r="V32" s="87">
        <f t="shared" si="10"/>
        <v>0.69734222155293668</v>
      </c>
      <c r="W32" s="120">
        <f t="shared" si="11"/>
        <v>0.46489481436862445</v>
      </c>
    </row>
    <row r="33" spans="2:23">
      <c r="B33" s="116">
        <f>Amnt_Deposited!B28</f>
        <v>2014</v>
      </c>
      <c r="C33" s="119">
        <f>Amnt_Deposited!C28</f>
        <v>0</v>
      </c>
      <c r="D33" s="453">
        <f>Dry_Matter_Content!C20</f>
        <v>0.59</v>
      </c>
      <c r="E33" s="319">
        <f>MCF!R32</f>
        <v>0.8</v>
      </c>
      <c r="F33" s="87">
        <f t="shared" si="5"/>
        <v>0</v>
      </c>
      <c r="G33" s="87">
        <f t="shared" si="0"/>
        <v>0</v>
      </c>
      <c r="H33" s="87">
        <f t="shared" si="1"/>
        <v>0</v>
      </c>
      <c r="I33" s="87">
        <f t="shared" si="2"/>
        <v>1.4205685113511419</v>
      </c>
      <c r="J33" s="87">
        <f t="shared" si="3"/>
        <v>0.69867067857398479</v>
      </c>
      <c r="K33" s="120">
        <f t="shared" si="6"/>
        <v>0.46578045238265653</v>
      </c>
      <c r="O33" s="116">
        <f>Amnt_Deposited!B28</f>
        <v>2014</v>
      </c>
      <c r="P33" s="119">
        <f>Amnt_Deposited!C28</f>
        <v>0</v>
      </c>
      <c r="Q33" s="319">
        <f>MCF!R32</f>
        <v>0.8</v>
      </c>
      <c r="R33" s="87">
        <f t="shared" si="4"/>
        <v>0</v>
      </c>
      <c r="S33" s="87">
        <f t="shared" si="7"/>
        <v>0</v>
      </c>
      <c r="T33" s="87">
        <f t="shared" si="8"/>
        <v>0</v>
      </c>
      <c r="U33" s="87">
        <f t="shared" si="9"/>
        <v>0.95042496299139745</v>
      </c>
      <c r="V33" s="87">
        <f t="shared" si="10"/>
        <v>0.4674424700539595</v>
      </c>
      <c r="W33" s="120">
        <f t="shared" si="11"/>
        <v>0.3116283133693063</v>
      </c>
    </row>
    <row r="34" spans="2:23">
      <c r="B34" s="116">
        <f>Amnt_Deposited!B29</f>
        <v>2015</v>
      </c>
      <c r="C34" s="119">
        <f>Amnt_Deposited!C29</f>
        <v>0</v>
      </c>
      <c r="D34" s="453">
        <f>Dry_Matter_Content!C21</f>
        <v>0.59</v>
      </c>
      <c r="E34" s="319">
        <f>MCF!R33</f>
        <v>0.8</v>
      </c>
      <c r="F34" s="87">
        <f t="shared" si="5"/>
        <v>0</v>
      </c>
      <c r="G34" s="87">
        <f t="shared" si="0"/>
        <v>0</v>
      </c>
      <c r="H34" s="87">
        <f t="shared" si="1"/>
        <v>0</v>
      </c>
      <c r="I34" s="87">
        <f t="shared" si="2"/>
        <v>0.95223554992567705</v>
      </c>
      <c r="J34" s="87">
        <f t="shared" si="3"/>
        <v>0.46833296142546482</v>
      </c>
      <c r="K34" s="120">
        <f t="shared" si="6"/>
        <v>0.31222197428364318</v>
      </c>
      <c r="O34" s="116">
        <f>Amnt_Deposited!B29</f>
        <v>2015</v>
      </c>
      <c r="P34" s="119">
        <f>Amnt_Deposited!C29</f>
        <v>0</v>
      </c>
      <c r="Q34" s="319">
        <f>MCF!R33</f>
        <v>0.8</v>
      </c>
      <c r="R34" s="87">
        <f t="shared" si="4"/>
        <v>0</v>
      </c>
      <c r="S34" s="87">
        <f t="shared" si="7"/>
        <v>0</v>
      </c>
      <c r="T34" s="87">
        <f t="shared" si="8"/>
        <v>0</v>
      </c>
      <c r="U34" s="87">
        <f t="shared" si="9"/>
        <v>0.63708890494581438</v>
      </c>
      <c r="V34" s="87">
        <f t="shared" si="10"/>
        <v>0.31333605804558312</v>
      </c>
      <c r="W34" s="120">
        <f t="shared" si="11"/>
        <v>0.20889070536372206</v>
      </c>
    </row>
    <row r="35" spans="2:23">
      <c r="B35" s="116">
        <f>Amnt_Deposited!B30</f>
        <v>2016</v>
      </c>
      <c r="C35" s="119">
        <f>Amnt_Deposited!C30</f>
        <v>0</v>
      </c>
      <c r="D35" s="453">
        <f>Dry_Matter_Content!C22</f>
        <v>0.59</v>
      </c>
      <c r="E35" s="319">
        <f>MCF!R34</f>
        <v>0.8</v>
      </c>
      <c r="F35" s="87">
        <f t="shared" si="5"/>
        <v>0</v>
      </c>
      <c r="G35" s="87">
        <f t="shared" si="0"/>
        <v>0</v>
      </c>
      <c r="H35" s="87">
        <f t="shared" si="1"/>
        <v>0</v>
      </c>
      <c r="I35" s="87">
        <f t="shared" si="2"/>
        <v>0.63830257766295218</v>
      </c>
      <c r="J35" s="87">
        <f t="shared" si="3"/>
        <v>0.31393297226272487</v>
      </c>
      <c r="K35" s="120">
        <f t="shared" si="6"/>
        <v>0.20928864817514992</v>
      </c>
      <c r="O35" s="116">
        <f>Amnt_Deposited!B30</f>
        <v>2016</v>
      </c>
      <c r="P35" s="119">
        <f>Amnt_Deposited!C30</f>
        <v>0</v>
      </c>
      <c r="Q35" s="319">
        <f>MCF!R34</f>
        <v>0.8</v>
      </c>
      <c r="R35" s="87">
        <f t="shared" si="4"/>
        <v>0</v>
      </c>
      <c r="S35" s="87">
        <f t="shared" si="7"/>
        <v>0</v>
      </c>
      <c r="T35" s="87">
        <f t="shared" si="8"/>
        <v>0</v>
      </c>
      <c r="U35" s="87">
        <f t="shared" si="9"/>
        <v>0.42705346409207334</v>
      </c>
      <c r="V35" s="87">
        <f t="shared" si="10"/>
        <v>0.21003544085374104</v>
      </c>
      <c r="W35" s="120">
        <f t="shared" si="11"/>
        <v>0.14002362723582734</v>
      </c>
    </row>
    <row r="36" spans="2:23">
      <c r="B36" s="116">
        <f>Amnt_Deposited!B31</f>
        <v>2017</v>
      </c>
      <c r="C36" s="119">
        <f>Amnt_Deposited!C31</f>
        <v>0</v>
      </c>
      <c r="D36" s="453">
        <f>Dry_Matter_Content!C23</f>
        <v>0.59</v>
      </c>
      <c r="E36" s="319">
        <f>MCF!R35</f>
        <v>0.8</v>
      </c>
      <c r="F36" s="87">
        <f t="shared" si="5"/>
        <v>0</v>
      </c>
      <c r="G36" s="87">
        <f t="shared" si="0"/>
        <v>0</v>
      </c>
      <c r="H36" s="87">
        <f t="shared" si="1"/>
        <v>0</v>
      </c>
      <c r="I36" s="87">
        <f t="shared" si="2"/>
        <v>0.42786701324369736</v>
      </c>
      <c r="J36" s="87">
        <f t="shared" si="3"/>
        <v>0.21043556441925482</v>
      </c>
      <c r="K36" s="120">
        <f t="shared" si="6"/>
        <v>0.14029037627950319</v>
      </c>
      <c r="O36" s="116">
        <f>Amnt_Deposited!B31</f>
        <v>2017</v>
      </c>
      <c r="P36" s="119">
        <f>Amnt_Deposited!C31</f>
        <v>0</v>
      </c>
      <c r="Q36" s="319">
        <f>MCF!R35</f>
        <v>0.8</v>
      </c>
      <c r="R36" s="87">
        <f t="shared" si="4"/>
        <v>0</v>
      </c>
      <c r="S36" s="87">
        <f t="shared" si="7"/>
        <v>0</v>
      </c>
      <c r="T36" s="87">
        <f t="shared" si="8"/>
        <v>0</v>
      </c>
      <c r="U36" s="87">
        <f t="shared" si="9"/>
        <v>0.28626249770987783</v>
      </c>
      <c r="V36" s="87">
        <f t="shared" si="10"/>
        <v>0.14079096638219549</v>
      </c>
      <c r="W36" s="120">
        <f t="shared" si="11"/>
        <v>9.3860644254796982E-2</v>
      </c>
    </row>
    <row r="37" spans="2:23">
      <c r="B37" s="116">
        <f>Amnt_Deposited!B32</f>
        <v>2018</v>
      </c>
      <c r="C37" s="119">
        <f>Amnt_Deposited!C32</f>
        <v>0</v>
      </c>
      <c r="D37" s="453">
        <f>Dry_Matter_Content!C24</f>
        <v>0.59</v>
      </c>
      <c r="E37" s="319">
        <f>MCF!R36</f>
        <v>0.8</v>
      </c>
      <c r="F37" s="87">
        <f t="shared" si="5"/>
        <v>0</v>
      </c>
      <c r="G37" s="87">
        <f t="shared" si="0"/>
        <v>0</v>
      </c>
      <c r="H37" s="87">
        <f t="shared" si="1"/>
        <v>0</v>
      </c>
      <c r="I37" s="87">
        <f t="shared" si="2"/>
        <v>0.28680783601464671</v>
      </c>
      <c r="J37" s="87">
        <f t="shared" si="3"/>
        <v>0.14105917722905065</v>
      </c>
      <c r="K37" s="120">
        <f t="shared" si="6"/>
        <v>9.4039451486033765E-2</v>
      </c>
      <c r="O37" s="116">
        <f>Amnt_Deposited!B32</f>
        <v>2018</v>
      </c>
      <c r="P37" s="119">
        <f>Amnt_Deposited!C32</f>
        <v>0</v>
      </c>
      <c r="Q37" s="319">
        <f>MCF!R36</f>
        <v>0.8</v>
      </c>
      <c r="R37" s="87">
        <f t="shared" si="4"/>
        <v>0</v>
      </c>
      <c r="S37" s="87">
        <f t="shared" si="7"/>
        <v>0</v>
      </c>
      <c r="T37" s="87">
        <f t="shared" si="8"/>
        <v>0</v>
      </c>
      <c r="U37" s="87">
        <f t="shared" si="9"/>
        <v>0.19188749064316241</v>
      </c>
      <c r="V37" s="87">
        <f t="shared" si="10"/>
        <v>9.4375007066715422E-2</v>
      </c>
      <c r="W37" s="120">
        <f t="shared" si="11"/>
        <v>6.2916671377810277E-2</v>
      </c>
    </row>
    <row r="38" spans="2:23">
      <c r="B38" s="116">
        <f>Amnt_Deposited!B33</f>
        <v>2019</v>
      </c>
      <c r="C38" s="119">
        <f>Amnt_Deposited!C33</f>
        <v>0</v>
      </c>
      <c r="D38" s="453">
        <f>Dry_Matter_Content!C25</f>
        <v>0.59</v>
      </c>
      <c r="E38" s="319">
        <f>MCF!R37</f>
        <v>0.8</v>
      </c>
      <c r="F38" s="87">
        <f t="shared" si="5"/>
        <v>0</v>
      </c>
      <c r="G38" s="87">
        <f t="shared" si="0"/>
        <v>0</v>
      </c>
      <c r="H38" s="87">
        <f t="shared" si="1"/>
        <v>0</v>
      </c>
      <c r="I38" s="87">
        <f t="shared" si="2"/>
        <v>0.19225304184072009</v>
      </c>
      <c r="J38" s="87">
        <f t="shared" si="3"/>
        <v>9.4554794173926635E-2</v>
      </c>
      <c r="K38" s="120">
        <f t="shared" si="6"/>
        <v>6.3036529449284423E-2</v>
      </c>
      <c r="O38" s="116">
        <f>Amnt_Deposited!B33</f>
        <v>2019</v>
      </c>
      <c r="P38" s="119">
        <f>Amnt_Deposited!C33</f>
        <v>0</v>
      </c>
      <c r="Q38" s="319">
        <f>MCF!R37</f>
        <v>0.8</v>
      </c>
      <c r="R38" s="87">
        <f t="shared" si="4"/>
        <v>0</v>
      </c>
      <c r="S38" s="87">
        <f t="shared" si="7"/>
        <v>0</v>
      </c>
      <c r="T38" s="87">
        <f t="shared" si="8"/>
        <v>0</v>
      </c>
      <c r="U38" s="87">
        <f t="shared" si="9"/>
        <v>0.12862603156158794</v>
      </c>
      <c r="V38" s="87">
        <f t="shared" si="10"/>
        <v>6.3261459081574475E-2</v>
      </c>
      <c r="W38" s="120">
        <f t="shared" si="11"/>
        <v>4.2174306054382979E-2</v>
      </c>
    </row>
    <row r="39" spans="2:23">
      <c r="B39" s="116">
        <f>Amnt_Deposited!B34</f>
        <v>2020</v>
      </c>
      <c r="C39" s="119">
        <f>Amnt_Deposited!C34</f>
        <v>0</v>
      </c>
      <c r="D39" s="453">
        <f>Dry_Matter_Content!C26</f>
        <v>0.59</v>
      </c>
      <c r="E39" s="319">
        <f>MCF!R38</f>
        <v>0.8</v>
      </c>
      <c r="F39" s="87">
        <f t="shared" si="5"/>
        <v>0</v>
      </c>
      <c r="G39" s="87">
        <f t="shared" si="0"/>
        <v>0</v>
      </c>
      <c r="H39" s="87">
        <f t="shared" si="1"/>
        <v>0</v>
      </c>
      <c r="I39" s="87">
        <f t="shared" si="2"/>
        <v>0.12887106785716318</v>
      </c>
      <c r="J39" s="87">
        <f t="shared" si="3"/>
        <v>6.3381973983556911E-2</v>
      </c>
      <c r="K39" s="120">
        <f t="shared" si="6"/>
        <v>4.2254649322371274E-2</v>
      </c>
      <c r="O39" s="116">
        <f>Amnt_Deposited!B34</f>
        <v>2020</v>
      </c>
      <c r="P39" s="119">
        <f>Amnt_Deposited!C34</f>
        <v>0</v>
      </c>
      <c r="Q39" s="319">
        <f>MCF!R38</f>
        <v>0.8</v>
      </c>
      <c r="R39" s="87">
        <f t="shared" si="4"/>
        <v>0</v>
      </c>
      <c r="S39" s="87">
        <f t="shared" si="7"/>
        <v>0</v>
      </c>
      <c r="T39" s="87">
        <f t="shared" si="8"/>
        <v>0</v>
      </c>
      <c r="U39" s="87">
        <f t="shared" si="9"/>
        <v>8.622060739774523E-2</v>
      </c>
      <c r="V39" s="87">
        <f t="shared" si="10"/>
        <v>4.2405424163842714E-2</v>
      </c>
      <c r="W39" s="120">
        <f t="shared" si="11"/>
        <v>2.8270282775895141E-2</v>
      </c>
    </row>
    <row r="40" spans="2:23">
      <c r="B40" s="116">
        <f>Amnt_Deposited!B35</f>
        <v>2021</v>
      </c>
      <c r="C40" s="119">
        <f>Amnt_Deposited!C35</f>
        <v>0</v>
      </c>
      <c r="D40" s="453">
        <f>Dry_Matter_Content!C27</f>
        <v>0.59</v>
      </c>
      <c r="E40" s="319">
        <f>MCF!R39</f>
        <v>0.8</v>
      </c>
      <c r="F40" s="87">
        <f t="shared" si="5"/>
        <v>0</v>
      </c>
      <c r="G40" s="87">
        <f t="shared" si="0"/>
        <v>0</v>
      </c>
      <c r="H40" s="87">
        <f t="shared" si="1"/>
        <v>0</v>
      </c>
      <c r="I40" s="87">
        <f t="shared" si="2"/>
        <v>8.638486013867562E-2</v>
      </c>
      <c r="J40" s="87">
        <f t="shared" si="3"/>
        <v>4.2486207718487559E-2</v>
      </c>
      <c r="K40" s="120">
        <f t="shared" si="6"/>
        <v>2.8324138478991706E-2</v>
      </c>
      <c r="O40" s="116">
        <f>Amnt_Deposited!B35</f>
        <v>2021</v>
      </c>
      <c r="P40" s="119">
        <f>Amnt_Deposited!C35</f>
        <v>0</v>
      </c>
      <c r="Q40" s="319">
        <f>MCF!R39</f>
        <v>0.8</v>
      </c>
      <c r="R40" s="87">
        <f t="shared" si="4"/>
        <v>0</v>
      </c>
      <c r="S40" s="87">
        <f t="shared" si="7"/>
        <v>0</v>
      </c>
      <c r="T40" s="87">
        <f t="shared" si="8"/>
        <v>0</v>
      </c>
      <c r="U40" s="87">
        <f t="shared" si="9"/>
        <v>5.7795401520077366E-2</v>
      </c>
      <c r="V40" s="87">
        <f t="shared" si="10"/>
        <v>2.8425205877667864E-2</v>
      </c>
      <c r="W40" s="120">
        <f t="shared" si="11"/>
        <v>1.8950137251778576E-2</v>
      </c>
    </row>
    <row r="41" spans="2:23">
      <c r="B41" s="116">
        <f>Amnt_Deposited!B36</f>
        <v>2022</v>
      </c>
      <c r="C41" s="119">
        <f>Amnt_Deposited!C36</f>
        <v>0</v>
      </c>
      <c r="D41" s="453">
        <f>Dry_Matter_Content!C28</f>
        <v>0.59</v>
      </c>
      <c r="E41" s="319">
        <f>MCF!R40</f>
        <v>0.8</v>
      </c>
      <c r="F41" s="87">
        <f t="shared" si="5"/>
        <v>0</v>
      </c>
      <c r="G41" s="87">
        <f t="shared" si="0"/>
        <v>0</v>
      </c>
      <c r="H41" s="87">
        <f t="shared" si="1"/>
        <v>0</v>
      </c>
      <c r="I41" s="87">
        <f t="shared" si="2"/>
        <v>5.790550342493931E-2</v>
      </c>
      <c r="J41" s="87">
        <f t="shared" si="3"/>
        <v>2.8479356713736314E-2</v>
      </c>
      <c r="K41" s="120">
        <f t="shared" si="6"/>
        <v>1.8986237809157543E-2</v>
      </c>
      <c r="O41" s="116">
        <f>Amnt_Deposited!B36</f>
        <v>2022</v>
      </c>
      <c r="P41" s="119">
        <f>Amnt_Deposited!C36</f>
        <v>0</v>
      </c>
      <c r="Q41" s="319">
        <f>MCF!R40</f>
        <v>0.8</v>
      </c>
      <c r="R41" s="87">
        <f t="shared" si="4"/>
        <v>0</v>
      </c>
      <c r="S41" s="87">
        <f t="shared" si="7"/>
        <v>0</v>
      </c>
      <c r="T41" s="87">
        <f t="shared" si="8"/>
        <v>0</v>
      </c>
      <c r="U41" s="87">
        <f t="shared" si="9"/>
        <v>3.8741416207586518E-2</v>
      </c>
      <c r="V41" s="87">
        <f t="shared" si="10"/>
        <v>1.9053985312490848E-2</v>
      </c>
      <c r="W41" s="120">
        <f t="shared" si="11"/>
        <v>1.2702656874993898E-2</v>
      </c>
    </row>
    <row r="42" spans="2:23">
      <c r="B42" s="116">
        <f>Amnt_Deposited!B37</f>
        <v>2023</v>
      </c>
      <c r="C42" s="119">
        <f>Amnt_Deposited!C37</f>
        <v>0</v>
      </c>
      <c r="D42" s="453">
        <f>Dry_Matter_Content!C29</f>
        <v>0.59</v>
      </c>
      <c r="E42" s="319">
        <f>MCF!R41</f>
        <v>0.8</v>
      </c>
      <c r="F42" s="87">
        <f t="shared" si="5"/>
        <v>0</v>
      </c>
      <c r="G42" s="87">
        <f t="shared" si="0"/>
        <v>0</v>
      </c>
      <c r="H42" s="87">
        <f t="shared" si="1"/>
        <v>0</v>
      </c>
      <c r="I42" s="87">
        <f t="shared" si="2"/>
        <v>3.8815219721522187E-2</v>
      </c>
      <c r="J42" s="87">
        <f t="shared" si="3"/>
        <v>1.9090283703417119E-2</v>
      </c>
      <c r="K42" s="120">
        <f t="shared" si="6"/>
        <v>1.2726855802278079E-2</v>
      </c>
      <c r="O42" s="116">
        <f>Amnt_Deposited!B37</f>
        <v>2023</v>
      </c>
      <c r="P42" s="119">
        <f>Amnt_Deposited!C37</f>
        <v>0</v>
      </c>
      <c r="Q42" s="319">
        <f>MCF!R41</f>
        <v>0.8</v>
      </c>
      <c r="R42" s="87">
        <f t="shared" si="4"/>
        <v>0</v>
      </c>
      <c r="S42" s="87">
        <f t="shared" si="7"/>
        <v>0</v>
      </c>
      <c r="T42" s="87">
        <f t="shared" si="8"/>
        <v>0</v>
      </c>
      <c r="U42" s="87">
        <f t="shared" si="9"/>
        <v>2.596914789575526E-2</v>
      </c>
      <c r="V42" s="87">
        <f t="shared" si="10"/>
        <v>1.277226831183126E-2</v>
      </c>
      <c r="W42" s="120">
        <f t="shared" si="11"/>
        <v>8.514845541220839E-3</v>
      </c>
    </row>
    <row r="43" spans="2:23">
      <c r="B43" s="116">
        <f>Amnt_Deposited!B38</f>
        <v>2024</v>
      </c>
      <c r="C43" s="119">
        <f>Amnt_Deposited!C38</f>
        <v>0</v>
      </c>
      <c r="D43" s="453">
        <f>Dry_Matter_Content!C30</f>
        <v>0.59</v>
      </c>
      <c r="E43" s="319">
        <f>MCF!R42</f>
        <v>0.8</v>
      </c>
      <c r="F43" s="87">
        <f t="shared" si="5"/>
        <v>0</v>
      </c>
      <c r="G43" s="87">
        <f t="shared" si="0"/>
        <v>0</v>
      </c>
      <c r="H43" s="87">
        <f t="shared" si="1"/>
        <v>0</v>
      </c>
      <c r="I43" s="87">
        <f t="shared" si="2"/>
        <v>2.6018619870614209E-2</v>
      </c>
      <c r="J43" s="87">
        <f t="shared" si="3"/>
        <v>1.279659985090798E-2</v>
      </c>
      <c r="K43" s="120">
        <f t="shared" si="6"/>
        <v>8.5310665672719867E-3</v>
      </c>
      <c r="O43" s="116">
        <f>Amnt_Deposited!B38</f>
        <v>2024</v>
      </c>
      <c r="P43" s="119">
        <f>Amnt_Deposited!C38</f>
        <v>0</v>
      </c>
      <c r="Q43" s="319">
        <f>MCF!R42</f>
        <v>0.8</v>
      </c>
      <c r="R43" s="87">
        <f t="shared" si="4"/>
        <v>0</v>
      </c>
      <c r="S43" s="87">
        <f t="shared" si="7"/>
        <v>0</v>
      </c>
      <c r="T43" s="87">
        <f t="shared" si="8"/>
        <v>0</v>
      </c>
      <c r="U43" s="87">
        <f t="shared" si="9"/>
        <v>1.7407640412988992E-2</v>
      </c>
      <c r="V43" s="87">
        <f t="shared" si="10"/>
        <v>8.5615074827662674E-3</v>
      </c>
      <c r="W43" s="120">
        <f t="shared" si="11"/>
        <v>5.7076716551775113E-3</v>
      </c>
    </row>
    <row r="44" spans="2:23">
      <c r="B44" s="116">
        <f>Amnt_Deposited!B39</f>
        <v>2025</v>
      </c>
      <c r="C44" s="119">
        <f>Amnt_Deposited!C39</f>
        <v>0</v>
      </c>
      <c r="D44" s="453">
        <f>Dry_Matter_Content!C31</f>
        <v>0.59</v>
      </c>
      <c r="E44" s="319">
        <f>MCF!R43</f>
        <v>0.8</v>
      </c>
      <c r="F44" s="87">
        <f t="shared" si="5"/>
        <v>0</v>
      </c>
      <c r="G44" s="87">
        <f t="shared" si="0"/>
        <v>0</v>
      </c>
      <c r="H44" s="87">
        <f t="shared" si="1"/>
        <v>0</v>
      </c>
      <c r="I44" s="87">
        <f t="shared" si="2"/>
        <v>1.7440802469453915E-2</v>
      </c>
      <c r="J44" s="87">
        <f t="shared" si="3"/>
        <v>8.5778174011602922E-3</v>
      </c>
      <c r="K44" s="120">
        <f t="shared" si="6"/>
        <v>5.7185449341068612E-3</v>
      </c>
      <c r="O44" s="116">
        <f>Amnt_Deposited!B39</f>
        <v>2025</v>
      </c>
      <c r="P44" s="119">
        <f>Amnt_Deposited!C39</f>
        <v>0</v>
      </c>
      <c r="Q44" s="319">
        <f>MCF!R43</f>
        <v>0.8</v>
      </c>
      <c r="R44" s="87">
        <f t="shared" si="4"/>
        <v>0</v>
      </c>
      <c r="S44" s="87">
        <f t="shared" si="7"/>
        <v>0</v>
      </c>
      <c r="T44" s="87">
        <f t="shared" si="8"/>
        <v>0</v>
      </c>
      <c r="U44" s="87">
        <f t="shared" si="9"/>
        <v>1.1668690323006638E-2</v>
      </c>
      <c r="V44" s="87">
        <f t="shared" si="10"/>
        <v>5.7389500899823554E-3</v>
      </c>
      <c r="W44" s="120">
        <f t="shared" si="11"/>
        <v>3.8259667266549034E-3</v>
      </c>
    </row>
    <row r="45" spans="2:23">
      <c r="B45" s="116">
        <f>Amnt_Deposited!B40</f>
        <v>2026</v>
      </c>
      <c r="C45" s="119">
        <f>Amnt_Deposited!C40</f>
        <v>0</v>
      </c>
      <c r="D45" s="453">
        <f>Dry_Matter_Content!C32</f>
        <v>0.59</v>
      </c>
      <c r="E45" s="319">
        <f>MCF!R44</f>
        <v>0.8</v>
      </c>
      <c r="F45" s="87">
        <f t="shared" si="5"/>
        <v>0</v>
      </c>
      <c r="G45" s="87">
        <f t="shared" si="0"/>
        <v>0</v>
      </c>
      <c r="H45" s="87">
        <f t="shared" si="1"/>
        <v>0</v>
      </c>
      <c r="I45" s="87">
        <f t="shared" si="2"/>
        <v>1.1690919514222841E-2</v>
      </c>
      <c r="J45" s="87">
        <f t="shared" si="3"/>
        <v>5.7498829552310744E-3</v>
      </c>
      <c r="K45" s="120">
        <f t="shared" si="6"/>
        <v>3.8332553034873826E-3</v>
      </c>
      <c r="O45" s="116">
        <f>Amnt_Deposited!B40</f>
        <v>2026</v>
      </c>
      <c r="P45" s="119">
        <f>Amnt_Deposited!C40</f>
        <v>0</v>
      </c>
      <c r="Q45" s="319">
        <f>MCF!R44</f>
        <v>0.8</v>
      </c>
      <c r="R45" s="87">
        <f t="shared" si="4"/>
        <v>0</v>
      </c>
      <c r="S45" s="87">
        <f t="shared" si="7"/>
        <v>0</v>
      </c>
      <c r="T45" s="87">
        <f t="shared" si="8"/>
        <v>0</v>
      </c>
      <c r="U45" s="87">
        <f t="shared" si="9"/>
        <v>7.8217570344934293E-3</v>
      </c>
      <c r="V45" s="87">
        <f t="shared" si="10"/>
        <v>3.8469332885132093E-3</v>
      </c>
      <c r="W45" s="120">
        <f t="shared" si="11"/>
        <v>2.5646221923421395E-3</v>
      </c>
    </row>
    <row r="46" spans="2:23">
      <c r="B46" s="116">
        <f>Amnt_Deposited!B41</f>
        <v>2027</v>
      </c>
      <c r="C46" s="119">
        <f>Amnt_Deposited!C41</f>
        <v>0</v>
      </c>
      <c r="D46" s="453">
        <f>Dry_Matter_Content!C33</f>
        <v>0.59</v>
      </c>
      <c r="E46" s="319">
        <f>MCF!R45</f>
        <v>0.8</v>
      </c>
      <c r="F46" s="87">
        <f t="shared" si="5"/>
        <v>0</v>
      </c>
      <c r="G46" s="87">
        <f t="shared" si="0"/>
        <v>0</v>
      </c>
      <c r="H46" s="87">
        <f t="shared" si="1"/>
        <v>0</v>
      </c>
      <c r="I46" s="87">
        <f t="shared" si="2"/>
        <v>7.8366577069728088E-3</v>
      </c>
      <c r="J46" s="87">
        <f t="shared" si="3"/>
        <v>3.8542618072500319E-3</v>
      </c>
      <c r="K46" s="120">
        <f t="shared" si="6"/>
        <v>2.569507871500021E-3</v>
      </c>
      <c r="O46" s="116">
        <f>Amnt_Deposited!B41</f>
        <v>2027</v>
      </c>
      <c r="P46" s="119">
        <f>Amnt_Deposited!C41</f>
        <v>0</v>
      </c>
      <c r="Q46" s="319">
        <f>MCF!R45</f>
        <v>0.8</v>
      </c>
      <c r="R46" s="87">
        <f t="shared" si="4"/>
        <v>0</v>
      </c>
      <c r="S46" s="87">
        <f t="shared" si="7"/>
        <v>0</v>
      </c>
      <c r="T46" s="87">
        <f t="shared" si="8"/>
        <v>0</v>
      </c>
      <c r="U46" s="87">
        <f t="shared" si="9"/>
        <v>5.2430805354412215E-3</v>
      </c>
      <c r="V46" s="87">
        <f t="shared" si="10"/>
        <v>2.5786764990522082E-3</v>
      </c>
      <c r="W46" s="120">
        <f t="shared" si="11"/>
        <v>1.7191176660348055E-3</v>
      </c>
    </row>
    <row r="47" spans="2:23">
      <c r="B47" s="116">
        <f>Amnt_Deposited!B42</f>
        <v>2028</v>
      </c>
      <c r="C47" s="119">
        <f>Amnt_Deposited!C42</f>
        <v>0</v>
      </c>
      <c r="D47" s="453">
        <f>Dry_Matter_Content!C34</f>
        <v>0.59</v>
      </c>
      <c r="E47" s="319">
        <f>MCF!R46</f>
        <v>0.8</v>
      </c>
      <c r="F47" s="87">
        <f t="shared" si="5"/>
        <v>0</v>
      </c>
      <c r="G47" s="87">
        <f t="shared" si="0"/>
        <v>0</v>
      </c>
      <c r="H47" s="87">
        <f t="shared" si="1"/>
        <v>0</v>
      </c>
      <c r="I47" s="87">
        <f t="shared" si="2"/>
        <v>5.2530687549035612E-3</v>
      </c>
      <c r="J47" s="87">
        <f t="shared" si="3"/>
        <v>2.583588952069248E-3</v>
      </c>
      <c r="K47" s="120">
        <f t="shared" si="6"/>
        <v>1.7223926347128319E-3</v>
      </c>
      <c r="O47" s="116">
        <f>Amnt_Deposited!B42</f>
        <v>2028</v>
      </c>
      <c r="P47" s="119">
        <f>Amnt_Deposited!C42</f>
        <v>0</v>
      </c>
      <c r="Q47" s="319">
        <f>MCF!R46</f>
        <v>0.8</v>
      </c>
      <c r="R47" s="87">
        <f t="shared" si="4"/>
        <v>0</v>
      </c>
      <c r="S47" s="87">
        <f t="shared" si="7"/>
        <v>0</v>
      </c>
      <c r="T47" s="87">
        <f t="shared" si="8"/>
        <v>0</v>
      </c>
      <c r="U47" s="87">
        <f t="shared" si="9"/>
        <v>3.5145419858855242E-3</v>
      </c>
      <c r="V47" s="87">
        <f t="shared" si="10"/>
        <v>1.7285385495556973E-3</v>
      </c>
      <c r="W47" s="120">
        <f t="shared" si="11"/>
        <v>1.1523590330371316E-3</v>
      </c>
    </row>
    <row r="48" spans="2:23">
      <c r="B48" s="116">
        <f>Amnt_Deposited!B43</f>
        <v>2029</v>
      </c>
      <c r="C48" s="119">
        <f>Amnt_Deposited!C43</f>
        <v>0</v>
      </c>
      <c r="D48" s="453">
        <f>Dry_Matter_Content!C35</f>
        <v>0.59</v>
      </c>
      <c r="E48" s="319">
        <f>MCF!R47</f>
        <v>0.8</v>
      </c>
      <c r="F48" s="87">
        <f t="shared" si="5"/>
        <v>0</v>
      </c>
      <c r="G48" s="87">
        <f t="shared" si="0"/>
        <v>0</v>
      </c>
      <c r="H48" s="87">
        <f t="shared" si="1"/>
        <v>0</v>
      </c>
      <c r="I48" s="87">
        <f t="shared" si="2"/>
        <v>3.5212372896153339E-3</v>
      </c>
      <c r="J48" s="87">
        <f t="shared" si="3"/>
        <v>1.7318314652882275E-3</v>
      </c>
      <c r="K48" s="120">
        <f t="shared" si="6"/>
        <v>1.1545543101921516E-3</v>
      </c>
      <c r="O48" s="116">
        <f>Amnt_Deposited!B43</f>
        <v>2029</v>
      </c>
      <c r="P48" s="119">
        <f>Amnt_Deposited!C43</f>
        <v>0</v>
      </c>
      <c r="Q48" s="319">
        <f>MCF!R47</f>
        <v>0.8</v>
      </c>
      <c r="R48" s="87">
        <f t="shared" si="4"/>
        <v>0</v>
      </c>
      <c r="S48" s="87">
        <f t="shared" si="7"/>
        <v>0</v>
      </c>
      <c r="T48" s="87">
        <f t="shared" si="8"/>
        <v>0</v>
      </c>
      <c r="U48" s="87">
        <f t="shared" si="9"/>
        <v>2.3558679457729719E-3</v>
      </c>
      <c r="V48" s="87">
        <f t="shared" si="10"/>
        <v>1.1586740401125523E-3</v>
      </c>
      <c r="W48" s="120">
        <f t="shared" si="11"/>
        <v>7.7244936007503481E-4</v>
      </c>
    </row>
    <row r="49" spans="2:23">
      <c r="B49" s="116">
        <f>Amnt_Deposited!B44</f>
        <v>2030</v>
      </c>
      <c r="C49" s="119">
        <f>Amnt_Deposited!C44</f>
        <v>0</v>
      </c>
      <c r="D49" s="453">
        <f>Dry_Matter_Content!C36</f>
        <v>0.59</v>
      </c>
      <c r="E49" s="319">
        <f>MCF!R48</f>
        <v>0.8</v>
      </c>
      <c r="F49" s="87">
        <f t="shared" si="5"/>
        <v>0</v>
      </c>
      <c r="G49" s="87">
        <f t="shared" si="0"/>
        <v>0</v>
      </c>
      <c r="H49" s="87">
        <f t="shared" si="1"/>
        <v>0</v>
      </c>
      <c r="I49" s="87">
        <f t="shared" si="2"/>
        <v>2.3603559420773603E-3</v>
      </c>
      <c r="J49" s="87">
        <f t="shared" si="3"/>
        <v>1.1608813475379733E-3</v>
      </c>
      <c r="K49" s="120">
        <f t="shared" si="6"/>
        <v>7.7392089835864885E-4</v>
      </c>
      <c r="O49" s="116">
        <f>Amnt_Deposited!B44</f>
        <v>2030</v>
      </c>
      <c r="P49" s="119">
        <f>Amnt_Deposited!C44</f>
        <v>0</v>
      </c>
      <c r="Q49" s="319">
        <f>MCF!R48</f>
        <v>0.8</v>
      </c>
      <c r="R49" s="87">
        <f t="shared" si="4"/>
        <v>0</v>
      </c>
      <c r="S49" s="87">
        <f t="shared" si="7"/>
        <v>0</v>
      </c>
      <c r="T49" s="87">
        <f t="shared" si="8"/>
        <v>0</v>
      </c>
      <c r="U49" s="87">
        <f t="shared" si="9"/>
        <v>1.5791855098644255E-3</v>
      </c>
      <c r="V49" s="87">
        <f t="shared" si="10"/>
        <v>7.7668243590854635E-4</v>
      </c>
      <c r="W49" s="120">
        <f t="shared" si="11"/>
        <v>5.1778829060569753E-4</v>
      </c>
    </row>
    <row r="50" spans="2:23">
      <c r="B50" s="116">
        <f>Amnt_Deposited!B45</f>
        <v>2031</v>
      </c>
      <c r="C50" s="119">
        <f>Amnt_Deposited!C45</f>
        <v>0</v>
      </c>
      <c r="D50" s="453">
        <f>Dry_Matter_Content!C37</f>
        <v>0.59</v>
      </c>
      <c r="E50" s="319">
        <f>MCF!R49</f>
        <v>0.8</v>
      </c>
      <c r="F50" s="87">
        <f t="shared" si="5"/>
        <v>0</v>
      </c>
      <c r="G50" s="87">
        <f t="shared" si="0"/>
        <v>0</v>
      </c>
      <c r="H50" s="87">
        <f t="shared" si="1"/>
        <v>0</v>
      </c>
      <c r="I50" s="87">
        <f t="shared" si="2"/>
        <v>1.582193903753791E-3</v>
      </c>
      <c r="J50" s="87">
        <f t="shared" si="3"/>
        <v>7.7816203832356936E-4</v>
      </c>
      <c r="K50" s="120">
        <f t="shared" si="6"/>
        <v>5.1877469221571287E-4</v>
      </c>
      <c r="O50" s="116">
        <f>Amnt_Deposited!B45</f>
        <v>2031</v>
      </c>
      <c r="P50" s="119">
        <f>Amnt_Deposited!C45</f>
        <v>0</v>
      </c>
      <c r="Q50" s="319">
        <f>MCF!R49</f>
        <v>0.8</v>
      </c>
      <c r="R50" s="87">
        <f t="shared" si="4"/>
        <v>0</v>
      </c>
      <c r="S50" s="87">
        <f t="shared" si="7"/>
        <v>0</v>
      </c>
      <c r="T50" s="87">
        <f t="shared" si="8"/>
        <v>0</v>
      </c>
      <c r="U50" s="87">
        <f t="shared" si="9"/>
        <v>1.0585597036711363E-3</v>
      </c>
      <c r="V50" s="87">
        <f t="shared" si="10"/>
        <v>5.2062580619328925E-4</v>
      </c>
      <c r="W50" s="120">
        <f t="shared" si="11"/>
        <v>3.4708387079552616E-4</v>
      </c>
    </row>
    <row r="51" spans="2:23">
      <c r="B51" s="116">
        <f>Amnt_Deposited!B46</f>
        <v>2032</v>
      </c>
      <c r="C51" s="119">
        <f>Amnt_Deposited!C46</f>
        <v>0</v>
      </c>
      <c r="D51" s="453">
        <f>Dry_Matter_Content!C38</f>
        <v>0.59</v>
      </c>
      <c r="E51" s="319">
        <f>MCF!R50</f>
        <v>0.8</v>
      </c>
      <c r="F51" s="87">
        <f t="shared" ref="F51:F82" si="12">C51*D51*$K$6*DOCF*E51</f>
        <v>0</v>
      </c>
      <c r="G51" s="87">
        <f t="shared" ref="G51:G82" si="13">F51*$K$12</f>
        <v>0</v>
      </c>
      <c r="H51" s="87">
        <f t="shared" ref="H51:H82" si="14">F51*(1-$K$12)</f>
        <v>0</v>
      </c>
      <c r="I51" s="87">
        <f t="shared" ref="I51:I82" si="15">G51+I50*$K$10</f>
        <v>1.0605762904015491E-3</v>
      </c>
      <c r="J51" s="87">
        <f t="shared" ref="J51:J82" si="16">I50*(1-$K$10)+H51</f>
        <v>5.2161761335224187E-4</v>
      </c>
      <c r="K51" s="120">
        <f t="shared" si="6"/>
        <v>3.4774507556816121E-4</v>
      </c>
      <c r="O51" s="116">
        <f>Amnt_Deposited!B46</f>
        <v>2032</v>
      </c>
      <c r="P51" s="119">
        <f>Amnt_Deposited!C46</f>
        <v>0</v>
      </c>
      <c r="Q51" s="319">
        <f>MCF!R50</f>
        <v>0.8</v>
      </c>
      <c r="R51" s="87">
        <f t="shared" ref="R51:R82" si="17">P51*$W$6*DOCF*Q51</f>
        <v>0</v>
      </c>
      <c r="S51" s="87">
        <f t="shared" si="7"/>
        <v>0</v>
      </c>
      <c r="T51" s="87">
        <f t="shared" si="8"/>
        <v>0</v>
      </c>
      <c r="U51" s="87">
        <f t="shared" si="9"/>
        <v>7.0957378929630878E-4</v>
      </c>
      <c r="V51" s="87">
        <f t="shared" si="10"/>
        <v>3.4898591437482749E-4</v>
      </c>
      <c r="W51" s="120">
        <f t="shared" si="11"/>
        <v>2.3265727624988499E-4</v>
      </c>
    </row>
    <row r="52" spans="2:23">
      <c r="B52" s="116">
        <f>Amnt_Deposited!B47</f>
        <v>2033</v>
      </c>
      <c r="C52" s="119">
        <f>Amnt_Deposited!C47</f>
        <v>0</v>
      </c>
      <c r="D52" s="453">
        <f>Dry_Matter_Content!C39</f>
        <v>0.59</v>
      </c>
      <c r="E52" s="319">
        <f>MCF!R51</f>
        <v>0.8</v>
      </c>
      <c r="F52" s="87">
        <f t="shared" si="12"/>
        <v>0</v>
      </c>
      <c r="G52" s="87">
        <f t="shared" si="13"/>
        <v>0</v>
      </c>
      <c r="H52" s="87">
        <f t="shared" si="14"/>
        <v>0</v>
      </c>
      <c r="I52" s="87">
        <f t="shared" si="15"/>
        <v>7.1092554780627392E-4</v>
      </c>
      <c r="J52" s="87">
        <f t="shared" si="16"/>
        <v>3.4965074259527511E-4</v>
      </c>
      <c r="K52" s="120">
        <f t="shared" si="6"/>
        <v>2.3310049506351674E-4</v>
      </c>
      <c r="O52" s="116">
        <f>Amnt_Deposited!B47</f>
        <v>2033</v>
      </c>
      <c r="P52" s="119">
        <f>Amnt_Deposited!C47</f>
        <v>0</v>
      </c>
      <c r="Q52" s="319">
        <f>MCF!R51</f>
        <v>0.8</v>
      </c>
      <c r="R52" s="87">
        <f t="shared" si="17"/>
        <v>0</v>
      </c>
      <c r="S52" s="87">
        <f t="shared" si="7"/>
        <v>0</v>
      </c>
      <c r="T52" s="87">
        <f t="shared" si="8"/>
        <v>0</v>
      </c>
      <c r="U52" s="87">
        <f t="shared" si="9"/>
        <v>4.7564153510678474E-4</v>
      </c>
      <c r="V52" s="87">
        <f t="shared" si="10"/>
        <v>2.3393225418952404E-4</v>
      </c>
      <c r="W52" s="120">
        <f t="shared" si="11"/>
        <v>1.5595483612634934E-4</v>
      </c>
    </row>
    <row r="53" spans="2:23">
      <c r="B53" s="116">
        <f>Amnt_Deposited!B48</f>
        <v>2034</v>
      </c>
      <c r="C53" s="119">
        <f>Amnt_Deposited!C48</f>
        <v>0</v>
      </c>
      <c r="D53" s="453">
        <f>Dry_Matter_Content!C40</f>
        <v>0.59</v>
      </c>
      <c r="E53" s="319">
        <f>MCF!R52</f>
        <v>0.8</v>
      </c>
      <c r="F53" s="87">
        <f t="shared" si="12"/>
        <v>0</v>
      </c>
      <c r="G53" s="87">
        <f t="shared" si="13"/>
        <v>0</v>
      </c>
      <c r="H53" s="87">
        <f t="shared" si="14"/>
        <v>0</v>
      </c>
      <c r="I53" s="87">
        <f t="shared" si="15"/>
        <v>4.7654764593341365E-4</v>
      </c>
      <c r="J53" s="87">
        <f t="shared" si="16"/>
        <v>2.3437790187286027E-4</v>
      </c>
      <c r="K53" s="120">
        <f t="shared" si="6"/>
        <v>1.5625193458190684E-4</v>
      </c>
      <c r="O53" s="116">
        <f>Amnt_Deposited!B48</f>
        <v>2034</v>
      </c>
      <c r="P53" s="119">
        <f>Amnt_Deposited!C48</f>
        <v>0</v>
      </c>
      <c r="Q53" s="319">
        <f>MCF!R52</f>
        <v>0.8</v>
      </c>
      <c r="R53" s="87">
        <f t="shared" si="17"/>
        <v>0</v>
      </c>
      <c r="S53" s="87">
        <f t="shared" si="7"/>
        <v>0</v>
      </c>
      <c r="T53" s="87">
        <f t="shared" si="8"/>
        <v>0</v>
      </c>
      <c r="U53" s="87">
        <f t="shared" si="9"/>
        <v>3.1883205570924208E-4</v>
      </c>
      <c r="V53" s="87">
        <f t="shared" si="10"/>
        <v>1.5680947939754263E-4</v>
      </c>
      <c r="W53" s="120">
        <f t="shared" si="11"/>
        <v>1.0453965293169508E-4</v>
      </c>
    </row>
    <row r="54" spans="2:23">
      <c r="B54" s="116">
        <f>Amnt_Deposited!B49</f>
        <v>2035</v>
      </c>
      <c r="C54" s="119">
        <f>Amnt_Deposited!C49</f>
        <v>0</v>
      </c>
      <c r="D54" s="453">
        <f>Dry_Matter_Content!C41</f>
        <v>0.59</v>
      </c>
      <c r="E54" s="319">
        <f>MCF!R53</f>
        <v>0.8</v>
      </c>
      <c r="F54" s="87">
        <f t="shared" si="12"/>
        <v>0</v>
      </c>
      <c r="G54" s="87">
        <f t="shared" si="13"/>
        <v>0</v>
      </c>
      <c r="H54" s="87">
        <f t="shared" si="14"/>
        <v>0</v>
      </c>
      <c r="I54" s="87">
        <f t="shared" si="15"/>
        <v>3.1943943996026139E-4</v>
      </c>
      <c r="J54" s="87">
        <f t="shared" si="16"/>
        <v>1.5710820597315226E-4</v>
      </c>
      <c r="K54" s="120">
        <f t="shared" si="6"/>
        <v>1.047388039821015E-4</v>
      </c>
      <c r="O54" s="116">
        <f>Amnt_Deposited!B49</f>
        <v>2035</v>
      </c>
      <c r="P54" s="119">
        <f>Amnt_Deposited!C49</f>
        <v>0</v>
      </c>
      <c r="Q54" s="319">
        <f>MCF!R53</f>
        <v>0.8</v>
      </c>
      <c r="R54" s="87">
        <f t="shared" si="17"/>
        <v>0</v>
      </c>
      <c r="S54" s="87">
        <f t="shared" si="7"/>
        <v>0</v>
      </c>
      <c r="T54" s="87">
        <f t="shared" si="8"/>
        <v>0</v>
      </c>
      <c r="U54" s="87">
        <f t="shared" si="9"/>
        <v>2.1371951826065668E-4</v>
      </c>
      <c r="V54" s="87">
        <f t="shared" si="10"/>
        <v>1.0511253744858541E-4</v>
      </c>
      <c r="W54" s="120">
        <f t="shared" si="11"/>
        <v>7.0075024965723603E-5</v>
      </c>
    </row>
    <row r="55" spans="2:23">
      <c r="B55" s="116">
        <f>Amnt_Deposited!B50</f>
        <v>2036</v>
      </c>
      <c r="C55" s="119">
        <f>Amnt_Deposited!C50</f>
        <v>0</v>
      </c>
      <c r="D55" s="453">
        <f>Dry_Matter_Content!C42</f>
        <v>0.59</v>
      </c>
      <c r="E55" s="319">
        <f>MCF!R54</f>
        <v>0.8</v>
      </c>
      <c r="F55" s="87">
        <f t="shared" si="12"/>
        <v>0</v>
      </c>
      <c r="G55" s="87">
        <f t="shared" si="13"/>
        <v>0</v>
      </c>
      <c r="H55" s="87">
        <f t="shared" si="14"/>
        <v>0</v>
      </c>
      <c r="I55" s="87">
        <f t="shared" si="15"/>
        <v>2.1412666009976126E-4</v>
      </c>
      <c r="J55" s="87">
        <f t="shared" si="16"/>
        <v>1.0531277986050014E-4</v>
      </c>
      <c r="K55" s="120">
        <f t="shared" si="6"/>
        <v>7.0208519907000091E-5</v>
      </c>
      <c r="O55" s="116">
        <f>Amnt_Deposited!B50</f>
        <v>2036</v>
      </c>
      <c r="P55" s="119">
        <f>Amnt_Deposited!C50</f>
        <v>0</v>
      </c>
      <c r="Q55" s="319">
        <f>MCF!R54</f>
        <v>0.8</v>
      </c>
      <c r="R55" s="87">
        <f t="shared" si="17"/>
        <v>0</v>
      </c>
      <c r="S55" s="87">
        <f t="shared" si="7"/>
        <v>0</v>
      </c>
      <c r="T55" s="87">
        <f t="shared" si="8"/>
        <v>0</v>
      </c>
      <c r="U55" s="87">
        <f t="shared" si="9"/>
        <v>1.4326047731919804E-4</v>
      </c>
      <c r="V55" s="87">
        <f t="shared" si="10"/>
        <v>7.0459040941458635E-5</v>
      </c>
      <c r="W55" s="120">
        <f t="shared" si="11"/>
        <v>4.6972693960972424E-5</v>
      </c>
    </row>
    <row r="56" spans="2:23">
      <c r="B56" s="116">
        <f>Amnt_Deposited!B51</f>
        <v>2037</v>
      </c>
      <c r="C56" s="119">
        <f>Amnt_Deposited!C51</f>
        <v>0</v>
      </c>
      <c r="D56" s="453">
        <f>Dry_Matter_Content!C43</f>
        <v>0.59</v>
      </c>
      <c r="E56" s="319">
        <f>MCF!R55</f>
        <v>0.8</v>
      </c>
      <c r="F56" s="87">
        <f t="shared" si="12"/>
        <v>0</v>
      </c>
      <c r="G56" s="87">
        <f t="shared" si="13"/>
        <v>0</v>
      </c>
      <c r="H56" s="87">
        <f t="shared" si="14"/>
        <v>0</v>
      </c>
      <c r="I56" s="87">
        <f t="shared" si="15"/>
        <v>1.4353339265552967E-4</v>
      </c>
      <c r="J56" s="87">
        <f t="shared" si="16"/>
        <v>7.0593267444231603E-5</v>
      </c>
      <c r="K56" s="120">
        <f t="shared" si="6"/>
        <v>4.7062178296154402E-5</v>
      </c>
      <c r="O56" s="116">
        <f>Amnt_Deposited!B51</f>
        <v>2037</v>
      </c>
      <c r="P56" s="119">
        <f>Amnt_Deposited!C51</f>
        <v>0</v>
      </c>
      <c r="Q56" s="319">
        <f>MCF!R55</f>
        <v>0.8</v>
      </c>
      <c r="R56" s="87">
        <f t="shared" si="17"/>
        <v>0</v>
      </c>
      <c r="S56" s="87">
        <f t="shared" si="7"/>
        <v>0</v>
      </c>
      <c r="T56" s="87">
        <f t="shared" si="8"/>
        <v>0</v>
      </c>
      <c r="U56" s="87">
        <f t="shared" si="9"/>
        <v>9.6030369751692494E-5</v>
      </c>
      <c r="V56" s="87">
        <f t="shared" si="10"/>
        <v>4.7230107567505542E-5</v>
      </c>
      <c r="W56" s="120">
        <f t="shared" si="11"/>
        <v>3.1486738378337026E-5</v>
      </c>
    </row>
    <row r="57" spans="2:23">
      <c r="B57" s="116">
        <f>Amnt_Deposited!B52</f>
        <v>2038</v>
      </c>
      <c r="C57" s="119">
        <f>Amnt_Deposited!C52</f>
        <v>0</v>
      </c>
      <c r="D57" s="453">
        <f>Dry_Matter_Content!C44</f>
        <v>0.59</v>
      </c>
      <c r="E57" s="319">
        <f>MCF!R56</f>
        <v>0.8</v>
      </c>
      <c r="F57" s="87">
        <f t="shared" si="12"/>
        <v>0</v>
      </c>
      <c r="G57" s="87">
        <f t="shared" si="13"/>
        <v>0</v>
      </c>
      <c r="H57" s="87">
        <f t="shared" si="14"/>
        <v>0</v>
      </c>
      <c r="I57" s="87">
        <f t="shared" si="15"/>
        <v>9.6213310372506147E-5</v>
      </c>
      <c r="J57" s="87">
        <f t="shared" si="16"/>
        <v>4.7320082283023529E-5</v>
      </c>
      <c r="K57" s="120">
        <f t="shared" si="6"/>
        <v>3.1546721522015683E-5</v>
      </c>
      <c r="O57" s="116">
        <f>Amnt_Deposited!B52</f>
        <v>2038</v>
      </c>
      <c r="P57" s="119">
        <f>Amnt_Deposited!C52</f>
        <v>0</v>
      </c>
      <c r="Q57" s="319">
        <f>MCF!R56</f>
        <v>0.8</v>
      </c>
      <c r="R57" s="87">
        <f t="shared" si="17"/>
        <v>0</v>
      </c>
      <c r="S57" s="87">
        <f t="shared" si="7"/>
        <v>0</v>
      </c>
      <c r="T57" s="87">
        <f t="shared" si="8"/>
        <v>0</v>
      </c>
      <c r="U57" s="87">
        <f t="shared" si="9"/>
        <v>6.4371081872773979E-5</v>
      </c>
      <c r="V57" s="87">
        <f t="shared" si="10"/>
        <v>3.1659287878918515E-5</v>
      </c>
      <c r="W57" s="120">
        <f t="shared" si="11"/>
        <v>2.110619191927901E-5</v>
      </c>
    </row>
    <row r="58" spans="2:23">
      <c r="B58" s="116">
        <f>Amnt_Deposited!B53</f>
        <v>2039</v>
      </c>
      <c r="C58" s="119">
        <f>Amnt_Deposited!C53</f>
        <v>0</v>
      </c>
      <c r="D58" s="453">
        <f>Dry_Matter_Content!C45</f>
        <v>0.59</v>
      </c>
      <c r="E58" s="319">
        <f>MCF!R57</f>
        <v>0.8</v>
      </c>
      <c r="F58" s="87">
        <f t="shared" si="12"/>
        <v>0</v>
      </c>
      <c r="G58" s="87">
        <f t="shared" si="13"/>
        <v>0</v>
      </c>
      <c r="H58" s="87">
        <f t="shared" si="14"/>
        <v>0</v>
      </c>
      <c r="I58" s="87">
        <f t="shared" si="15"/>
        <v>6.4493710638139582E-5</v>
      </c>
      <c r="J58" s="87">
        <f t="shared" si="16"/>
        <v>3.1719599734366572E-5</v>
      </c>
      <c r="K58" s="120">
        <f t="shared" si="6"/>
        <v>2.1146399822911047E-5</v>
      </c>
      <c r="O58" s="116">
        <f>Amnt_Deposited!B53</f>
        <v>2039</v>
      </c>
      <c r="P58" s="119">
        <f>Amnt_Deposited!C53</f>
        <v>0</v>
      </c>
      <c r="Q58" s="319">
        <f>MCF!R57</f>
        <v>0.8</v>
      </c>
      <c r="R58" s="87">
        <f t="shared" si="17"/>
        <v>0</v>
      </c>
      <c r="S58" s="87">
        <f t="shared" si="7"/>
        <v>0</v>
      </c>
      <c r="T58" s="87">
        <f t="shared" si="8"/>
        <v>0</v>
      </c>
      <c r="U58" s="87">
        <f t="shared" si="9"/>
        <v>4.3149226564321764E-5</v>
      </c>
      <c r="V58" s="87">
        <f t="shared" si="10"/>
        <v>2.1221855308452216E-5</v>
      </c>
      <c r="W58" s="120">
        <f t="shared" si="11"/>
        <v>1.4147903538968144E-5</v>
      </c>
    </row>
    <row r="59" spans="2:23">
      <c r="B59" s="116">
        <f>Amnt_Deposited!B54</f>
        <v>2040</v>
      </c>
      <c r="C59" s="119">
        <f>Amnt_Deposited!C54</f>
        <v>0</v>
      </c>
      <c r="D59" s="453">
        <f>Dry_Matter_Content!C46</f>
        <v>0.59</v>
      </c>
      <c r="E59" s="319">
        <f>MCF!R58</f>
        <v>0.8</v>
      </c>
      <c r="F59" s="87">
        <f t="shared" si="12"/>
        <v>0</v>
      </c>
      <c r="G59" s="87">
        <f t="shared" si="13"/>
        <v>0</v>
      </c>
      <c r="H59" s="87">
        <f t="shared" si="14"/>
        <v>0</v>
      </c>
      <c r="I59" s="87">
        <f t="shared" si="15"/>
        <v>4.3231427083966926E-5</v>
      </c>
      <c r="J59" s="87">
        <f t="shared" si="16"/>
        <v>2.1262283554172656E-5</v>
      </c>
      <c r="K59" s="120">
        <f t="shared" si="6"/>
        <v>1.417485570278177E-5</v>
      </c>
      <c r="O59" s="116">
        <f>Amnt_Deposited!B54</f>
        <v>2040</v>
      </c>
      <c r="P59" s="119">
        <f>Amnt_Deposited!C54</f>
        <v>0</v>
      </c>
      <c r="Q59" s="319">
        <f>MCF!R58</f>
        <v>0.8</v>
      </c>
      <c r="R59" s="87">
        <f t="shared" si="17"/>
        <v>0</v>
      </c>
      <c r="S59" s="87">
        <f t="shared" si="7"/>
        <v>0</v>
      </c>
      <c r="T59" s="87">
        <f t="shared" si="8"/>
        <v>0</v>
      </c>
      <c r="U59" s="87">
        <f t="shared" si="9"/>
        <v>2.8923791536998395E-5</v>
      </c>
      <c r="V59" s="87">
        <f t="shared" si="10"/>
        <v>1.4225435027323367E-5</v>
      </c>
      <c r="W59" s="120">
        <f t="shared" si="11"/>
        <v>9.4836233515489102E-6</v>
      </c>
    </row>
    <row r="60" spans="2:23">
      <c r="B60" s="116">
        <f>Amnt_Deposited!B55</f>
        <v>2041</v>
      </c>
      <c r="C60" s="119">
        <f>Amnt_Deposited!C55</f>
        <v>0</v>
      </c>
      <c r="D60" s="453">
        <f>Dry_Matter_Content!C47</f>
        <v>0.59</v>
      </c>
      <c r="E60" s="319">
        <f>MCF!R59</f>
        <v>0.8</v>
      </c>
      <c r="F60" s="87">
        <f t="shared" si="12"/>
        <v>0</v>
      </c>
      <c r="G60" s="87">
        <f t="shared" si="13"/>
        <v>0</v>
      </c>
      <c r="H60" s="87">
        <f t="shared" si="14"/>
        <v>0</v>
      </c>
      <c r="I60" s="87">
        <f t="shared" si="15"/>
        <v>2.8978892193111094E-5</v>
      </c>
      <c r="J60" s="87">
        <f t="shared" si="16"/>
        <v>1.4252534890855831E-5</v>
      </c>
      <c r="K60" s="120">
        <f t="shared" si="6"/>
        <v>9.5016899272372205E-6</v>
      </c>
      <c r="O60" s="116">
        <f>Amnt_Deposited!B55</f>
        <v>2041</v>
      </c>
      <c r="P60" s="119">
        <f>Amnt_Deposited!C55</f>
        <v>0</v>
      </c>
      <c r="Q60" s="319">
        <f>MCF!R59</f>
        <v>0.8</v>
      </c>
      <c r="R60" s="87">
        <f t="shared" si="17"/>
        <v>0</v>
      </c>
      <c r="S60" s="87">
        <f t="shared" si="7"/>
        <v>0</v>
      </c>
      <c r="T60" s="87">
        <f t="shared" si="8"/>
        <v>0</v>
      </c>
      <c r="U60" s="87">
        <f t="shared" si="9"/>
        <v>1.9388197274605998E-5</v>
      </c>
      <c r="V60" s="87">
        <f t="shared" si="10"/>
        <v>9.5355942623923952E-6</v>
      </c>
      <c r="W60" s="120">
        <f t="shared" si="11"/>
        <v>6.3570628415949295E-6</v>
      </c>
    </row>
    <row r="61" spans="2:23">
      <c r="B61" s="116">
        <f>Amnt_Deposited!B56</f>
        <v>2042</v>
      </c>
      <c r="C61" s="119">
        <f>Amnt_Deposited!C56</f>
        <v>0</v>
      </c>
      <c r="D61" s="453">
        <f>Dry_Matter_Content!C48</f>
        <v>0.59</v>
      </c>
      <c r="E61" s="319">
        <f>MCF!R60</f>
        <v>0.8</v>
      </c>
      <c r="F61" s="87">
        <f t="shared" si="12"/>
        <v>0</v>
      </c>
      <c r="G61" s="87">
        <f t="shared" si="13"/>
        <v>0</v>
      </c>
      <c r="H61" s="87">
        <f t="shared" si="14"/>
        <v>0</v>
      </c>
      <c r="I61" s="87">
        <f t="shared" si="15"/>
        <v>1.9425132348948059E-5</v>
      </c>
      <c r="J61" s="87">
        <f t="shared" si="16"/>
        <v>9.5537598441630364E-6</v>
      </c>
      <c r="K61" s="120">
        <f t="shared" si="6"/>
        <v>6.3691732294420243E-6</v>
      </c>
      <c r="O61" s="116">
        <f>Amnt_Deposited!B56</f>
        <v>2042</v>
      </c>
      <c r="P61" s="119">
        <f>Amnt_Deposited!C56</f>
        <v>0</v>
      </c>
      <c r="Q61" s="319">
        <f>MCF!R60</f>
        <v>0.8</v>
      </c>
      <c r="R61" s="87">
        <f t="shared" si="17"/>
        <v>0</v>
      </c>
      <c r="S61" s="87">
        <f t="shared" si="7"/>
        <v>0</v>
      </c>
      <c r="T61" s="87">
        <f t="shared" si="8"/>
        <v>0</v>
      </c>
      <c r="U61" s="87">
        <f t="shared" si="9"/>
        <v>1.2996297289661949E-5</v>
      </c>
      <c r="V61" s="87">
        <f t="shared" si="10"/>
        <v>6.3918999849440484E-6</v>
      </c>
      <c r="W61" s="120">
        <f t="shared" si="11"/>
        <v>4.2612666566293653E-6</v>
      </c>
    </row>
    <row r="62" spans="2:23">
      <c r="B62" s="116">
        <f>Amnt_Deposited!B57</f>
        <v>2043</v>
      </c>
      <c r="C62" s="119">
        <f>Amnt_Deposited!C57</f>
        <v>0</v>
      </c>
      <c r="D62" s="453">
        <f>Dry_Matter_Content!C49</f>
        <v>0.59</v>
      </c>
      <c r="E62" s="319">
        <f>MCF!R61</f>
        <v>0.8</v>
      </c>
      <c r="F62" s="87">
        <f t="shared" si="12"/>
        <v>0</v>
      </c>
      <c r="G62" s="87">
        <f t="shared" si="13"/>
        <v>0</v>
      </c>
      <c r="H62" s="87">
        <f t="shared" si="14"/>
        <v>0</v>
      </c>
      <c r="I62" s="87">
        <f t="shared" si="15"/>
        <v>1.302105561039525E-5</v>
      </c>
      <c r="J62" s="87">
        <f t="shared" si="16"/>
        <v>6.4040767385528096E-6</v>
      </c>
      <c r="K62" s="120">
        <f t="shared" si="6"/>
        <v>4.2693844923685392E-6</v>
      </c>
      <c r="O62" s="116">
        <f>Amnt_Deposited!B57</f>
        <v>2043</v>
      </c>
      <c r="P62" s="119">
        <f>Amnt_Deposited!C57</f>
        <v>0</v>
      </c>
      <c r="Q62" s="319">
        <f>MCF!R61</f>
        <v>0.8</v>
      </c>
      <c r="R62" s="87">
        <f t="shared" si="17"/>
        <v>0</v>
      </c>
      <c r="S62" s="87">
        <f t="shared" si="7"/>
        <v>0</v>
      </c>
      <c r="T62" s="87">
        <f t="shared" si="8"/>
        <v>0</v>
      </c>
      <c r="U62" s="87">
        <f t="shared" si="9"/>
        <v>8.7116785974990516E-6</v>
      </c>
      <c r="V62" s="87">
        <f t="shared" si="10"/>
        <v>4.2846186921628964E-6</v>
      </c>
      <c r="W62" s="120">
        <f t="shared" si="11"/>
        <v>2.8564124614419306E-6</v>
      </c>
    </row>
    <row r="63" spans="2:23">
      <c r="B63" s="116">
        <f>Amnt_Deposited!B58</f>
        <v>2044</v>
      </c>
      <c r="C63" s="119">
        <f>Amnt_Deposited!C58</f>
        <v>0</v>
      </c>
      <c r="D63" s="453">
        <f>Dry_Matter_Content!C50</f>
        <v>0.59</v>
      </c>
      <c r="E63" s="319">
        <f>MCF!R62</f>
        <v>0.8</v>
      </c>
      <c r="F63" s="87">
        <f t="shared" si="12"/>
        <v>0</v>
      </c>
      <c r="G63" s="87">
        <f t="shared" si="13"/>
        <v>0</v>
      </c>
      <c r="H63" s="87">
        <f t="shared" si="14"/>
        <v>0</v>
      </c>
      <c r="I63" s="87">
        <f t="shared" si="15"/>
        <v>8.7282745961927641E-6</v>
      </c>
      <c r="J63" s="87">
        <f t="shared" si="16"/>
        <v>4.2927810142024864E-6</v>
      </c>
      <c r="K63" s="120">
        <f t="shared" si="6"/>
        <v>2.8618540094683241E-6</v>
      </c>
      <c r="O63" s="116">
        <f>Amnt_Deposited!B58</f>
        <v>2044</v>
      </c>
      <c r="P63" s="119">
        <f>Amnt_Deposited!C58</f>
        <v>0</v>
      </c>
      <c r="Q63" s="319">
        <f>MCF!R62</f>
        <v>0.8</v>
      </c>
      <c r="R63" s="87">
        <f t="shared" si="17"/>
        <v>0</v>
      </c>
      <c r="S63" s="87">
        <f t="shared" si="7"/>
        <v>0</v>
      </c>
      <c r="T63" s="87">
        <f t="shared" si="8"/>
        <v>0</v>
      </c>
      <c r="U63" s="87">
        <f t="shared" si="9"/>
        <v>5.839612798523258E-6</v>
      </c>
      <c r="V63" s="87">
        <f t="shared" si="10"/>
        <v>2.8720657989757936E-6</v>
      </c>
      <c r="W63" s="120">
        <f t="shared" si="11"/>
        <v>1.9147105326505291E-6</v>
      </c>
    </row>
    <row r="64" spans="2:23">
      <c r="B64" s="116">
        <f>Amnt_Deposited!B59</f>
        <v>2045</v>
      </c>
      <c r="C64" s="119">
        <f>Amnt_Deposited!C59</f>
        <v>0</v>
      </c>
      <c r="D64" s="453">
        <f>Dry_Matter_Content!C51</f>
        <v>0.59</v>
      </c>
      <c r="E64" s="319">
        <f>MCF!R63</f>
        <v>0.8</v>
      </c>
      <c r="F64" s="87">
        <f t="shared" si="12"/>
        <v>0</v>
      </c>
      <c r="G64" s="87">
        <f t="shared" si="13"/>
        <v>0</v>
      </c>
      <c r="H64" s="87">
        <f t="shared" si="14"/>
        <v>0</v>
      </c>
      <c r="I64" s="87">
        <f t="shared" si="15"/>
        <v>5.8507374291316347E-6</v>
      </c>
      <c r="J64" s="87">
        <f t="shared" si="16"/>
        <v>2.8775371670611293E-6</v>
      </c>
      <c r="K64" s="120">
        <f t="shared" si="6"/>
        <v>1.9183581113740861E-6</v>
      </c>
      <c r="O64" s="116">
        <f>Amnt_Deposited!B59</f>
        <v>2045</v>
      </c>
      <c r="P64" s="119">
        <f>Amnt_Deposited!C59</f>
        <v>0</v>
      </c>
      <c r="Q64" s="319">
        <f>MCF!R63</f>
        <v>0.8</v>
      </c>
      <c r="R64" s="87">
        <f t="shared" si="17"/>
        <v>0</v>
      </c>
      <c r="S64" s="87">
        <f t="shared" si="7"/>
        <v>0</v>
      </c>
      <c r="T64" s="87">
        <f t="shared" si="8"/>
        <v>0</v>
      </c>
      <c r="U64" s="87">
        <f t="shared" si="9"/>
        <v>3.9144095199364191E-6</v>
      </c>
      <c r="V64" s="87">
        <f t="shared" si="10"/>
        <v>1.9252032785868393E-6</v>
      </c>
      <c r="W64" s="120">
        <f t="shared" si="11"/>
        <v>1.2834688523912261E-6</v>
      </c>
    </row>
    <row r="65" spans="2:23">
      <c r="B65" s="116">
        <f>Amnt_Deposited!B60</f>
        <v>2046</v>
      </c>
      <c r="C65" s="119">
        <f>Amnt_Deposited!C60</f>
        <v>0</v>
      </c>
      <c r="D65" s="453">
        <f>Dry_Matter_Content!C52</f>
        <v>0.59</v>
      </c>
      <c r="E65" s="319">
        <f>MCF!R64</f>
        <v>0.8</v>
      </c>
      <c r="F65" s="87">
        <f t="shared" si="12"/>
        <v>0</v>
      </c>
      <c r="G65" s="87">
        <f t="shared" si="13"/>
        <v>0</v>
      </c>
      <c r="H65" s="87">
        <f t="shared" si="14"/>
        <v>0</v>
      </c>
      <c r="I65" s="87">
        <f t="shared" si="15"/>
        <v>3.9218665828379551E-6</v>
      </c>
      <c r="J65" s="87">
        <f t="shared" si="16"/>
        <v>1.9288708462936792E-6</v>
      </c>
      <c r="K65" s="120">
        <f t="shared" si="6"/>
        <v>1.2859138975291194E-6</v>
      </c>
      <c r="O65" s="116">
        <f>Amnt_Deposited!B60</f>
        <v>2046</v>
      </c>
      <c r="P65" s="119">
        <f>Amnt_Deposited!C60</f>
        <v>0</v>
      </c>
      <c r="Q65" s="319">
        <f>MCF!R64</f>
        <v>0.8</v>
      </c>
      <c r="R65" s="87">
        <f t="shared" si="17"/>
        <v>0</v>
      </c>
      <c r="S65" s="87">
        <f t="shared" si="7"/>
        <v>0</v>
      </c>
      <c r="T65" s="87">
        <f t="shared" si="8"/>
        <v>0</v>
      </c>
      <c r="U65" s="87">
        <f t="shared" si="9"/>
        <v>2.6239071696061254E-6</v>
      </c>
      <c r="V65" s="87">
        <f t="shared" si="10"/>
        <v>1.2905023503302937E-6</v>
      </c>
      <c r="W65" s="120">
        <f t="shared" si="11"/>
        <v>8.6033490022019576E-7</v>
      </c>
    </row>
    <row r="66" spans="2:23">
      <c r="B66" s="116">
        <f>Amnt_Deposited!B61</f>
        <v>2047</v>
      </c>
      <c r="C66" s="119">
        <f>Amnt_Deposited!C61</f>
        <v>0</v>
      </c>
      <c r="D66" s="453">
        <f>Dry_Matter_Content!C53</f>
        <v>0.59</v>
      </c>
      <c r="E66" s="319">
        <f>MCF!R65</f>
        <v>0.8</v>
      </c>
      <c r="F66" s="87">
        <f t="shared" si="12"/>
        <v>0</v>
      </c>
      <c r="G66" s="87">
        <f t="shared" si="13"/>
        <v>0</v>
      </c>
      <c r="H66" s="87">
        <f t="shared" si="14"/>
        <v>0</v>
      </c>
      <c r="I66" s="87">
        <f t="shared" si="15"/>
        <v>2.6289057883535738E-6</v>
      </c>
      <c r="J66" s="87">
        <f t="shared" si="16"/>
        <v>1.2929607944843815E-6</v>
      </c>
      <c r="K66" s="120">
        <f t="shared" si="6"/>
        <v>8.6197386298958765E-7</v>
      </c>
      <c r="O66" s="116">
        <f>Amnt_Deposited!B61</f>
        <v>2047</v>
      </c>
      <c r="P66" s="119">
        <f>Amnt_Deposited!C61</f>
        <v>0</v>
      </c>
      <c r="Q66" s="319">
        <f>MCF!R65</f>
        <v>0.8</v>
      </c>
      <c r="R66" s="87">
        <f t="shared" si="17"/>
        <v>0</v>
      </c>
      <c r="S66" s="87">
        <f t="shared" si="7"/>
        <v>0</v>
      </c>
      <c r="T66" s="87">
        <f t="shared" si="8"/>
        <v>0</v>
      </c>
      <c r="U66" s="87">
        <f t="shared" si="9"/>
        <v>1.758857574723622E-6</v>
      </c>
      <c r="V66" s="87">
        <f t="shared" si="10"/>
        <v>8.6504959488250329E-7</v>
      </c>
      <c r="W66" s="120">
        <f t="shared" si="11"/>
        <v>5.7669972992166882E-7</v>
      </c>
    </row>
    <row r="67" spans="2:23">
      <c r="B67" s="116">
        <f>Amnt_Deposited!B62</f>
        <v>2048</v>
      </c>
      <c r="C67" s="119">
        <f>Amnt_Deposited!C62</f>
        <v>0</v>
      </c>
      <c r="D67" s="453">
        <f>Dry_Matter_Content!C54</f>
        <v>0.59</v>
      </c>
      <c r="E67" s="319">
        <f>MCF!R66</f>
        <v>0.8</v>
      </c>
      <c r="F67" s="87">
        <f t="shared" si="12"/>
        <v>0</v>
      </c>
      <c r="G67" s="87">
        <f t="shared" si="13"/>
        <v>0</v>
      </c>
      <c r="H67" s="87">
        <f t="shared" si="14"/>
        <v>0</v>
      </c>
      <c r="I67" s="87">
        <f t="shared" si="15"/>
        <v>1.7622082490725264E-6</v>
      </c>
      <c r="J67" s="87">
        <f t="shared" si="16"/>
        <v>8.6669753928104751E-7</v>
      </c>
      <c r="K67" s="120">
        <f t="shared" si="6"/>
        <v>5.7779835952069834E-7</v>
      </c>
      <c r="O67" s="116">
        <f>Amnt_Deposited!B62</f>
        <v>2048</v>
      </c>
      <c r="P67" s="119">
        <f>Amnt_Deposited!C62</f>
        <v>0</v>
      </c>
      <c r="Q67" s="319">
        <f>MCF!R66</f>
        <v>0.8</v>
      </c>
      <c r="R67" s="87">
        <f t="shared" si="17"/>
        <v>0</v>
      </c>
      <c r="S67" s="87">
        <f t="shared" si="7"/>
        <v>0</v>
      </c>
      <c r="T67" s="87">
        <f t="shared" si="8"/>
        <v>0</v>
      </c>
      <c r="U67" s="87">
        <f t="shared" si="9"/>
        <v>1.1789974904588713E-6</v>
      </c>
      <c r="V67" s="87">
        <f t="shared" si="10"/>
        <v>5.7986008426475073E-7</v>
      </c>
      <c r="W67" s="120">
        <f t="shared" si="11"/>
        <v>3.865733895098338E-7</v>
      </c>
    </row>
    <row r="68" spans="2:23">
      <c r="B68" s="116">
        <f>Amnt_Deposited!B63</f>
        <v>2049</v>
      </c>
      <c r="C68" s="119">
        <f>Amnt_Deposited!C63</f>
        <v>0</v>
      </c>
      <c r="D68" s="453">
        <f>Dry_Matter_Content!C55</f>
        <v>0.59</v>
      </c>
      <c r="E68" s="319">
        <f>MCF!R67</f>
        <v>0.8</v>
      </c>
      <c r="F68" s="87">
        <f t="shared" si="12"/>
        <v>0</v>
      </c>
      <c r="G68" s="87">
        <f t="shared" si="13"/>
        <v>0</v>
      </c>
      <c r="H68" s="87">
        <f t="shared" si="14"/>
        <v>0</v>
      </c>
      <c r="I68" s="87">
        <f t="shared" si="15"/>
        <v>1.1812435146426792E-6</v>
      </c>
      <c r="J68" s="87">
        <f t="shared" si="16"/>
        <v>5.8096473442984709E-7</v>
      </c>
      <c r="K68" s="120">
        <f t="shared" si="6"/>
        <v>3.8730982295323138E-7</v>
      </c>
      <c r="O68" s="116">
        <f>Amnt_Deposited!B63</f>
        <v>2049</v>
      </c>
      <c r="P68" s="119">
        <f>Amnt_Deposited!C63</f>
        <v>0</v>
      </c>
      <c r="Q68" s="319">
        <f>MCF!R67</f>
        <v>0.8</v>
      </c>
      <c r="R68" s="87">
        <f t="shared" si="17"/>
        <v>0</v>
      </c>
      <c r="S68" s="87">
        <f t="shared" si="7"/>
        <v>0</v>
      </c>
      <c r="T68" s="87">
        <f t="shared" si="8"/>
        <v>0</v>
      </c>
      <c r="U68" s="87">
        <f t="shared" si="9"/>
        <v>7.9030565208029379E-7</v>
      </c>
      <c r="V68" s="87">
        <f t="shared" si="10"/>
        <v>3.8869183837857742E-7</v>
      </c>
      <c r="W68" s="120">
        <f t="shared" si="11"/>
        <v>2.5912789225238495E-7</v>
      </c>
    </row>
    <row r="69" spans="2:23">
      <c r="B69" s="116">
        <f>Amnt_Deposited!B64</f>
        <v>2050</v>
      </c>
      <c r="C69" s="119">
        <f>Amnt_Deposited!C64</f>
        <v>0</v>
      </c>
      <c r="D69" s="453">
        <f>Dry_Matter_Content!C56</f>
        <v>0.59</v>
      </c>
      <c r="E69" s="319">
        <f>MCF!R68</f>
        <v>0.8</v>
      </c>
      <c r="F69" s="87">
        <f t="shared" si="12"/>
        <v>0</v>
      </c>
      <c r="G69" s="87">
        <f t="shared" si="13"/>
        <v>0</v>
      </c>
      <c r="H69" s="87">
        <f t="shared" si="14"/>
        <v>0</v>
      </c>
      <c r="I69" s="87">
        <f t="shared" si="15"/>
        <v>7.9181120711458109E-7</v>
      </c>
      <c r="J69" s="87">
        <f t="shared" si="16"/>
        <v>3.8943230752809806E-7</v>
      </c>
      <c r="K69" s="120">
        <f t="shared" si="6"/>
        <v>2.5962153835206534E-7</v>
      </c>
      <c r="O69" s="116">
        <f>Amnt_Deposited!B64</f>
        <v>2050</v>
      </c>
      <c r="P69" s="119">
        <f>Amnt_Deposited!C64</f>
        <v>0</v>
      </c>
      <c r="Q69" s="319">
        <f>MCF!R68</f>
        <v>0.8</v>
      </c>
      <c r="R69" s="87">
        <f t="shared" si="17"/>
        <v>0</v>
      </c>
      <c r="S69" s="87">
        <f t="shared" si="7"/>
        <v>0</v>
      </c>
      <c r="T69" s="87">
        <f t="shared" si="8"/>
        <v>0</v>
      </c>
      <c r="U69" s="87">
        <f t="shared" si="9"/>
        <v>5.2975772108468852E-7</v>
      </c>
      <c r="V69" s="87">
        <f t="shared" si="10"/>
        <v>2.6054793099560527E-7</v>
      </c>
      <c r="W69" s="120">
        <f t="shared" si="11"/>
        <v>1.7369862066373684E-7</v>
      </c>
    </row>
    <row r="70" spans="2:23">
      <c r="B70" s="116">
        <f>Amnt_Deposited!B65</f>
        <v>2051</v>
      </c>
      <c r="C70" s="119">
        <f>Amnt_Deposited!C65</f>
        <v>0</v>
      </c>
      <c r="D70" s="453">
        <f>Dry_Matter_Content!C57</f>
        <v>0.59</v>
      </c>
      <c r="E70" s="319">
        <f>MCF!R69</f>
        <v>0.8</v>
      </c>
      <c r="F70" s="87">
        <f t="shared" si="12"/>
        <v>0</v>
      </c>
      <c r="G70" s="87">
        <f t="shared" si="13"/>
        <v>0</v>
      </c>
      <c r="H70" s="87">
        <f t="shared" si="14"/>
        <v>0</v>
      </c>
      <c r="I70" s="87">
        <f t="shared" si="15"/>
        <v>5.3076692480458118E-7</v>
      </c>
      <c r="J70" s="87">
        <f t="shared" si="16"/>
        <v>2.6104428230999996E-7</v>
      </c>
      <c r="K70" s="120">
        <f t="shared" si="6"/>
        <v>1.7402952153999995E-7</v>
      </c>
      <c r="O70" s="116">
        <f>Amnt_Deposited!B65</f>
        <v>2051</v>
      </c>
      <c r="P70" s="119">
        <f>Amnt_Deposited!C65</f>
        <v>0</v>
      </c>
      <c r="Q70" s="319">
        <f>MCF!R69</f>
        <v>0.8</v>
      </c>
      <c r="R70" s="87">
        <f t="shared" si="17"/>
        <v>0</v>
      </c>
      <c r="S70" s="87">
        <f t="shared" si="7"/>
        <v>0</v>
      </c>
      <c r="T70" s="87">
        <f t="shared" si="8"/>
        <v>0</v>
      </c>
      <c r="U70" s="87">
        <f t="shared" si="9"/>
        <v>3.5510721998522381E-7</v>
      </c>
      <c r="V70" s="87">
        <f t="shared" si="10"/>
        <v>1.7465050109946473E-7</v>
      </c>
      <c r="W70" s="120">
        <f t="shared" si="11"/>
        <v>1.1643366739964315E-7</v>
      </c>
    </row>
    <row r="71" spans="2:23">
      <c r="B71" s="116">
        <f>Amnt_Deposited!B66</f>
        <v>2052</v>
      </c>
      <c r="C71" s="119">
        <f>Amnt_Deposited!C66</f>
        <v>0</v>
      </c>
      <c r="D71" s="453">
        <f>Dry_Matter_Content!C58</f>
        <v>0.59</v>
      </c>
      <c r="E71" s="319">
        <f>MCF!R70</f>
        <v>0.8</v>
      </c>
      <c r="F71" s="87">
        <f t="shared" si="12"/>
        <v>0</v>
      </c>
      <c r="G71" s="87">
        <f t="shared" si="13"/>
        <v>0</v>
      </c>
      <c r="H71" s="87">
        <f t="shared" si="14"/>
        <v>0</v>
      </c>
      <c r="I71" s="87">
        <f t="shared" si="15"/>
        <v>3.557837094692016E-7</v>
      </c>
      <c r="J71" s="87">
        <f t="shared" si="16"/>
        <v>1.7498321533537961E-7</v>
      </c>
      <c r="K71" s="120">
        <f t="shared" si="6"/>
        <v>1.1665547689025307E-7</v>
      </c>
      <c r="O71" s="116">
        <f>Amnt_Deposited!B66</f>
        <v>2052</v>
      </c>
      <c r="P71" s="119">
        <f>Amnt_Deposited!C66</f>
        <v>0</v>
      </c>
      <c r="Q71" s="319">
        <f>MCF!R70</f>
        <v>0.8</v>
      </c>
      <c r="R71" s="87">
        <f t="shared" si="17"/>
        <v>0</v>
      </c>
      <c r="S71" s="87">
        <f t="shared" si="7"/>
        <v>0</v>
      </c>
      <c r="T71" s="87">
        <f t="shared" si="8"/>
        <v>0</v>
      </c>
      <c r="U71" s="87">
        <f t="shared" si="9"/>
        <v>2.3803548804808312E-7</v>
      </c>
      <c r="V71" s="87">
        <f t="shared" si="10"/>
        <v>1.1707173193714068E-7</v>
      </c>
      <c r="W71" s="120">
        <f t="shared" si="11"/>
        <v>7.8047821291427109E-8</v>
      </c>
    </row>
    <row r="72" spans="2:23">
      <c r="B72" s="116">
        <f>Amnt_Deposited!B67</f>
        <v>2053</v>
      </c>
      <c r="C72" s="119">
        <f>Amnt_Deposited!C67</f>
        <v>0</v>
      </c>
      <c r="D72" s="453">
        <f>Dry_Matter_Content!C59</f>
        <v>0.59</v>
      </c>
      <c r="E72" s="319">
        <f>MCF!R71</f>
        <v>0.8</v>
      </c>
      <c r="F72" s="87">
        <f t="shared" si="12"/>
        <v>0</v>
      </c>
      <c r="G72" s="87">
        <f t="shared" si="13"/>
        <v>0</v>
      </c>
      <c r="H72" s="87">
        <f t="shared" si="14"/>
        <v>0</v>
      </c>
      <c r="I72" s="87">
        <f t="shared" si="15"/>
        <v>2.3848895251012572E-7</v>
      </c>
      <c r="J72" s="87">
        <f t="shared" si="16"/>
        <v>1.1729475695907585E-7</v>
      </c>
      <c r="K72" s="120">
        <f t="shared" si="6"/>
        <v>7.8196504639383902E-8</v>
      </c>
      <c r="O72" s="116">
        <f>Amnt_Deposited!B67</f>
        <v>2053</v>
      </c>
      <c r="P72" s="119">
        <f>Amnt_Deposited!C67</f>
        <v>0</v>
      </c>
      <c r="Q72" s="319">
        <f>MCF!R71</f>
        <v>0.8</v>
      </c>
      <c r="R72" s="87">
        <f t="shared" si="17"/>
        <v>0</v>
      </c>
      <c r="S72" s="87">
        <f t="shared" si="7"/>
        <v>0</v>
      </c>
      <c r="T72" s="87">
        <f t="shared" si="8"/>
        <v>0</v>
      </c>
      <c r="U72" s="87">
        <f t="shared" si="9"/>
        <v>1.5955995930650696E-7</v>
      </c>
      <c r="V72" s="87">
        <f t="shared" si="10"/>
        <v>7.847552874157617E-8</v>
      </c>
      <c r="W72" s="120">
        <f t="shared" si="11"/>
        <v>5.2317019161050776E-8</v>
      </c>
    </row>
    <row r="73" spans="2:23">
      <c r="B73" s="116">
        <f>Amnt_Deposited!B68</f>
        <v>2054</v>
      </c>
      <c r="C73" s="119">
        <f>Amnt_Deposited!C68</f>
        <v>0</v>
      </c>
      <c r="D73" s="453">
        <f>Dry_Matter_Content!C60</f>
        <v>0.59</v>
      </c>
      <c r="E73" s="319">
        <f>MCF!R72</f>
        <v>0.8</v>
      </c>
      <c r="F73" s="87">
        <f t="shared" si="12"/>
        <v>0</v>
      </c>
      <c r="G73" s="87">
        <f t="shared" si="13"/>
        <v>0</v>
      </c>
      <c r="H73" s="87">
        <f t="shared" si="14"/>
        <v>0</v>
      </c>
      <c r="I73" s="87">
        <f t="shared" si="15"/>
        <v>1.5986392562557888E-7</v>
      </c>
      <c r="J73" s="87">
        <f t="shared" si="16"/>
        <v>7.8625026884546851E-8</v>
      </c>
      <c r="K73" s="120">
        <f t="shared" si="6"/>
        <v>5.2416684589697896E-8</v>
      </c>
      <c r="O73" s="116">
        <f>Amnt_Deposited!B68</f>
        <v>2054</v>
      </c>
      <c r="P73" s="119">
        <f>Amnt_Deposited!C68</f>
        <v>0</v>
      </c>
      <c r="Q73" s="319">
        <f>MCF!R72</f>
        <v>0.8</v>
      </c>
      <c r="R73" s="87">
        <f t="shared" si="17"/>
        <v>0</v>
      </c>
      <c r="S73" s="87">
        <f t="shared" si="7"/>
        <v>0</v>
      </c>
      <c r="T73" s="87">
        <f t="shared" si="8"/>
        <v>0</v>
      </c>
      <c r="U73" s="87">
        <f t="shared" si="9"/>
        <v>1.0695623926778248E-7</v>
      </c>
      <c r="V73" s="87">
        <f t="shared" si="10"/>
        <v>5.2603720038724476E-8</v>
      </c>
      <c r="W73" s="120">
        <f t="shared" si="11"/>
        <v>3.506914669248298E-8</v>
      </c>
    </row>
    <row r="74" spans="2:23">
      <c r="B74" s="116">
        <f>Amnt_Deposited!B69</f>
        <v>2055</v>
      </c>
      <c r="C74" s="119">
        <f>Amnt_Deposited!C69</f>
        <v>0</v>
      </c>
      <c r="D74" s="453">
        <f>Dry_Matter_Content!C61</f>
        <v>0.59</v>
      </c>
      <c r="E74" s="319">
        <f>MCF!R73</f>
        <v>0.8</v>
      </c>
      <c r="F74" s="87">
        <f t="shared" si="12"/>
        <v>0</v>
      </c>
      <c r="G74" s="87">
        <f t="shared" si="13"/>
        <v>0</v>
      </c>
      <c r="H74" s="87">
        <f t="shared" si="14"/>
        <v>0</v>
      </c>
      <c r="I74" s="87">
        <f t="shared" si="15"/>
        <v>1.0715999398477606E-7</v>
      </c>
      <c r="J74" s="87">
        <f t="shared" si="16"/>
        <v>5.2703931640802826E-8</v>
      </c>
      <c r="K74" s="120">
        <f t="shared" si="6"/>
        <v>3.5135954427201884E-8</v>
      </c>
      <c r="O74" s="116">
        <f>Amnt_Deposited!B69</f>
        <v>2055</v>
      </c>
      <c r="P74" s="119">
        <f>Amnt_Deposited!C69</f>
        <v>0</v>
      </c>
      <c r="Q74" s="319">
        <f>MCF!R73</f>
        <v>0.8</v>
      </c>
      <c r="R74" s="87">
        <f t="shared" si="17"/>
        <v>0</v>
      </c>
      <c r="S74" s="87">
        <f t="shared" si="7"/>
        <v>0</v>
      </c>
      <c r="T74" s="87">
        <f t="shared" si="8"/>
        <v>0</v>
      </c>
      <c r="U74" s="87">
        <f t="shared" si="9"/>
        <v>7.1694911229778812E-8</v>
      </c>
      <c r="V74" s="87">
        <f t="shared" si="10"/>
        <v>3.5261328038003674E-8</v>
      </c>
      <c r="W74" s="120">
        <f t="shared" si="11"/>
        <v>2.3507552025335782E-8</v>
      </c>
    </row>
    <row r="75" spans="2:23">
      <c r="B75" s="116">
        <f>Amnt_Deposited!B70</f>
        <v>2056</v>
      </c>
      <c r="C75" s="119">
        <f>Amnt_Deposited!C70</f>
        <v>0</v>
      </c>
      <c r="D75" s="453">
        <f>Dry_Matter_Content!C62</f>
        <v>0.59</v>
      </c>
      <c r="E75" s="319">
        <f>MCF!R74</f>
        <v>0.8</v>
      </c>
      <c r="F75" s="87">
        <f t="shared" si="12"/>
        <v>0</v>
      </c>
      <c r="G75" s="87">
        <f t="shared" si="13"/>
        <v>0</v>
      </c>
      <c r="H75" s="87">
        <f t="shared" si="14"/>
        <v>0</v>
      </c>
      <c r="I75" s="87">
        <f t="shared" si="15"/>
        <v>7.1831492101053917E-8</v>
      </c>
      <c r="J75" s="87">
        <f t="shared" si="16"/>
        <v>3.5328501883722134E-8</v>
      </c>
      <c r="K75" s="120">
        <f t="shared" si="6"/>
        <v>2.3552334589148087E-8</v>
      </c>
      <c r="O75" s="116">
        <f>Amnt_Deposited!B70</f>
        <v>2056</v>
      </c>
      <c r="P75" s="119">
        <f>Amnt_Deposited!C70</f>
        <v>0</v>
      </c>
      <c r="Q75" s="319">
        <f>MCF!R74</f>
        <v>0.8</v>
      </c>
      <c r="R75" s="87">
        <f t="shared" si="17"/>
        <v>0</v>
      </c>
      <c r="S75" s="87">
        <f t="shared" si="7"/>
        <v>0</v>
      </c>
      <c r="T75" s="87">
        <f t="shared" si="8"/>
        <v>0</v>
      </c>
      <c r="U75" s="87">
        <f t="shared" si="9"/>
        <v>4.8058536196066407E-8</v>
      </c>
      <c r="V75" s="87">
        <f t="shared" si="10"/>
        <v>2.3636375033712405E-8</v>
      </c>
      <c r="W75" s="120">
        <f t="shared" si="11"/>
        <v>1.575758335580827E-8</v>
      </c>
    </row>
    <row r="76" spans="2:23">
      <c r="B76" s="116">
        <f>Amnt_Deposited!B71</f>
        <v>2057</v>
      </c>
      <c r="C76" s="119">
        <f>Amnt_Deposited!C71</f>
        <v>0</v>
      </c>
      <c r="D76" s="453">
        <f>Dry_Matter_Content!C63</f>
        <v>0.59</v>
      </c>
      <c r="E76" s="319">
        <f>MCF!R75</f>
        <v>0.8</v>
      </c>
      <c r="F76" s="87">
        <f t="shared" si="12"/>
        <v>0</v>
      </c>
      <c r="G76" s="87">
        <f t="shared" si="13"/>
        <v>0</v>
      </c>
      <c r="H76" s="87">
        <f t="shared" si="14"/>
        <v>0</v>
      </c>
      <c r="I76" s="87">
        <f t="shared" si="15"/>
        <v>4.8150089091987126E-8</v>
      </c>
      <c r="J76" s="87">
        <f t="shared" si="16"/>
        <v>2.3681403009066791E-8</v>
      </c>
      <c r="K76" s="120">
        <f t="shared" si="6"/>
        <v>1.5787602006044527E-8</v>
      </c>
      <c r="O76" s="116">
        <f>Amnt_Deposited!B71</f>
        <v>2057</v>
      </c>
      <c r="P76" s="119">
        <f>Amnt_Deposited!C71</f>
        <v>0</v>
      </c>
      <c r="Q76" s="319">
        <f>MCF!R75</f>
        <v>0.8</v>
      </c>
      <c r="R76" s="87">
        <f t="shared" si="17"/>
        <v>0</v>
      </c>
      <c r="S76" s="87">
        <f t="shared" si="7"/>
        <v>0</v>
      </c>
      <c r="T76" s="87">
        <f t="shared" si="8"/>
        <v>0</v>
      </c>
      <c r="U76" s="87">
        <f t="shared" si="9"/>
        <v>3.221460019535267E-8</v>
      </c>
      <c r="V76" s="87">
        <f t="shared" si="10"/>
        <v>1.5843936000713733E-8</v>
      </c>
      <c r="W76" s="120">
        <f t="shared" si="11"/>
        <v>1.0562624000475822E-8</v>
      </c>
    </row>
    <row r="77" spans="2:23">
      <c r="B77" s="116">
        <f>Amnt_Deposited!B72</f>
        <v>2058</v>
      </c>
      <c r="C77" s="119">
        <f>Amnt_Deposited!C72</f>
        <v>0</v>
      </c>
      <c r="D77" s="453">
        <f>Dry_Matter_Content!C64</f>
        <v>0.59</v>
      </c>
      <c r="E77" s="319">
        <f>MCF!R76</f>
        <v>0.8</v>
      </c>
      <c r="F77" s="87">
        <f t="shared" si="12"/>
        <v>0</v>
      </c>
      <c r="G77" s="87">
        <f t="shared" si="13"/>
        <v>0</v>
      </c>
      <c r="H77" s="87">
        <f t="shared" si="14"/>
        <v>0</v>
      </c>
      <c r="I77" s="87">
        <f t="shared" si="15"/>
        <v>3.2275969936760945E-8</v>
      </c>
      <c r="J77" s="87">
        <f t="shared" si="16"/>
        <v>1.5874119155226181E-8</v>
      </c>
      <c r="K77" s="120">
        <f t="shared" si="6"/>
        <v>1.0582746103484121E-8</v>
      </c>
      <c r="O77" s="116">
        <f>Amnt_Deposited!B72</f>
        <v>2058</v>
      </c>
      <c r="P77" s="119">
        <f>Amnt_Deposited!C72</f>
        <v>0</v>
      </c>
      <c r="Q77" s="319">
        <f>MCF!R76</f>
        <v>0.8</v>
      </c>
      <c r="R77" s="87">
        <f t="shared" si="17"/>
        <v>0</v>
      </c>
      <c r="S77" s="87">
        <f t="shared" si="7"/>
        <v>0</v>
      </c>
      <c r="T77" s="87">
        <f t="shared" si="8"/>
        <v>0</v>
      </c>
      <c r="U77" s="87">
        <f t="shared" si="9"/>
        <v>2.1594092285968518E-8</v>
      </c>
      <c r="V77" s="87">
        <f t="shared" si="10"/>
        <v>1.0620507909384152E-8</v>
      </c>
      <c r="W77" s="120">
        <f t="shared" si="11"/>
        <v>7.0803386062561009E-9</v>
      </c>
    </row>
    <row r="78" spans="2:23">
      <c r="B78" s="116">
        <f>Amnt_Deposited!B73</f>
        <v>2059</v>
      </c>
      <c r="C78" s="119">
        <f>Amnt_Deposited!C73</f>
        <v>0</v>
      </c>
      <c r="D78" s="453">
        <f>Dry_Matter_Content!C65</f>
        <v>0.59</v>
      </c>
      <c r="E78" s="319">
        <f>MCF!R77</f>
        <v>0.8</v>
      </c>
      <c r="F78" s="87">
        <f t="shared" si="12"/>
        <v>0</v>
      </c>
      <c r="G78" s="87">
        <f t="shared" si="13"/>
        <v>0</v>
      </c>
      <c r="H78" s="87">
        <f t="shared" si="14"/>
        <v>0</v>
      </c>
      <c r="I78" s="87">
        <f t="shared" si="15"/>
        <v>2.1635229653854509E-8</v>
      </c>
      <c r="J78" s="87">
        <f t="shared" si="16"/>
        <v>1.0640740282906437E-8</v>
      </c>
      <c r="K78" s="120">
        <f t="shared" si="6"/>
        <v>7.0938268552709577E-9</v>
      </c>
      <c r="O78" s="116">
        <f>Amnt_Deposited!B73</f>
        <v>2059</v>
      </c>
      <c r="P78" s="119">
        <f>Amnt_Deposited!C73</f>
        <v>0</v>
      </c>
      <c r="Q78" s="319">
        <f>MCF!R77</f>
        <v>0.8</v>
      </c>
      <c r="R78" s="87">
        <f t="shared" si="17"/>
        <v>0</v>
      </c>
      <c r="S78" s="87">
        <f t="shared" si="7"/>
        <v>0</v>
      </c>
      <c r="T78" s="87">
        <f t="shared" si="8"/>
        <v>0</v>
      </c>
      <c r="U78" s="87">
        <f t="shared" si="9"/>
        <v>1.4474952935228261E-8</v>
      </c>
      <c r="V78" s="87">
        <f t="shared" si="10"/>
        <v>7.1191393507402568E-9</v>
      </c>
      <c r="W78" s="120">
        <f t="shared" si="11"/>
        <v>4.746092900493504E-9</v>
      </c>
    </row>
    <row r="79" spans="2:23">
      <c r="B79" s="116">
        <f>Amnt_Deposited!B74</f>
        <v>2060</v>
      </c>
      <c r="C79" s="119">
        <f>Amnt_Deposited!C74</f>
        <v>0</v>
      </c>
      <c r="D79" s="453">
        <f>Dry_Matter_Content!C66</f>
        <v>0.59</v>
      </c>
      <c r="E79" s="319">
        <f>MCF!R78</f>
        <v>0.8</v>
      </c>
      <c r="F79" s="87">
        <f t="shared" si="12"/>
        <v>0</v>
      </c>
      <c r="G79" s="87">
        <f t="shared" si="13"/>
        <v>0</v>
      </c>
      <c r="H79" s="87">
        <f t="shared" si="14"/>
        <v>0</v>
      </c>
      <c r="I79" s="87">
        <f t="shared" si="15"/>
        <v>1.4502528137563383E-8</v>
      </c>
      <c r="J79" s="87">
        <f t="shared" si="16"/>
        <v>7.1327015162911253E-9</v>
      </c>
      <c r="K79" s="120">
        <f t="shared" si="6"/>
        <v>4.755134344194083E-9</v>
      </c>
      <c r="O79" s="116">
        <f>Amnt_Deposited!B74</f>
        <v>2060</v>
      </c>
      <c r="P79" s="119">
        <f>Amnt_Deposited!C74</f>
        <v>0</v>
      </c>
      <c r="Q79" s="319">
        <f>MCF!R78</f>
        <v>0.8</v>
      </c>
      <c r="R79" s="87">
        <f t="shared" si="17"/>
        <v>0</v>
      </c>
      <c r="S79" s="87">
        <f t="shared" si="7"/>
        <v>0</v>
      </c>
      <c r="T79" s="87">
        <f t="shared" si="8"/>
        <v>0</v>
      </c>
      <c r="U79" s="87">
        <f t="shared" si="9"/>
        <v>9.7028511179059206E-9</v>
      </c>
      <c r="V79" s="87">
        <f t="shared" si="10"/>
        <v>4.7721018173223406E-9</v>
      </c>
      <c r="W79" s="120">
        <f t="shared" si="11"/>
        <v>3.1814012115482269E-9</v>
      </c>
    </row>
    <row r="80" spans="2:23">
      <c r="B80" s="116">
        <f>Amnt_Deposited!B75</f>
        <v>2061</v>
      </c>
      <c r="C80" s="119">
        <f>Amnt_Deposited!C75</f>
        <v>0</v>
      </c>
      <c r="D80" s="453">
        <f>Dry_Matter_Content!C67</f>
        <v>0.59</v>
      </c>
      <c r="E80" s="319">
        <f>MCF!R79</f>
        <v>0.8</v>
      </c>
      <c r="F80" s="87">
        <f t="shared" si="12"/>
        <v>0</v>
      </c>
      <c r="G80" s="87">
        <f t="shared" si="13"/>
        <v>0</v>
      </c>
      <c r="H80" s="87">
        <f t="shared" si="14"/>
        <v>0</v>
      </c>
      <c r="I80" s="87">
        <f t="shared" si="15"/>
        <v>9.7213353288046416E-9</v>
      </c>
      <c r="J80" s="87">
        <f t="shared" si="16"/>
        <v>4.7811928087587411E-9</v>
      </c>
      <c r="K80" s="120">
        <f t="shared" si="6"/>
        <v>3.1874618725058274E-9</v>
      </c>
      <c r="O80" s="116">
        <f>Amnt_Deposited!B75</f>
        <v>2061</v>
      </c>
      <c r="P80" s="119">
        <f>Amnt_Deposited!C75</f>
        <v>0</v>
      </c>
      <c r="Q80" s="319">
        <f>MCF!R79</f>
        <v>0.8</v>
      </c>
      <c r="R80" s="87">
        <f t="shared" si="17"/>
        <v>0</v>
      </c>
      <c r="S80" s="87">
        <f t="shared" si="7"/>
        <v>0</v>
      </c>
      <c r="T80" s="87">
        <f t="shared" si="8"/>
        <v>0</v>
      </c>
      <c r="U80" s="87">
        <f t="shared" si="9"/>
        <v>6.5040156080316515E-9</v>
      </c>
      <c r="V80" s="87">
        <f t="shared" si="10"/>
        <v>3.1988355098742695E-9</v>
      </c>
      <c r="W80" s="120">
        <f t="shared" si="11"/>
        <v>2.1325570065828462E-9</v>
      </c>
    </row>
    <row r="81" spans="2:23">
      <c r="B81" s="116">
        <f>Amnt_Deposited!B76</f>
        <v>2062</v>
      </c>
      <c r="C81" s="119">
        <f>Amnt_Deposited!C76</f>
        <v>0</v>
      </c>
      <c r="D81" s="453">
        <f>Dry_Matter_Content!C68</f>
        <v>0.59</v>
      </c>
      <c r="E81" s="319">
        <f>MCF!R80</f>
        <v>0.8</v>
      </c>
      <c r="F81" s="87">
        <f t="shared" si="12"/>
        <v>0</v>
      </c>
      <c r="G81" s="87">
        <f t="shared" si="13"/>
        <v>0</v>
      </c>
      <c r="H81" s="87">
        <f t="shared" si="14"/>
        <v>0</v>
      </c>
      <c r="I81" s="87">
        <f t="shared" si="15"/>
        <v>6.5164059451322148E-9</v>
      </c>
      <c r="J81" s="87">
        <f t="shared" si="16"/>
        <v>3.2049293836724273E-9</v>
      </c>
      <c r="K81" s="120">
        <f t="shared" si="6"/>
        <v>2.1366195891149515E-9</v>
      </c>
      <c r="O81" s="116">
        <f>Amnt_Deposited!B76</f>
        <v>2062</v>
      </c>
      <c r="P81" s="119">
        <f>Amnt_Deposited!C76</f>
        <v>0</v>
      </c>
      <c r="Q81" s="319">
        <f>MCF!R80</f>
        <v>0.8</v>
      </c>
      <c r="R81" s="87">
        <f t="shared" si="17"/>
        <v>0</v>
      </c>
      <c r="S81" s="87">
        <f t="shared" si="7"/>
        <v>0</v>
      </c>
      <c r="T81" s="87">
        <f t="shared" si="8"/>
        <v>0</v>
      </c>
      <c r="U81" s="87">
        <f t="shared" si="9"/>
        <v>4.3597720417922937E-9</v>
      </c>
      <c r="V81" s="87">
        <f t="shared" si="10"/>
        <v>2.1442435662393582E-9</v>
      </c>
      <c r="W81" s="120">
        <f t="shared" si="11"/>
        <v>1.4294957108262387E-9</v>
      </c>
    </row>
    <row r="82" spans="2:23">
      <c r="B82" s="116">
        <f>Amnt_Deposited!B77</f>
        <v>2063</v>
      </c>
      <c r="C82" s="119">
        <f>Amnt_Deposited!C77</f>
        <v>0</v>
      </c>
      <c r="D82" s="453">
        <f>Dry_Matter_Content!C69</f>
        <v>0.59</v>
      </c>
      <c r="E82" s="319">
        <f>MCF!R81</f>
        <v>0.8</v>
      </c>
      <c r="F82" s="87">
        <f t="shared" si="12"/>
        <v>0</v>
      </c>
      <c r="G82" s="87">
        <f t="shared" si="13"/>
        <v>0</v>
      </c>
      <c r="H82" s="87">
        <f t="shared" si="14"/>
        <v>0</v>
      </c>
      <c r="I82" s="87">
        <f t="shared" si="15"/>
        <v>4.3680775331279397E-9</v>
      </c>
      <c r="J82" s="87">
        <f t="shared" si="16"/>
        <v>2.1483284120042747E-9</v>
      </c>
      <c r="K82" s="120">
        <f t="shared" si="6"/>
        <v>1.432218941336183E-9</v>
      </c>
      <c r="O82" s="116">
        <f>Amnt_Deposited!B77</f>
        <v>2063</v>
      </c>
      <c r="P82" s="119">
        <f>Amnt_Deposited!C77</f>
        <v>0</v>
      </c>
      <c r="Q82" s="319">
        <f>MCF!R81</f>
        <v>0.8</v>
      </c>
      <c r="R82" s="87">
        <f t="shared" si="17"/>
        <v>0</v>
      </c>
      <c r="S82" s="87">
        <f t="shared" si="7"/>
        <v>0</v>
      </c>
      <c r="T82" s="87">
        <f t="shared" si="8"/>
        <v>0</v>
      </c>
      <c r="U82" s="87">
        <f t="shared" si="9"/>
        <v>2.9224425957591034E-9</v>
      </c>
      <c r="V82" s="87">
        <f t="shared" si="10"/>
        <v>1.4373294460331901E-9</v>
      </c>
      <c r="W82" s="120">
        <f t="shared" si="11"/>
        <v>9.5821963068879333E-10</v>
      </c>
    </row>
    <row r="83" spans="2:23">
      <c r="B83" s="116">
        <f>Amnt_Deposited!B78</f>
        <v>2064</v>
      </c>
      <c r="C83" s="119">
        <f>Amnt_Deposited!C78</f>
        <v>0</v>
      </c>
      <c r="D83" s="453">
        <f>Dry_Matter_Content!C70</f>
        <v>0.59</v>
      </c>
      <c r="E83" s="319">
        <f>MCF!R82</f>
        <v>0.8</v>
      </c>
      <c r="F83" s="87">
        <f t="shared" ref="F83:F99" si="18">C83*D83*$K$6*DOCF*E83</f>
        <v>0</v>
      </c>
      <c r="G83" s="87">
        <f t="shared" ref="G83:G99" si="19">F83*$K$12</f>
        <v>0</v>
      </c>
      <c r="H83" s="87">
        <f t="shared" ref="H83:H99" si="20">F83*(1-$K$12)</f>
        <v>0</v>
      </c>
      <c r="I83" s="87">
        <f t="shared" ref="I83:I99" si="21">G83+I82*$K$10</f>
        <v>2.9280099330935624E-9</v>
      </c>
      <c r="J83" s="87">
        <f t="shared" ref="J83:J99" si="22">I82*(1-$K$10)+H83</f>
        <v>1.4400676000343772E-9</v>
      </c>
      <c r="K83" s="120">
        <f t="shared" si="6"/>
        <v>9.6004506668958469E-10</v>
      </c>
      <c r="O83" s="116">
        <f>Amnt_Deposited!B78</f>
        <v>2064</v>
      </c>
      <c r="P83" s="119">
        <f>Amnt_Deposited!C78</f>
        <v>0</v>
      </c>
      <c r="Q83" s="319">
        <f>MCF!R82</f>
        <v>0.8</v>
      </c>
      <c r="R83" s="87">
        <f t="shared" ref="R83:R99" si="23">P83*$W$6*DOCF*Q83</f>
        <v>0</v>
      </c>
      <c r="S83" s="87">
        <f t="shared" si="7"/>
        <v>0</v>
      </c>
      <c r="T83" s="87">
        <f t="shared" si="8"/>
        <v>0</v>
      </c>
      <c r="U83" s="87">
        <f t="shared" si="9"/>
        <v>1.9589718553257553E-9</v>
      </c>
      <c r="V83" s="87">
        <f t="shared" si="10"/>
        <v>9.634707404333479E-10</v>
      </c>
      <c r="W83" s="120">
        <f t="shared" si="11"/>
        <v>6.423138269555652E-10</v>
      </c>
    </row>
    <row r="84" spans="2:23">
      <c r="B84" s="116">
        <f>Amnt_Deposited!B79</f>
        <v>2065</v>
      </c>
      <c r="C84" s="119">
        <f>Amnt_Deposited!C79</f>
        <v>0</v>
      </c>
      <c r="D84" s="453">
        <f>Dry_Matter_Content!C71</f>
        <v>0.59</v>
      </c>
      <c r="E84" s="319">
        <f>MCF!R83</f>
        <v>0.8</v>
      </c>
      <c r="F84" s="87">
        <f t="shared" si="18"/>
        <v>0</v>
      </c>
      <c r="G84" s="87">
        <f t="shared" si="19"/>
        <v>0</v>
      </c>
      <c r="H84" s="87">
        <f t="shared" si="20"/>
        <v>0</v>
      </c>
      <c r="I84" s="87">
        <f t="shared" si="21"/>
        <v>1.962703753144086E-9</v>
      </c>
      <c r="J84" s="87">
        <f t="shared" si="22"/>
        <v>9.6530617994947642E-10</v>
      </c>
      <c r="K84" s="120">
        <f t="shared" si="6"/>
        <v>6.4353745329965091E-10</v>
      </c>
      <c r="O84" s="116">
        <f>Amnt_Deposited!B79</f>
        <v>2065</v>
      </c>
      <c r="P84" s="119">
        <f>Amnt_Deposited!C79</f>
        <v>0</v>
      </c>
      <c r="Q84" s="319">
        <f>MCF!R83</f>
        <v>0.8</v>
      </c>
      <c r="R84" s="87">
        <f t="shared" si="23"/>
        <v>0</v>
      </c>
      <c r="S84" s="87">
        <f t="shared" si="7"/>
        <v>0</v>
      </c>
      <c r="T84" s="87">
        <f t="shared" si="8"/>
        <v>0</v>
      </c>
      <c r="U84" s="87">
        <f t="shared" si="9"/>
        <v>1.313138104244482E-9</v>
      </c>
      <c r="V84" s="87">
        <f t="shared" si="10"/>
        <v>6.4583375108127322E-10</v>
      </c>
      <c r="W84" s="120">
        <f t="shared" si="11"/>
        <v>4.3055583405418211E-10</v>
      </c>
    </row>
    <row r="85" spans="2:23">
      <c r="B85" s="116">
        <f>Amnt_Deposited!B80</f>
        <v>2066</v>
      </c>
      <c r="C85" s="119">
        <f>Amnt_Deposited!C80</f>
        <v>0</v>
      </c>
      <c r="D85" s="453">
        <f>Dry_Matter_Content!C72</f>
        <v>0.59</v>
      </c>
      <c r="E85" s="319">
        <f>MCF!R84</f>
        <v>0.8</v>
      </c>
      <c r="F85" s="87">
        <f t="shared" si="18"/>
        <v>0</v>
      </c>
      <c r="G85" s="87">
        <f t="shared" si="19"/>
        <v>0</v>
      </c>
      <c r="H85" s="87">
        <f t="shared" si="20"/>
        <v>0</v>
      </c>
      <c r="I85" s="87">
        <f t="shared" si="21"/>
        <v>1.3156396701618658E-9</v>
      </c>
      <c r="J85" s="87">
        <f t="shared" si="22"/>
        <v>6.4706408298222022E-10</v>
      </c>
      <c r="K85" s="120">
        <f t="shared" ref="K85:K99" si="24">J85*CH4_fraction*conv</f>
        <v>4.3137605532148014E-10</v>
      </c>
      <c r="O85" s="116">
        <f>Amnt_Deposited!B80</f>
        <v>2066</v>
      </c>
      <c r="P85" s="119">
        <f>Amnt_Deposited!C80</f>
        <v>0</v>
      </c>
      <c r="Q85" s="319">
        <f>MCF!R84</f>
        <v>0.8</v>
      </c>
      <c r="R85" s="87">
        <f t="shared" si="23"/>
        <v>0</v>
      </c>
      <c r="S85" s="87">
        <f t="shared" ref="S85:S98" si="25">R85*$W$12</f>
        <v>0</v>
      </c>
      <c r="T85" s="87">
        <f t="shared" ref="T85:T98" si="26">R85*(1-$W$12)</f>
        <v>0</v>
      </c>
      <c r="U85" s="87">
        <f t="shared" ref="U85:U98" si="27">S85+U84*$W$10</f>
        <v>8.8022279448831334E-10</v>
      </c>
      <c r="V85" s="87">
        <f t="shared" ref="V85:V98" si="28">U84*(1-$W$10)+T85</f>
        <v>4.3291530975616865E-10</v>
      </c>
      <c r="W85" s="120">
        <f t="shared" ref="W85:W99" si="29">V85*CH4_fraction*conv</f>
        <v>2.8861020650411243E-10</v>
      </c>
    </row>
    <row r="86" spans="2:23">
      <c r="B86" s="116">
        <f>Amnt_Deposited!B81</f>
        <v>2067</v>
      </c>
      <c r="C86" s="119">
        <f>Amnt_Deposited!C81</f>
        <v>0</v>
      </c>
      <c r="D86" s="453">
        <f>Dry_Matter_Content!C73</f>
        <v>0.59</v>
      </c>
      <c r="E86" s="319">
        <f>MCF!R85</f>
        <v>0.8</v>
      </c>
      <c r="F86" s="87">
        <f t="shared" si="18"/>
        <v>0</v>
      </c>
      <c r="G86" s="87">
        <f t="shared" si="19"/>
        <v>0</v>
      </c>
      <c r="H86" s="87">
        <f t="shared" si="20"/>
        <v>0</v>
      </c>
      <c r="I86" s="87">
        <f t="shared" si="21"/>
        <v>8.8189964426921519E-10</v>
      </c>
      <c r="J86" s="87">
        <f t="shared" si="22"/>
        <v>4.3374002589265056E-10</v>
      </c>
      <c r="K86" s="120">
        <f t="shared" si="24"/>
        <v>2.8916001726176701E-10</v>
      </c>
      <c r="O86" s="116">
        <f>Amnt_Deposited!B81</f>
        <v>2067</v>
      </c>
      <c r="P86" s="119">
        <f>Amnt_Deposited!C81</f>
        <v>0</v>
      </c>
      <c r="Q86" s="319">
        <f>MCF!R85</f>
        <v>0.8</v>
      </c>
      <c r="R86" s="87">
        <f t="shared" si="23"/>
        <v>0</v>
      </c>
      <c r="S86" s="87">
        <f t="shared" si="25"/>
        <v>0</v>
      </c>
      <c r="T86" s="87">
        <f t="shared" si="26"/>
        <v>0</v>
      </c>
      <c r="U86" s="87">
        <f t="shared" si="27"/>
        <v>5.9003098412302531E-10</v>
      </c>
      <c r="V86" s="87">
        <f t="shared" si="28"/>
        <v>2.9019181036528803E-10</v>
      </c>
      <c r="W86" s="120">
        <f t="shared" si="29"/>
        <v>1.9346120691019202E-10</v>
      </c>
    </row>
    <row r="87" spans="2:23">
      <c r="B87" s="116">
        <f>Amnt_Deposited!B82</f>
        <v>2068</v>
      </c>
      <c r="C87" s="119">
        <f>Amnt_Deposited!C82</f>
        <v>0</v>
      </c>
      <c r="D87" s="453">
        <f>Dry_Matter_Content!C74</f>
        <v>0.59</v>
      </c>
      <c r="E87" s="319">
        <f>MCF!R86</f>
        <v>0.8</v>
      </c>
      <c r="F87" s="87">
        <f t="shared" si="18"/>
        <v>0</v>
      </c>
      <c r="G87" s="87">
        <f t="shared" si="19"/>
        <v>0</v>
      </c>
      <c r="H87" s="87">
        <f t="shared" si="20"/>
        <v>0</v>
      </c>
      <c r="I87" s="87">
        <f t="shared" si="21"/>
        <v>5.911550101453543E-10</v>
      </c>
      <c r="J87" s="87">
        <f t="shared" si="22"/>
        <v>2.9074463412386093E-10</v>
      </c>
      <c r="K87" s="120">
        <f t="shared" si="24"/>
        <v>1.9382975608257396E-10</v>
      </c>
      <c r="O87" s="116">
        <f>Amnt_Deposited!B82</f>
        <v>2068</v>
      </c>
      <c r="P87" s="119">
        <f>Amnt_Deposited!C82</f>
        <v>0</v>
      </c>
      <c r="Q87" s="319">
        <f>MCF!R86</f>
        <v>0.8</v>
      </c>
      <c r="R87" s="87">
        <f t="shared" si="23"/>
        <v>0</v>
      </c>
      <c r="S87" s="87">
        <f t="shared" si="25"/>
        <v>0</v>
      </c>
      <c r="T87" s="87">
        <f t="shared" si="26"/>
        <v>0</v>
      </c>
      <c r="U87" s="87">
        <f t="shared" si="27"/>
        <v>3.955095964397999E-10</v>
      </c>
      <c r="V87" s="87">
        <f t="shared" si="28"/>
        <v>1.9452138768322541E-10</v>
      </c>
      <c r="W87" s="120">
        <f t="shared" si="29"/>
        <v>1.2968092512215027E-10</v>
      </c>
    </row>
    <row r="88" spans="2:23">
      <c r="B88" s="116">
        <f>Amnt_Deposited!B83</f>
        <v>2069</v>
      </c>
      <c r="C88" s="119">
        <f>Amnt_Deposited!C83</f>
        <v>0</v>
      </c>
      <c r="D88" s="453">
        <f>Dry_Matter_Content!C75</f>
        <v>0.59</v>
      </c>
      <c r="E88" s="319">
        <f>MCF!R87</f>
        <v>0.8</v>
      </c>
      <c r="F88" s="87">
        <f t="shared" si="18"/>
        <v>0</v>
      </c>
      <c r="G88" s="87">
        <f t="shared" si="19"/>
        <v>0</v>
      </c>
      <c r="H88" s="87">
        <f t="shared" si="20"/>
        <v>0</v>
      </c>
      <c r="I88" s="87">
        <f t="shared" si="21"/>
        <v>3.9626305361483271E-10</v>
      </c>
      <c r="J88" s="87">
        <f t="shared" si="22"/>
        <v>1.9489195653052157E-10</v>
      </c>
      <c r="K88" s="120">
        <f t="shared" si="24"/>
        <v>1.299279710203477E-10</v>
      </c>
      <c r="O88" s="116">
        <f>Amnt_Deposited!B83</f>
        <v>2069</v>
      </c>
      <c r="P88" s="119">
        <f>Amnt_Deposited!C83</f>
        <v>0</v>
      </c>
      <c r="Q88" s="319">
        <f>MCF!R87</f>
        <v>0.8</v>
      </c>
      <c r="R88" s="87">
        <f t="shared" si="23"/>
        <v>0</v>
      </c>
      <c r="S88" s="87">
        <f t="shared" si="25"/>
        <v>0</v>
      </c>
      <c r="T88" s="87">
        <f t="shared" si="26"/>
        <v>0</v>
      </c>
      <c r="U88" s="87">
        <f t="shared" si="27"/>
        <v>2.6511801089306378E-10</v>
      </c>
      <c r="V88" s="87">
        <f t="shared" si="28"/>
        <v>1.3039158554673609E-10</v>
      </c>
      <c r="W88" s="120">
        <f t="shared" si="29"/>
        <v>8.6927723697824055E-11</v>
      </c>
    </row>
    <row r="89" spans="2:23">
      <c r="B89" s="116">
        <f>Amnt_Deposited!B84</f>
        <v>2070</v>
      </c>
      <c r="C89" s="119">
        <f>Amnt_Deposited!C84</f>
        <v>0</v>
      </c>
      <c r="D89" s="453">
        <f>Dry_Matter_Content!C76</f>
        <v>0.59</v>
      </c>
      <c r="E89" s="319">
        <f>MCF!R88</f>
        <v>0.8</v>
      </c>
      <c r="F89" s="87">
        <f t="shared" si="18"/>
        <v>0</v>
      </c>
      <c r="G89" s="87">
        <f t="shared" si="19"/>
        <v>0</v>
      </c>
      <c r="H89" s="87">
        <f t="shared" si="20"/>
        <v>0</v>
      </c>
      <c r="I89" s="87">
        <f t="shared" si="21"/>
        <v>2.6562306834131767E-10</v>
      </c>
      <c r="J89" s="87">
        <f t="shared" si="22"/>
        <v>1.3063998527351504E-10</v>
      </c>
      <c r="K89" s="120">
        <f t="shared" si="24"/>
        <v>8.7093323515676691E-11</v>
      </c>
      <c r="O89" s="116">
        <f>Amnt_Deposited!B84</f>
        <v>2070</v>
      </c>
      <c r="P89" s="119">
        <f>Amnt_Deposited!C84</f>
        <v>0</v>
      </c>
      <c r="Q89" s="319">
        <f>MCF!R88</f>
        <v>0.8</v>
      </c>
      <c r="R89" s="87">
        <f t="shared" si="23"/>
        <v>0</v>
      </c>
      <c r="S89" s="87">
        <f t="shared" si="25"/>
        <v>0</v>
      </c>
      <c r="T89" s="87">
        <f t="shared" si="26"/>
        <v>0</v>
      </c>
      <c r="U89" s="87">
        <f t="shared" si="27"/>
        <v>1.7771391726671563E-10</v>
      </c>
      <c r="V89" s="87">
        <f t="shared" si="28"/>
        <v>8.7404093626348133E-11</v>
      </c>
      <c r="W89" s="120">
        <f t="shared" si="29"/>
        <v>5.8269395750898756E-11</v>
      </c>
    </row>
    <row r="90" spans="2:23">
      <c r="B90" s="116">
        <f>Amnt_Deposited!B85</f>
        <v>2071</v>
      </c>
      <c r="C90" s="119">
        <f>Amnt_Deposited!C85</f>
        <v>0</v>
      </c>
      <c r="D90" s="453">
        <f>Dry_Matter_Content!C77</f>
        <v>0.59</v>
      </c>
      <c r="E90" s="319">
        <f>MCF!R89</f>
        <v>0.8</v>
      </c>
      <c r="F90" s="87">
        <f t="shared" si="18"/>
        <v>0</v>
      </c>
      <c r="G90" s="87">
        <f t="shared" si="19"/>
        <v>0</v>
      </c>
      <c r="H90" s="87">
        <f t="shared" si="20"/>
        <v>0</v>
      </c>
      <c r="I90" s="87">
        <f t="shared" si="21"/>
        <v>1.7805246739867984E-10</v>
      </c>
      <c r="J90" s="87">
        <f t="shared" si="22"/>
        <v>8.7570600942637835E-11</v>
      </c>
      <c r="K90" s="120">
        <f t="shared" si="24"/>
        <v>5.8380400628425223E-11</v>
      </c>
      <c r="O90" s="116">
        <f>Amnt_Deposited!B85</f>
        <v>2071</v>
      </c>
      <c r="P90" s="119">
        <f>Amnt_Deposited!C85</f>
        <v>0</v>
      </c>
      <c r="Q90" s="319">
        <f>MCF!R89</f>
        <v>0.8</v>
      </c>
      <c r="R90" s="87">
        <f t="shared" si="23"/>
        <v>0</v>
      </c>
      <c r="S90" s="87">
        <f t="shared" si="25"/>
        <v>0</v>
      </c>
      <c r="T90" s="87">
        <f t="shared" si="26"/>
        <v>0</v>
      </c>
      <c r="U90" s="87">
        <f t="shared" si="27"/>
        <v>1.1912520120339862E-10</v>
      </c>
      <c r="V90" s="87">
        <f t="shared" si="28"/>
        <v>5.8588716063317015E-11</v>
      </c>
      <c r="W90" s="120">
        <f t="shared" si="29"/>
        <v>3.9059144042211339E-11</v>
      </c>
    </row>
    <row r="91" spans="2:23">
      <c r="B91" s="116">
        <f>Amnt_Deposited!B86</f>
        <v>2072</v>
      </c>
      <c r="C91" s="119">
        <f>Amnt_Deposited!C86</f>
        <v>0</v>
      </c>
      <c r="D91" s="453">
        <f>Dry_Matter_Content!C78</f>
        <v>0.59</v>
      </c>
      <c r="E91" s="319">
        <f>MCF!R90</f>
        <v>0.8</v>
      </c>
      <c r="F91" s="87">
        <f t="shared" si="18"/>
        <v>0</v>
      </c>
      <c r="G91" s="87">
        <f t="shared" si="19"/>
        <v>0</v>
      </c>
      <c r="H91" s="87">
        <f t="shared" si="20"/>
        <v>0</v>
      </c>
      <c r="I91" s="87">
        <f t="shared" si="21"/>
        <v>1.1935213814344223E-10</v>
      </c>
      <c r="J91" s="87">
        <f t="shared" si="22"/>
        <v>5.8700329255237594E-11</v>
      </c>
      <c r="K91" s="120">
        <f t="shared" si="24"/>
        <v>3.913355283682506E-11</v>
      </c>
      <c r="O91" s="116">
        <f>Amnt_Deposited!B86</f>
        <v>2072</v>
      </c>
      <c r="P91" s="119">
        <f>Amnt_Deposited!C86</f>
        <v>0</v>
      </c>
      <c r="Q91" s="319">
        <f>MCF!R90</f>
        <v>0.8</v>
      </c>
      <c r="R91" s="87">
        <f t="shared" si="23"/>
        <v>0</v>
      </c>
      <c r="S91" s="87">
        <f t="shared" si="25"/>
        <v>0</v>
      </c>
      <c r="T91" s="87">
        <f t="shared" si="26"/>
        <v>0</v>
      </c>
      <c r="U91" s="87">
        <f t="shared" si="27"/>
        <v>7.9852010354666959E-11</v>
      </c>
      <c r="V91" s="87">
        <f t="shared" si="28"/>
        <v>3.9273190848731657E-11</v>
      </c>
      <c r="W91" s="120">
        <f t="shared" si="29"/>
        <v>2.6182127232487771E-11</v>
      </c>
    </row>
    <row r="92" spans="2:23">
      <c r="B92" s="116">
        <f>Amnt_Deposited!B87</f>
        <v>2073</v>
      </c>
      <c r="C92" s="119">
        <f>Amnt_Deposited!C87</f>
        <v>0</v>
      </c>
      <c r="D92" s="453">
        <f>Dry_Matter_Content!C79</f>
        <v>0.59</v>
      </c>
      <c r="E92" s="319">
        <f>MCF!R91</f>
        <v>0.8</v>
      </c>
      <c r="F92" s="87">
        <f t="shared" si="18"/>
        <v>0</v>
      </c>
      <c r="G92" s="87">
        <f t="shared" si="19"/>
        <v>0</v>
      </c>
      <c r="H92" s="87">
        <f t="shared" si="20"/>
        <v>0</v>
      </c>
      <c r="I92" s="87">
        <f t="shared" si="21"/>
        <v>8.0004130734764183E-11</v>
      </c>
      <c r="J92" s="87">
        <f t="shared" si="22"/>
        <v>3.9348007408678047E-11</v>
      </c>
      <c r="K92" s="120">
        <f t="shared" si="24"/>
        <v>2.6232004939118696E-11</v>
      </c>
      <c r="O92" s="116">
        <f>Amnt_Deposited!B87</f>
        <v>2073</v>
      </c>
      <c r="P92" s="119">
        <f>Amnt_Deposited!C87</f>
        <v>0</v>
      </c>
      <c r="Q92" s="319">
        <f>MCF!R91</f>
        <v>0.8</v>
      </c>
      <c r="R92" s="87">
        <f t="shared" si="23"/>
        <v>0</v>
      </c>
      <c r="S92" s="87">
        <f t="shared" si="25"/>
        <v>0</v>
      </c>
      <c r="T92" s="87">
        <f t="shared" si="26"/>
        <v>0</v>
      </c>
      <c r="U92" s="87">
        <f t="shared" si="27"/>
        <v>5.3526403256978701E-11</v>
      </c>
      <c r="V92" s="87">
        <f t="shared" si="28"/>
        <v>2.6325607097688255E-11</v>
      </c>
      <c r="W92" s="120">
        <f t="shared" si="29"/>
        <v>1.7550404731792168E-11</v>
      </c>
    </row>
    <row r="93" spans="2:23">
      <c r="B93" s="116">
        <f>Amnt_Deposited!B88</f>
        <v>2074</v>
      </c>
      <c r="C93" s="119">
        <f>Amnt_Deposited!C88</f>
        <v>0</v>
      </c>
      <c r="D93" s="453">
        <f>Dry_Matter_Content!C80</f>
        <v>0.59</v>
      </c>
      <c r="E93" s="319">
        <f>MCF!R92</f>
        <v>0.8</v>
      </c>
      <c r="F93" s="87">
        <f t="shared" si="18"/>
        <v>0</v>
      </c>
      <c r="G93" s="87">
        <f t="shared" si="19"/>
        <v>0</v>
      </c>
      <c r="H93" s="87">
        <f t="shared" si="20"/>
        <v>0</v>
      </c>
      <c r="I93" s="87">
        <f t="shared" si="21"/>
        <v>5.3628372597168435E-11</v>
      </c>
      <c r="J93" s="87">
        <f t="shared" si="22"/>
        <v>2.6375758137595747E-11</v>
      </c>
      <c r="K93" s="120">
        <f t="shared" si="24"/>
        <v>1.7583838758397163E-11</v>
      </c>
      <c r="O93" s="116">
        <f>Amnt_Deposited!B88</f>
        <v>2074</v>
      </c>
      <c r="P93" s="119">
        <f>Amnt_Deposited!C88</f>
        <v>0</v>
      </c>
      <c r="Q93" s="319">
        <f>MCF!R92</f>
        <v>0.8</v>
      </c>
      <c r="R93" s="87">
        <f t="shared" si="23"/>
        <v>0</v>
      </c>
      <c r="S93" s="87">
        <f t="shared" si="25"/>
        <v>0</v>
      </c>
      <c r="T93" s="87">
        <f t="shared" si="26"/>
        <v>0</v>
      </c>
      <c r="U93" s="87">
        <f t="shared" si="27"/>
        <v>3.5879821095340155E-11</v>
      </c>
      <c r="V93" s="87">
        <f t="shared" si="28"/>
        <v>1.7646582161638542E-11</v>
      </c>
      <c r="W93" s="120">
        <f t="shared" si="29"/>
        <v>1.1764388107759028E-11</v>
      </c>
    </row>
    <row r="94" spans="2:23">
      <c r="B94" s="116">
        <f>Amnt_Deposited!B89</f>
        <v>2075</v>
      </c>
      <c r="C94" s="119">
        <f>Amnt_Deposited!C89</f>
        <v>0</v>
      </c>
      <c r="D94" s="453">
        <f>Dry_Matter_Content!C81</f>
        <v>0.59</v>
      </c>
      <c r="E94" s="319">
        <f>MCF!R93</f>
        <v>0.8</v>
      </c>
      <c r="F94" s="87">
        <f t="shared" si="18"/>
        <v>0</v>
      </c>
      <c r="G94" s="87">
        <f t="shared" si="19"/>
        <v>0</v>
      </c>
      <c r="H94" s="87">
        <f t="shared" si="20"/>
        <v>0</v>
      </c>
      <c r="I94" s="87">
        <f t="shared" si="21"/>
        <v>3.5948173188150361E-11</v>
      </c>
      <c r="J94" s="87">
        <f t="shared" si="22"/>
        <v>1.7680199409018071E-11</v>
      </c>
      <c r="K94" s="120">
        <f t="shared" si="24"/>
        <v>1.1786799606012047E-11</v>
      </c>
      <c r="O94" s="116">
        <f>Amnt_Deposited!B89</f>
        <v>2075</v>
      </c>
      <c r="P94" s="119">
        <f>Amnt_Deposited!C89</f>
        <v>0</v>
      </c>
      <c r="Q94" s="319">
        <f>MCF!R93</f>
        <v>0.8</v>
      </c>
      <c r="R94" s="87">
        <f t="shared" si="23"/>
        <v>0</v>
      </c>
      <c r="S94" s="87">
        <f t="shared" si="25"/>
        <v>0</v>
      </c>
      <c r="T94" s="87">
        <f t="shared" si="26"/>
        <v>0</v>
      </c>
      <c r="U94" s="87">
        <f t="shared" si="27"/>
        <v>2.4050963328378916E-11</v>
      </c>
      <c r="V94" s="87">
        <f t="shared" si="28"/>
        <v>1.1828857766961239E-11</v>
      </c>
      <c r="W94" s="120">
        <f t="shared" si="29"/>
        <v>7.8859051779741589E-12</v>
      </c>
    </row>
    <row r="95" spans="2:23">
      <c r="B95" s="116">
        <f>Amnt_Deposited!B90</f>
        <v>2076</v>
      </c>
      <c r="C95" s="119">
        <f>Amnt_Deposited!C90</f>
        <v>0</v>
      </c>
      <c r="D95" s="453">
        <f>Dry_Matter_Content!C82</f>
        <v>0.59</v>
      </c>
      <c r="E95" s="319">
        <f>MCF!R94</f>
        <v>0.8</v>
      </c>
      <c r="F95" s="87">
        <f t="shared" si="18"/>
        <v>0</v>
      </c>
      <c r="G95" s="87">
        <f t="shared" si="19"/>
        <v>0</v>
      </c>
      <c r="H95" s="87">
        <f t="shared" si="20"/>
        <v>0</v>
      </c>
      <c r="I95" s="87">
        <f t="shared" si="21"/>
        <v>2.4096781106378085E-11</v>
      </c>
      <c r="J95" s="87">
        <f t="shared" si="22"/>
        <v>1.1851392081772276E-11</v>
      </c>
      <c r="K95" s="120">
        <f t="shared" si="24"/>
        <v>7.9009280545148496E-12</v>
      </c>
      <c r="O95" s="116">
        <f>Amnt_Deposited!B90</f>
        <v>2076</v>
      </c>
      <c r="P95" s="119">
        <f>Amnt_Deposited!C90</f>
        <v>0</v>
      </c>
      <c r="Q95" s="319">
        <f>MCF!R94</f>
        <v>0.8</v>
      </c>
      <c r="R95" s="87">
        <f t="shared" si="23"/>
        <v>0</v>
      </c>
      <c r="S95" s="87">
        <f t="shared" si="25"/>
        <v>0</v>
      </c>
      <c r="T95" s="87">
        <f t="shared" si="26"/>
        <v>0</v>
      </c>
      <c r="U95" s="87">
        <f t="shared" si="27"/>
        <v>1.6121842845480428E-11</v>
      </c>
      <c r="V95" s="87">
        <f t="shared" si="28"/>
        <v>7.9291204828984883E-12</v>
      </c>
      <c r="W95" s="120">
        <f t="shared" si="29"/>
        <v>5.286080321932325E-12</v>
      </c>
    </row>
    <row r="96" spans="2:23">
      <c r="B96" s="116">
        <f>Amnt_Deposited!B91</f>
        <v>2077</v>
      </c>
      <c r="C96" s="119">
        <f>Amnt_Deposited!C91</f>
        <v>0</v>
      </c>
      <c r="D96" s="453">
        <f>Dry_Matter_Content!C83</f>
        <v>0.59</v>
      </c>
      <c r="E96" s="319">
        <f>MCF!R95</f>
        <v>0.8</v>
      </c>
      <c r="F96" s="87">
        <f t="shared" si="18"/>
        <v>0</v>
      </c>
      <c r="G96" s="87">
        <f t="shared" si="19"/>
        <v>0</v>
      </c>
      <c r="H96" s="87">
        <f t="shared" si="20"/>
        <v>0</v>
      </c>
      <c r="I96" s="87">
        <f t="shared" si="21"/>
        <v>1.6152555420538083E-11</v>
      </c>
      <c r="J96" s="87">
        <f t="shared" si="22"/>
        <v>7.9442256858400027E-12</v>
      </c>
      <c r="K96" s="120">
        <f t="shared" si="24"/>
        <v>5.2961504572266679E-12</v>
      </c>
      <c r="O96" s="116">
        <f>Amnt_Deposited!B91</f>
        <v>2077</v>
      </c>
      <c r="P96" s="119">
        <f>Amnt_Deposited!C91</f>
        <v>0</v>
      </c>
      <c r="Q96" s="319">
        <f>MCF!R95</f>
        <v>0.8</v>
      </c>
      <c r="R96" s="87">
        <f t="shared" si="23"/>
        <v>0</v>
      </c>
      <c r="S96" s="87">
        <f t="shared" si="25"/>
        <v>0</v>
      </c>
      <c r="T96" s="87">
        <f t="shared" si="26"/>
        <v>0</v>
      </c>
      <c r="U96" s="87">
        <f t="shared" si="27"/>
        <v>1.0806794438361782E-11</v>
      </c>
      <c r="V96" s="87">
        <f t="shared" si="28"/>
        <v>5.3150484071186448E-12</v>
      </c>
      <c r="W96" s="120">
        <f t="shared" si="29"/>
        <v>3.5433656047457629E-12</v>
      </c>
    </row>
    <row r="97" spans="2:23">
      <c r="B97" s="116">
        <f>Amnt_Deposited!B92</f>
        <v>2078</v>
      </c>
      <c r="C97" s="119">
        <f>Amnt_Deposited!C92</f>
        <v>0</v>
      </c>
      <c r="D97" s="453">
        <f>Dry_Matter_Content!C84</f>
        <v>0.59</v>
      </c>
      <c r="E97" s="319">
        <f>MCF!R96</f>
        <v>0.8</v>
      </c>
      <c r="F97" s="87">
        <f t="shared" si="18"/>
        <v>0</v>
      </c>
      <c r="G97" s="87">
        <f t="shared" si="19"/>
        <v>0</v>
      </c>
      <c r="H97" s="87">
        <f t="shared" si="20"/>
        <v>0</v>
      </c>
      <c r="I97" s="87">
        <f t="shared" si="21"/>
        <v>1.0827381693088304E-11</v>
      </c>
      <c r="J97" s="87">
        <f t="shared" si="22"/>
        <v>5.3251737274497795E-12</v>
      </c>
      <c r="K97" s="120">
        <f t="shared" si="24"/>
        <v>3.550115818299853E-12</v>
      </c>
      <c r="O97" s="116">
        <f>Amnt_Deposited!B92</f>
        <v>2078</v>
      </c>
      <c r="P97" s="119">
        <f>Amnt_Deposited!C92</f>
        <v>0</v>
      </c>
      <c r="Q97" s="319">
        <f>MCF!R96</f>
        <v>0.8</v>
      </c>
      <c r="R97" s="87">
        <f t="shared" si="23"/>
        <v>0</v>
      </c>
      <c r="S97" s="87">
        <f t="shared" si="25"/>
        <v>0</v>
      </c>
      <c r="T97" s="87">
        <f t="shared" si="26"/>
        <v>0</v>
      </c>
      <c r="U97" s="87">
        <f t="shared" si="27"/>
        <v>7.2440109454203607E-12</v>
      </c>
      <c r="V97" s="87">
        <f t="shared" si="28"/>
        <v>3.5627834929414213E-12</v>
      </c>
      <c r="W97" s="120">
        <f t="shared" si="29"/>
        <v>2.3751889952942809E-12</v>
      </c>
    </row>
    <row r="98" spans="2:23">
      <c r="B98" s="116">
        <f>Amnt_Deposited!B93</f>
        <v>2079</v>
      </c>
      <c r="C98" s="119">
        <f>Amnt_Deposited!C93</f>
        <v>0</v>
      </c>
      <c r="D98" s="453">
        <f>Dry_Matter_Content!C85</f>
        <v>0.59</v>
      </c>
      <c r="E98" s="319">
        <f>MCF!R97</f>
        <v>0.8</v>
      </c>
      <c r="F98" s="87">
        <f t="shared" si="18"/>
        <v>0</v>
      </c>
      <c r="G98" s="87">
        <f t="shared" si="19"/>
        <v>0</v>
      </c>
      <c r="H98" s="87">
        <f t="shared" si="20"/>
        <v>0</v>
      </c>
      <c r="I98" s="87">
        <f t="shared" si="21"/>
        <v>7.2578109949563905E-12</v>
      </c>
      <c r="J98" s="87">
        <f t="shared" si="22"/>
        <v>3.5695706981319137E-12</v>
      </c>
      <c r="K98" s="120">
        <f t="shared" si="24"/>
        <v>2.3797137987546088E-12</v>
      </c>
      <c r="O98" s="116">
        <f>Amnt_Deposited!B93</f>
        <v>2079</v>
      </c>
      <c r="P98" s="119">
        <f>Amnt_Deposited!C93</f>
        <v>0</v>
      </c>
      <c r="Q98" s="319">
        <f>MCF!R97</f>
        <v>0.8</v>
      </c>
      <c r="R98" s="87">
        <f t="shared" si="23"/>
        <v>0</v>
      </c>
      <c r="S98" s="87">
        <f t="shared" si="25"/>
        <v>0</v>
      </c>
      <c r="T98" s="87">
        <f t="shared" si="26"/>
        <v>0</v>
      </c>
      <c r="U98" s="87">
        <f t="shared" si="27"/>
        <v>4.855805750416851E-12</v>
      </c>
      <c r="V98" s="87">
        <f t="shared" si="28"/>
        <v>2.3882051950035092E-12</v>
      </c>
      <c r="W98" s="120">
        <f t="shared" si="29"/>
        <v>1.5921367966690062E-12</v>
      </c>
    </row>
    <row r="99" spans="2:23" ht="13.5" thickBot="1">
      <c r="B99" s="117">
        <f>Amnt_Deposited!B94</f>
        <v>2080</v>
      </c>
      <c r="C99" s="121">
        <f>Amnt_Deposited!C94</f>
        <v>0</v>
      </c>
      <c r="D99" s="454">
        <f>Dry_Matter_Content!C86</f>
        <v>0.59</v>
      </c>
      <c r="E99" s="320">
        <f>MCF!R98</f>
        <v>0.8</v>
      </c>
      <c r="F99" s="88">
        <f t="shared" si="18"/>
        <v>0</v>
      </c>
      <c r="G99" s="88">
        <f t="shared" si="19"/>
        <v>0</v>
      </c>
      <c r="H99" s="88">
        <f t="shared" si="20"/>
        <v>0</v>
      </c>
      <c r="I99" s="88">
        <f t="shared" si="21"/>
        <v>4.8650562002571369E-12</v>
      </c>
      <c r="J99" s="88">
        <f t="shared" si="22"/>
        <v>2.3927547946992536E-12</v>
      </c>
      <c r="K99" s="122">
        <f t="shared" si="24"/>
        <v>1.5951698631328357E-12</v>
      </c>
      <c r="O99" s="117">
        <f>Amnt_Deposited!B94</f>
        <v>2080</v>
      </c>
      <c r="P99" s="121">
        <f>Amnt_Deposited!C94</f>
        <v>0</v>
      </c>
      <c r="Q99" s="320">
        <f>MCF!R98</f>
        <v>0.8</v>
      </c>
      <c r="R99" s="88">
        <f t="shared" si="23"/>
        <v>0</v>
      </c>
      <c r="S99" s="88">
        <f>R99*$W$12</f>
        <v>0</v>
      </c>
      <c r="T99" s="88">
        <f>R99*(1-$W$12)</f>
        <v>0</v>
      </c>
      <c r="U99" s="88">
        <f>S99+U98*$W$10</f>
        <v>3.2549439341595459E-12</v>
      </c>
      <c r="V99" s="88">
        <f>U98*(1-$W$10)+T99</f>
        <v>1.6008618162573053E-12</v>
      </c>
      <c r="W99" s="122">
        <f t="shared" si="29"/>
        <v>1.0672412108382035E-12</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314</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Parameters!O16</f>
        <v>0.44</v>
      </c>
      <c r="O6" s="257"/>
      <c r="P6" s="258"/>
      <c r="Q6" s="249"/>
      <c r="R6" s="128" t="s">
        <v>9</v>
      </c>
      <c r="S6" s="129"/>
      <c r="T6" s="129"/>
      <c r="U6" s="133"/>
      <c r="V6" s="140" t="s">
        <v>9</v>
      </c>
      <c r="W6" s="293">
        <f>Parameters!R16</f>
        <v>0.4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Parameters!O35</f>
        <v>7.0000000000000007E-2</v>
      </c>
      <c r="O8" s="67"/>
      <c r="P8" s="67"/>
      <c r="Q8" s="249"/>
      <c r="R8" s="128" t="s">
        <v>192</v>
      </c>
      <c r="S8" s="129"/>
      <c r="T8" s="129"/>
      <c r="U8" s="133"/>
      <c r="V8" s="140" t="s">
        <v>188</v>
      </c>
      <c r="W8" s="134">
        <f>Parameters!O35</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4.1307042446339999</v>
      </c>
      <c r="D19" s="451">
        <f>Dry_Matter_Content!D6</f>
        <v>0.44</v>
      </c>
      <c r="E19" s="318">
        <f>MCF!R18</f>
        <v>0.8</v>
      </c>
      <c r="F19" s="150">
        <f t="shared" ref="F19:F50" si="0">C19*D19*$K$6*DOCF*E19</f>
        <v>0.31988173670445702</v>
      </c>
      <c r="G19" s="85">
        <f t="shared" ref="G19:G82" si="1">F19*$K$12</f>
        <v>0.31988173670445702</v>
      </c>
      <c r="H19" s="85">
        <f t="shared" ref="H19:H82" si="2">F19*(1-$K$12)</f>
        <v>0</v>
      </c>
      <c r="I19" s="85">
        <f t="shared" ref="I19:I82" si="3">G19+I18*$K$10</f>
        <v>0.31988173670445702</v>
      </c>
      <c r="J19" s="85">
        <f t="shared" ref="J19:J82" si="4">I18*(1-$K$10)+H19</f>
        <v>0</v>
      </c>
      <c r="K19" s="86">
        <f>J19*CH4_fraction*conv</f>
        <v>0</v>
      </c>
      <c r="O19" s="115">
        <f>Amnt_Deposited!B14</f>
        <v>2000</v>
      </c>
      <c r="P19" s="118">
        <f>Amnt_Deposited!D14</f>
        <v>4.1307042446339999</v>
      </c>
      <c r="Q19" s="318">
        <f>MCF!R18</f>
        <v>0.8</v>
      </c>
      <c r="R19" s="150">
        <f t="shared" ref="R19:R50" si="5">P19*$W$6*DOCF*Q19</f>
        <v>0.66091267914144014</v>
      </c>
      <c r="S19" s="85">
        <f>R19*$W$12</f>
        <v>0.66091267914144014</v>
      </c>
      <c r="T19" s="85">
        <f>R19*(1-$W$12)</f>
        <v>0</v>
      </c>
      <c r="U19" s="85">
        <f>S19+U18*$W$10</f>
        <v>0.66091267914144014</v>
      </c>
      <c r="V19" s="85">
        <f>U18*(1-$W$10)+T19</f>
        <v>0</v>
      </c>
      <c r="W19" s="86">
        <f>V19*CH4_fraction*conv</f>
        <v>0</v>
      </c>
    </row>
    <row r="20" spans="2:23">
      <c r="B20" s="116">
        <f>Amnt_Deposited!B15</f>
        <v>2001</v>
      </c>
      <c r="C20" s="119">
        <f>Amnt_Deposited!D15</f>
        <v>4.2134100576479998</v>
      </c>
      <c r="D20" s="453">
        <f>Dry_Matter_Content!D7</f>
        <v>0.44</v>
      </c>
      <c r="E20" s="319">
        <f>MCF!R19</f>
        <v>0.8</v>
      </c>
      <c r="F20" s="87">
        <f t="shared" si="0"/>
        <v>0.3262864748642611</v>
      </c>
      <c r="G20" s="87">
        <f t="shared" si="1"/>
        <v>0.3262864748642611</v>
      </c>
      <c r="H20" s="87">
        <f t="shared" si="2"/>
        <v>0</v>
      </c>
      <c r="I20" s="87">
        <f t="shared" si="3"/>
        <v>0.62454222926827851</v>
      </c>
      <c r="J20" s="87">
        <f t="shared" si="4"/>
        <v>2.1625982300439557E-2</v>
      </c>
      <c r="K20" s="120">
        <f>J20*CH4_fraction*conv</f>
        <v>1.4417321533626371E-2</v>
      </c>
      <c r="M20" s="428"/>
      <c r="O20" s="116">
        <f>Amnt_Deposited!B15</f>
        <v>2001</v>
      </c>
      <c r="P20" s="119">
        <f>Amnt_Deposited!D15</f>
        <v>4.2134100576479998</v>
      </c>
      <c r="Q20" s="319">
        <f>MCF!R19</f>
        <v>0.8</v>
      </c>
      <c r="R20" s="87">
        <f t="shared" si="5"/>
        <v>0.67414560922368005</v>
      </c>
      <c r="S20" s="87">
        <f>R20*$W$12</f>
        <v>0.67414560922368005</v>
      </c>
      <c r="T20" s="87">
        <f>R20*(1-$W$12)</f>
        <v>0</v>
      </c>
      <c r="U20" s="87">
        <f>S20+U19*$W$10</f>
        <v>1.2903765067526418</v>
      </c>
      <c r="V20" s="87">
        <f>U19*(1-$W$10)+T20</f>
        <v>4.4681781612478426E-2</v>
      </c>
      <c r="W20" s="120">
        <f>V20*CH4_fraction*conv</f>
        <v>2.9787854408318951E-2</v>
      </c>
    </row>
    <row r="21" spans="2:23">
      <c r="B21" s="116">
        <f>Amnt_Deposited!B16</f>
        <v>2002</v>
      </c>
      <c r="C21" s="119">
        <f>Amnt_Deposited!D16</f>
        <v>4.3095107111760012</v>
      </c>
      <c r="D21" s="453">
        <f>Dry_Matter_Content!D8</f>
        <v>0.44</v>
      </c>
      <c r="E21" s="319">
        <f>MCF!R20</f>
        <v>0.8</v>
      </c>
      <c r="F21" s="87">
        <f t="shared" si="0"/>
        <v>0.33372850947346955</v>
      </c>
      <c r="G21" s="87">
        <f t="shared" si="1"/>
        <v>0.33372850947346955</v>
      </c>
      <c r="H21" s="87">
        <f t="shared" si="2"/>
        <v>0</v>
      </c>
      <c r="I21" s="87">
        <f t="shared" si="3"/>
        <v>0.9160478243134963</v>
      </c>
      <c r="J21" s="87">
        <f t="shared" si="4"/>
        <v>4.2222914428251782E-2</v>
      </c>
      <c r="K21" s="120">
        <f t="shared" ref="K21:K84" si="6">J21*CH4_fraction*conv</f>
        <v>2.814860961883452E-2</v>
      </c>
      <c r="O21" s="116">
        <f>Amnt_Deposited!B16</f>
        <v>2002</v>
      </c>
      <c r="P21" s="119">
        <f>Amnt_Deposited!D16</f>
        <v>4.3095107111760012</v>
      </c>
      <c r="Q21" s="319">
        <f>MCF!R20</f>
        <v>0.8</v>
      </c>
      <c r="R21" s="87">
        <f t="shared" si="5"/>
        <v>0.68952171378816018</v>
      </c>
      <c r="S21" s="87">
        <f t="shared" ref="S21:S84" si="7">R21*$W$12</f>
        <v>0.68952171378816018</v>
      </c>
      <c r="T21" s="87">
        <f t="shared" ref="T21:T84" si="8">R21*(1-$W$12)</f>
        <v>0</v>
      </c>
      <c r="U21" s="87">
        <f t="shared" ref="U21:U84" si="9">S21+U20*$W$10</f>
        <v>1.8926607940361495</v>
      </c>
      <c r="V21" s="87">
        <f t="shared" ref="V21:V84" si="10">U20*(1-$W$10)+T21</f>
        <v>8.7237426504652452E-2</v>
      </c>
      <c r="W21" s="120">
        <f t="shared" ref="W21:W84" si="11">V21*CH4_fraction*conv</f>
        <v>5.8158284336434968E-2</v>
      </c>
    </row>
    <row r="22" spans="2:23">
      <c r="B22" s="116">
        <f>Amnt_Deposited!B17</f>
        <v>2003</v>
      </c>
      <c r="C22" s="119">
        <f>Amnt_Deposited!D17</f>
        <v>4.4475544046339994</v>
      </c>
      <c r="D22" s="453">
        <f>Dry_Matter_Content!D9</f>
        <v>0.44</v>
      </c>
      <c r="E22" s="319">
        <f>MCF!R21</f>
        <v>0.8</v>
      </c>
      <c r="F22" s="87">
        <f t="shared" si="0"/>
        <v>0.34441861309485694</v>
      </c>
      <c r="G22" s="87">
        <f t="shared" si="1"/>
        <v>0.34441861309485694</v>
      </c>
      <c r="H22" s="87">
        <f t="shared" si="2"/>
        <v>0</v>
      </c>
      <c r="I22" s="87">
        <f t="shared" si="3"/>
        <v>1.1985359432230507</v>
      </c>
      <c r="J22" s="87">
        <f t="shared" si="4"/>
        <v>6.1930494185302484E-2</v>
      </c>
      <c r="K22" s="120">
        <f t="shared" si="6"/>
        <v>4.1286996123534987E-2</v>
      </c>
      <c r="N22" s="290"/>
      <c r="O22" s="116">
        <f>Amnt_Deposited!B17</f>
        <v>2003</v>
      </c>
      <c r="P22" s="119">
        <f>Amnt_Deposited!D17</f>
        <v>4.4475544046339994</v>
      </c>
      <c r="Q22" s="319">
        <f>MCF!R21</f>
        <v>0.8</v>
      </c>
      <c r="R22" s="87">
        <f t="shared" si="5"/>
        <v>0.71160870474144</v>
      </c>
      <c r="S22" s="87">
        <f t="shared" si="7"/>
        <v>0.71160870474144</v>
      </c>
      <c r="T22" s="87">
        <f t="shared" si="8"/>
        <v>0</v>
      </c>
      <c r="U22" s="87">
        <f t="shared" si="9"/>
        <v>2.4763139322790306</v>
      </c>
      <c r="V22" s="87">
        <f t="shared" si="10"/>
        <v>0.12795556649855885</v>
      </c>
      <c r="W22" s="120">
        <f t="shared" si="11"/>
        <v>8.5303710999039231E-2</v>
      </c>
    </row>
    <row r="23" spans="2:23">
      <c r="B23" s="116">
        <f>Amnt_Deposited!B18</f>
        <v>2004</v>
      </c>
      <c r="C23" s="119">
        <f>Amnt_Deposited!D18</f>
        <v>4.4992485082379998</v>
      </c>
      <c r="D23" s="453">
        <f>Dry_Matter_Content!D10</f>
        <v>0.44</v>
      </c>
      <c r="E23" s="319">
        <f>MCF!R22</f>
        <v>0.8</v>
      </c>
      <c r="F23" s="87">
        <f t="shared" si="0"/>
        <v>0.34842180447795074</v>
      </c>
      <c r="G23" s="87">
        <f t="shared" si="1"/>
        <v>0.34842180447795074</v>
      </c>
      <c r="H23" s="87">
        <f t="shared" si="2"/>
        <v>0</v>
      </c>
      <c r="I23" s="87">
        <f t="shared" si="3"/>
        <v>1.4659293108742697</v>
      </c>
      <c r="J23" s="87">
        <f t="shared" si="4"/>
        <v>8.102843682673172E-2</v>
      </c>
      <c r="K23" s="120">
        <f t="shared" si="6"/>
        <v>5.4018957884487809E-2</v>
      </c>
      <c r="N23" s="290"/>
      <c r="O23" s="116">
        <f>Amnt_Deposited!B18</f>
        <v>2004</v>
      </c>
      <c r="P23" s="119">
        <f>Amnt_Deposited!D18</f>
        <v>4.4992485082379998</v>
      </c>
      <c r="Q23" s="319">
        <f>MCF!R22</f>
        <v>0.8</v>
      </c>
      <c r="R23" s="87">
        <f t="shared" si="5"/>
        <v>0.71987976131808007</v>
      </c>
      <c r="S23" s="87">
        <f t="shared" si="7"/>
        <v>0.71987976131808007</v>
      </c>
      <c r="T23" s="87">
        <f t="shared" si="8"/>
        <v>0</v>
      </c>
      <c r="U23" s="87">
        <f t="shared" si="9"/>
        <v>3.0287795679220455</v>
      </c>
      <c r="V23" s="87">
        <f t="shared" si="10"/>
        <v>0.16741412567506556</v>
      </c>
      <c r="W23" s="120">
        <f t="shared" si="11"/>
        <v>0.11160941711671037</v>
      </c>
    </row>
    <row r="24" spans="2:23">
      <c r="B24" s="116">
        <f>Amnt_Deposited!B19</f>
        <v>2005</v>
      </c>
      <c r="C24" s="119">
        <f>Amnt_Deposited!D19</f>
        <v>4.6243171876439995</v>
      </c>
      <c r="D24" s="453">
        <f>Dry_Matter_Content!D11</f>
        <v>0.44</v>
      </c>
      <c r="E24" s="319">
        <f>MCF!R23</f>
        <v>0.8</v>
      </c>
      <c r="F24" s="87">
        <f t="shared" si="0"/>
        <v>0.35810712301115133</v>
      </c>
      <c r="G24" s="87">
        <f t="shared" si="1"/>
        <v>0.35810712301115133</v>
      </c>
      <c r="H24" s="87">
        <f t="shared" si="2"/>
        <v>0</v>
      </c>
      <c r="I24" s="87">
        <f t="shared" si="3"/>
        <v>1.724930552889306</v>
      </c>
      <c r="J24" s="87">
        <f t="shared" si="4"/>
        <v>9.9105880996115017E-2</v>
      </c>
      <c r="K24" s="120">
        <f t="shared" si="6"/>
        <v>6.6070587330743336E-2</v>
      </c>
      <c r="N24" s="290"/>
      <c r="O24" s="116">
        <f>Amnt_Deposited!B19</f>
        <v>2005</v>
      </c>
      <c r="P24" s="119">
        <f>Amnt_Deposited!D19</f>
        <v>4.6243171876439995</v>
      </c>
      <c r="Q24" s="319">
        <f>MCF!R23</f>
        <v>0.8</v>
      </c>
      <c r="R24" s="87">
        <f t="shared" si="5"/>
        <v>0.73989075002304006</v>
      </c>
      <c r="S24" s="87">
        <f t="shared" si="7"/>
        <v>0.73989075002304006</v>
      </c>
      <c r="T24" s="87">
        <f t="shared" si="8"/>
        <v>0</v>
      </c>
      <c r="U24" s="87">
        <f t="shared" si="9"/>
        <v>3.5639061010109634</v>
      </c>
      <c r="V24" s="87">
        <f t="shared" si="10"/>
        <v>0.20476421693412197</v>
      </c>
      <c r="W24" s="120">
        <f t="shared" si="11"/>
        <v>0.13650947795608132</v>
      </c>
    </row>
    <row r="25" spans="2:23">
      <c r="B25" s="116">
        <f>Amnt_Deposited!B20</f>
        <v>2006</v>
      </c>
      <c r="C25" s="119">
        <f>Amnt_Deposited!D20</f>
        <v>4.6776509908260007</v>
      </c>
      <c r="D25" s="453">
        <f>Dry_Matter_Content!D12</f>
        <v>0.44</v>
      </c>
      <c r="E25" s="319">
        <f>MCF!R24</f>
        <v>0.8</v>
      </c>
      <c r="F25" s="87">
        <f t="shared" si="0"/>
        <v>0.36223729272956556</v>
      </c>
      <c r="G25" s="87">
        <f t="shared" si="1"/>
        <v>0.36223729272956556</v>
      </c>
      <c r="H25" s="87">
        <f t="shared" si="2"/>
        <v>0</v>
      </c>
      <c r="I25" s="87">
        <f t="shared" si="3"/>
        <v>1.9705518800105049</v>
      </c>
      <c r="J25" s="87">
        <f t="shared" si="4"/>
        <v>0.11661596560836664</v>
      </c>
      <c r="K25" s="120">
        <f t="shared" si="6"/>
        <v>7.7743977072244425E-2</v>
      </c>
      <c r="N25" s="290"/>
      <c r="O25" s="116">
        <f>Amnt_Deposited!B20</f>
        <v>2006</v>
      </c>
      <c r="P25" s="119">
        <f>Amnt_Deposited!D20</f>
        <v>4.6776509908260007</v>
      </c>
      <c r="Q25" s="319">
        <f>MCF!R24</f>
        <v>0.8</v>
      </c>
      <c r="R25" s="87">
        <f t="shared" si="5"/>
        <v>0.74842415853216027</v>
      </c>
      <c r="S25" s="87">
        <f t="shared" si="7"/>
        <v>0.74842415853216027</v>
      </c>
      <c r="T25" s="87">
        <f t="shared" si="8"/>
        <v>0</v>
      </c>
      <c r="U25" s="87">
        <f t="shared" si="9"/>
        <v>4.0713881818398869</v>
      </c>
      <c r="V25" s="87">
        <f t="shared" si="10"/>
        <v>0.24094207770323689</v>
      </c>
      <c r="W25" s="120">
        <f t="shared" si="11"/>
        <v>0.16062805180215792</v>
      </c>
    </row>
    <row r="26" spans="2:23">
      <c r="B26" s="116">
        <f>Amnt_Deposited!B21</f>
        <v>2007</v>
      </c>
      <c r="C26" s="119">
        <f>Amnt_Deposited!D21</f>
        <v>4.7295827320500008</v>
      </c>
      <c r="D26" s="453">
        <f>Dry_Matter_Content!D13</f>
        <v>0.44</v>
      </c>
      <c r="E26" s="319">
        <f>MCF!R25</f>
        <v>0.8</v>
      </c>
      <c r="F26" s="87">
        <f t="shared" si="0"/>
        <v>0.36625888676995211</v>
      </c>
      <c r="G26" s="87">
        <f t="shared" si="1"/>
        <v>0.36625888676995211</v>
      </c>
      <c r="H26" s="87">
        <f t="shared" si="2"/>
        <v>0</v>
      </c>
      <c r="I26" s="87">
        <f t="shared" si="3"/>
        <v>2.2035892814957947</v>
      </c>
      <c r="J26" s="87">
        <f t="shared" si="4"/>
        <v>0.13322148528466241</v>
      </c>
      <c r="K26" s="120">
        <f t="shared" si="6"/>
        <v>8.8814323523108266E-2</v>
      </c>
      <c r="N26" s="290"/>
      <c r="O26" s="116">
        <f>Amnt_Deposited!B21</f>
        <v>2007</v>
      </c>
      <c r="P26" s="119">
        <f>Amnt_Deposited!D21</f>
        <v>4.7295827320500008</v>
      </c>
      <c r="Q26" s="319">
        <f>MCF!R25</f>
        <v>0.8</v>
      </c>
      <c r="R26" s="87">
        <f t="shared" si="5"/>
        <v>0.75673323712800022</v>
      </c>
      <c r="S26" s="87">
        <f t="shared" si="7"/>
        <v>0.75673323712800022</v>
      </c>
      <c r="T26" s="87">
        <f t="shared" si="8"/>
        <v>0</v>
      </c>
      <c r="U26" s="87">
        <f t="shared" si="9"/>
        <v>4.5528704163136258</v>
      </c>
      <c r="V26" s="87">
        <f t="shared" si="10"/>
        <v>0.27525100265426122</v>
      </c>
      <c r="W26" s="120">
        <f t="shared" si="11"/>
        <v>0.18350066843617413</v>
      </c>
    </row>
    <row r="27" spans="2:23">
      <c r="B27" s="116">
        <f>Amnt_Deposited!B22</f>
        <v>2008</v>
      </c>
      <c r="C27" s="119">
        <f>Amnt_Deposited!D22</f>
        <v>4.7795975298059998</v>
      </c>
      <c r="D27" s="453">
        <f>Dry_Matter_Content!D14</f>
        <v>0.44</v>
      </c>
      <c r="E27" s="319">
        <f>MCF!R26</f>
        <v>0.8</v>
      </c>
      <c r="F27" s="87">
        <f t="shared" si="0"/>
        <v>0.37013203270817668</v>
      </c>
      <c r="G27" s="87">
        <f t="shared" si="1"/>
        <v>0.37013203270817668</v>
      </c>
      <c r="H27" s="87">
        <f t="shared" si="2"/>
        <v>0</v>
      </c>
      <c r="I27" s="87">
        <f t="shared" si="3"/>
        <v>2.4247450603858445</v>
      </c>
      <c r="J27" s="87">
        <f t="shared" si="4"/>
        <v>0.14897625381812674</v>
      </c>
      <c r="K27" s="120">
        <f t="shared" si="6"/>
        <v>9.9317502545417824E-2</v>
      </c>
      <c r="N27" s="290"/>
      <c r="O27" s="116">
        <f>Amnt_Deposited!B22</f>
        <v>2008</v>
      </c>
      <c r="P27" s="119">
        <f>Amnt_Deposited!D22</f>
        <v>4.7795975298059998</v>
      </c>
      <c r="Q27" s="319">
        <f>MCF!R26</f>
        <v>0.8</v>
      </c>
      <c r="R27" s="87">
        <f t="shared" si="5"/>
        <v>0.76473560476896008</v>
      </c>
      <c r="S27" s="87">
        <f t="shared" si="7"/>
        <v>0.76473560476896008</v>
      </c>
      <c r="T27" s="87">
        <f t="shared" si="8"/>
        <v>0</v>
      </c>
      <c r="U27" s="87">
        <f t="shared" si="9"/>
        <v>5.0098038437724064</v>
      </c>
      <c r="V27" s="87">
        <f t="shared" si="10"/>
        <v>0.30780217731017923</v>
      </c>
      <c r="W27" s="120">
        <f t="shared" si="11"/>
        <v>0.20520145154011948</v>
      </c>
    </row>
    <row r="28" spans="2:23">
      <c r="B28" s="116">
        <f>Amnt_Deposited!B23</f>
        <v>2009</v>
      </c>
      <c r="C28" s="119">
        <f>Amnt_Deposited!D23</f>
        <v>4.8270537625200003</v>
      </c>
      <c r="D28" s="453">
        <f>Dry_Matter_Content!D15</f>
        <v>0.44</v>
      </c>
      <c r="E28" s="319">
        <f>MCF!R27</f>
        <v>0.8</v>
      </c>
      <c r="F28" s="87">
        <f t="shared" si="0"/>
        <v>0.37380704336954884</v>
      </c>
      <c r="G28" s="87">
        <f t="shared" si="1"/>
        <v>0.37380704336954884</v>
      </c>
      <c r="H28" s="87">
        <f t="shared" si="2"/>
        <v>0</v>
      </c>
      <c r="I28" s="87">
        <f t="shared" si="3"/>
        <v>2.6346243525207855</v>
      </c>
      <c r="J28" s="87">
        <f t="shared" si="4"/>
        <v>0.16392775123460773</v>
      </c>
      <c r="K28" s="120">
        <f t="shared" si="6"/>
        <v>0.10928516748973849</v>
      </c>
      <c r="N28" s="290"/>
      <c r="O28" s="116">
        <f>Amnt_Deposited!B23</f>
        <v>2009</v>
      </c>
      <c r="P28" s="119">
        <f>Amnt_Deposited!D23</f>
        <v>4.8270537625200003</v>
      </c>
      <c r="Q28" s="319">
        <f>MCF!R27</f>
        <v>0.8</v>
      </c>
      <c r="R28" s="87">
        <f t="shared" si="5"/>
        <v>0.77232860200320008</v>
      </c>
      <c r="S28" s="87">
        <f t="shared" si="7"/>
        <v>0.77232860200320008</v>
      </c>
      <c r="T28" s="87">
        <f t="shared" si="8"/>
        <v>0</v>
      </c>
      <c r="U28" s="87">
        <f t="shared" si="9"/>
        <v>5.4434387448776569</v>
      </c>
      <c r="V28" s="87">
        <f t="shared" si="10"/>
        <v>0.33869370089794987</v>
      </c>
      <c r="W28" s="120">
        <f t="shared" si="11"/>
        <v>0.22579580059863325</v>
      </c>
    </row>
    <row r="29" spans="2:23">
      <c r="B29" s="116">
        <f>Amnt_Deposited!B24</f>
        <v>2010</v>
      </c>
      <c r="C29" s="119">
        <f>Amnt_Deposited!D24</f>
        <v>5.762712285000001</v>
      </c>
      <c r="D29" s="453">
        <f>Dry_Matter_Content!D16</f>
        <v>0.44</v>
      </c>
      <c r="E29" s="319">
        <f>MCF!R28</f>
        <v>0.8</v>
      </c>
      <c r="F29" s="87">
        <f t="shared" si="0"/>
        <v>0.44626443935040011</v>
      </c>
      <c r="G29" s="87">
        <f t="shared" si="1"/>
        <v>0.44626443935040011</v>
      </c>
      <c r="H29" s="87">
        <f t="shared" si="2"/>
        <v>0</v>
      </c>
      <c r="I29" s="87">
        <f t="shared" si="3"/>
        <v>2.9027719034144912</v>
      </c>
      <c r="J29" s="87">
        <f t="shared" si="4"/>
        <v>0.17811688845669466</v>
      </c>
      <c r="K29" s="120">
        <f t="shared" si="6"/>
        <v>0.1187445923044631</v>
      </c>
      <c r="O29" s="116">
        <f>Amnt_Deposited!B24</f>
        <v>2010</v>
      </c>
      <c r="P29" s="119">
        <f>Amnt_Deposited!D24</f>
        <v>5.762712285000001</v>
      </c>
      <c r="Q29" s="319">
        <f>MCF!R28</f>
        <v>0.8</v>
      </c>
      <c r="R29" s="87">
        <f t="shared" si="5"/>
        <v>0.92203396560000028</v>
      </c>
      <c r="S29" s="87">
        <f t="shared" si="7"/>
        <v>0.92203396560000028</v>
      </c>
      <c r="T29" s="87">
        <f t="shared" si="8"/>
        <v>0</v>
      </c>
      <c r="U29" s="87">
        <f t="shared" si="9"/>
        <v>5.99746261036052</v>
      </c>
      <c r="V29" s="87">
        <f t="shared" si="10"/>
        <v>0.36801010011713775</v>
      </c>
      <c r="W29" s="120">
        <f t="shared" si="11"/>
        <v>0.2453400667447585</v>
      </c>
    </row>
    <row r="30" spans="2:23">
      <c r="B30" s="116">
        <f>Amnt_Deposited!B25</f>
        <v>2011</v>
      </c>
      <c r="C30" s="119">
        <f>Amnt_Deposited!D25</f>
        <v>0</v>
      </c>
      <c r="D30" s="453">
        <f>Dry_Matter_Content!D17</f>
        <v>0.44</v>
      </c>
      <c r="E30" s="319">
        <f>MCF!R29</f>
        <v>0.8</v>
      </c>
      <c r="F30" s="87">
        <f t="shared" si="0"/>
        <v>0</v>
      </c>
      <c r="G30" s="87">
        <f t="shared" si="1"/>
        <v>0</v>
      </c>
      <c r="H30" s="87">
        <f t="shared" si="2"/>
        <v>0</v>
      </c>
      <c r="I30" s="87">
        <f t="shared" si="3"/>
        <v>2.7065265833402976</v>
      </c>
      <c r="J30" s="87">
        <f t="shared" si="4"/>
        <v>0.19624532007419343</v>
      </c>
      <c r="K30" s="120">
        <f t="shared" si="6"/>
        <v>0.1308302133827956</v>
      </c>
      <c r="O30" s="116">
        <f>Amnt_Deposited!B25</f>
        <v>2011</v>
      </c>
      <c r="P30" s="119">
        <f>Amnt_Deposited!D25</f>
        <v>0</v>
      </c>
      <c r="Q30" s="319">
        <f>MCF!R29</f>
        <v>0.8</v>
      </c>
      <c r="R30" s="87">
        <f t="shared" si="5"/>
        <v>0</v>
      </c>
      <c r="S30" s="87">
        <f t="shared" si="7"/>
        <v>0</v>
      </c>
      <c r="T30" s="87">
        <f t="shared" si="8"/>
        <v>0</v>
      </c>
      <c r="U30" s="87">
        <f t="shared" si="9"/>
        <v>5.5919970730171453</v>
      </c>
      <c r="V30" s="87">
        <f t="shared" si="10"/>
        <v>0.40546553734337487</v>
      </c>
      <c r="W30" s="120">
        <f t="shared" si="11"/>
        <v>0.27031035822891658</v>
      </c>
    </row>
    <row r="31" spans="2:23">
      <c r="B31" s="116">
        <f>Amnt_Deposited!B26</f>
        <v>2012</v>
      </c>
      <c r="C31" s="119">
        <f>Amnt_Deposited!D26</f>
        <v>0</v>
      </c>
      <c r="D31" s="453">
        <f>Dry_Matter_Content!D18</f>
        <v>0.44</v>
      </c>
      <c r="E31" s="319">
        <f>MCF!R30</f>
        <v>0.8</v>
      </c>
      <c r="F31" s="87">
        <f t="shared" si="0"/>
        <v>0</v>
      </c>
      <c r="G31" s="87">
        <f t="shared" si="1"/>
        <v>0</v>
      </c>
      <c r="H31" s="87">
        <f t="shared" si="2"/>
        <v>0</v>
      </c>
      <c r="I31" s="87">
        <f t="shared" si="3"/>
        <v>2.5235486597176551</v>
      </c>
      <c r="J31" s="87">
        <f t="shared" si="4"/>
        <v>0.18297792362264265</v>
      </c>
      <c r="K31" s="120">
        <f t="shared" si="6"/>
        <v>0.1219852824150951</v>
      </c>
      <c r="O31" s="116">
        <f>Amnt_Deposited!B26</f>
        <v>2012</v>
      </c>
      <c r="P31" s="119">
        <f>Amnt_Deposited!D26</f>
        <v>0</v>
      </c>
      <c r="Q31" s="319">
        <f>MCF!R30</f>
        <v>0.8</v>
      </c>
      <c r="R31" s="87">
        <f t="shared" si="5"/>
        <v>0</v>
      </c>
      <c r="S31" s="87">
        <f t="shared" si="7"/>
        <v>0</v>
      </c>
      <c r="T31" s="87">
        <f t="shared" si="8"/>
        <v>0</v>
      </c>
      <c r="U31" s="87">
        <f t="shared" si="9"/>
        <v>5.2139435118133379</v>
      </c>
      <c r="V31" s="87">
        <f t="shared" si="10"/>
        <v>0.37805356120380723</v>
      </c>
      <c r="W31" s="120">
        <f t="shared" si="11"/>
        <v>0.25203570746920478</v>
      </c>
    </row>
    <row r="32" spans="2:23">
      <c r="B32" s="116">
        <f>Amnt_Deposited!B27</f>
        <v>2013</v>
      </c>
      <c r="C32" s="119">
        <f>Amnt_Deposited!D27</f>
        <v>0</v>
      </c>
      <c r="D32" s="453">
        <f>Dry_Matter_Content!D19</f>
        <v>0.44</v>
      </c>
      <c r="E32" s="319">
        <f>MCF!R31</f>
        <v>0.8</v>
      </c>
      <c r="F32" s="87">
        <f t="shared" si="0"/>
        <v>0</v>
      </c>
      <c r="G32" s="87">
        <f t="shared" si="1"/>
        <v>0</v>
      </c>
      <c r="H32" s="87">
        <f t="shared" si="2"/>
        <v>0</v>
      </c>
      <c r="I32" s="87">
        <f t="shared" si="3"/>
        <v>2.3529411745526803</v>
      </c>
      <c r="J32" s="87">
        <f t="shared" si="4"/>
        <v>0.17060748516497465</v>
      </c>
      <c r="K32" s="120">
        <f t="shared" si="6"/>
        <v>0.11373832344331643</v>
      </c>
      <c r="O32" s="116">
        <f>Amnt_Deposited!B27</f>
        <v>2013</v>
      </c>
      <c r="P32" s="119">
        <f>Amnt_Deposited!D27</f>
        <v>0</v>
      </c>
      <c r="Q32" s="319">
        <f>MCF!R31</f>
        <v>0.8</v>
      </c>
      <c r="R32" s="87">
        <f t="shared" si="5"/>
        <v>0</v>
      </c>
      <c r="S32" s="87">
        <f t="shared" si="7"/>
        <v>0</v>
      </c>
      <c r="T32" s="87">
        <f t="shared" si="8"/>
        <v>0</v>
      </c>
      <c r="U32" s="87">
        <f t="shared" si="9"/>
        <v>4.8614487077534729</v>
      </c>
      <c r="V32" s="87">
        <f t="shared" si="10"/>
        <v>0.35249480405986505</v>
      </c>
      <c r="W32" s="120">
        <f t="shared" si="11"/>
        <v>0.23499653603991003</v>
      </c>
    </row>
    <row r="33" spans="2:23">
      <c r="B33" s="116">
        <f>Amnt_Deposited!B28</f>
        <v>2014</v>
      </c>
      <c r="C33" s="119">
        <f>Amnt_Deposited!D28</f>
        <v>0</v>
      </c>
      <c r="D33" s="453">
        <f>Dry_Matter_Content!D20</f>
        <v>0.44</v>
      </c>
      <c r="E33" s="319">
        <f>MCF!R32</f>
        <v>0.8</v>
      </c>
      <c r="F33" s="87">
        <f t="shared" si="0"/>
        <v>0</v>
      </c>
      <c r="G33" s="87">
        <f t="shared" si="1"/>
        <v>0</v>
      </c>
      <c r="H33" s="87">
        <f t="shared" si="2"/>
        <v>0</v>
      </c>
      <c r="I33" s="87">
        <f t="shared" si="3"/>
        <v>2.193867809755162</v>
      </c>
      <c r="J33" s="87">
        <f t="shared" si="4"/>
        <v>0.1590733647975181</v>
      </c>
      <c r="K33" s="120">
        <f t="shared" si="6"/>
        <v>0.10604890986501206</v>
      </c>
      <c r="O33" s="116">
        <f>Amnt_Deposited!B28</f>
        <v>2014</v>
      </c>
      <c r="P33" s="119">
        <f>Amnt_Deposited!D28</f>
        <v>0</v>
      </c>
      <c r="Q33" s="319">
        <f>MCF!R32</f>
        <v>0.8</v>
      </c>
      <c r="R33" s="87">
        <f t="shared" si="5"/>
        <v>0</v>
      </c>
      <c r="S33" s="87">
        <f t="shared" si="7"/>
        <v>0</v>
      </c>
      <c r="T33" s="87">
        <f t="shared" si="8"/>
        <v>0</v>
      </c>
      <c r="U33" s="87">
        <f t="shared" si="9"/>
        <v>4.5327847308990963</v>
      </c>
      <c r="V33" s="87">
        <f t="shared" si="10"/>
        <v>0.32866397685437632</v>
      </c>
      <c r="W33" s="120">
        <f t="shared" si="11"/>
        <v>0.21910931790291754</v>
      </c>
    </row>
    <row r="34" spans="2:23">
      <c r="B34" s="116">
        <f>Amnt_Deposited!B29</f>
        <v>2015</v>
      </c>
      <c r="C34" s="119">
        <f>Amnt_Deposited!D29</f>
        <v>0</v>
      </c>
      <c r="D34" s="453">
        <f>Dry_Matter_Content!D21</f>
        <v>0.44</v>
      </c>
      <c r="E34" s="319">
        <f>MCF!R33</f>
        <v>0.8</v>
      </c>
      <c r="F34" s="87">
        <f t="shared" si="0"/>
        <v>0</v>
      </c>
      <c r="G34" s="87">
        <f t="shared" si="1"/>
        <v>0</v>
      </c>
      <c r="H34" s="87">
        <f t="shared" si="2"/>
        <v>0</v>
      </c>
      <c r="I34" s="87">
        <f t="shared" si="3"/>
        <v>2.0455487875063119</v>
      </c>
      <c r="J34" s="87">
        <f t="shared" si="4"/>
        <v>0.1483190222488503</v>
      </c>
      <c r="K34" s="120">
        <f t="shared" si="6"/>
        <v>9.8879348165900188E-2</v>
      </c>
      <c r="O34" s="116">
        <f>Amnt_Deposited!B29</f>
        <v>2015</v>
      </c>
      <c r="P34" s="119">
        <f>Amnt_Deposited!D29</f>
        <v>0</v>
      </c>
      <c r="Q34" s="319">
        <f>MCF!R33</f>
        <v>0.8</v>
      </c>
      <c r="R34" s="87">
        <f t="shared" si="5"/>
        <v>0</v>
      </c>
      <c r="S34" s="87">
        <f t="shared" si="7"/>
        <v>0</v>
      </c>
      <c r="T34" s="87">
        <f t="shared" si="8"/>
        <v>0</v>
      </c>
      <c r="U34" s="87">
        <f t="shared" si="9"/>
        <v>4.2263404700543639</v>
      </c>
      <c r="V34" s="87">
        <f t="shared" si="10"/>
        <v>0.30644426084473209</v>
      </c>
      <c r="W34" s="120">
        <f t="shared" si="11"/>
        <v>0.20429617389648805</v>
      </c>
    </row>
    <row r="35" spans="2:23">
      <c r="B35" s="116">
        <f>Amnt_Deposited!B30</f>
        <v>2016</v>
      </c>
      <c r="C35" s="119">
        <f>Amnt_Deposited!D30</f>
        <v>0</v>
      </c>
      <c r="D35" s="453">
        <f>Dry_Matter_Content!D22</f>
        <v>0.44</v>
      </c>
      <c r="E35" s="319">
        <f>MCF!R34</f>
        <v>0.8</v>
      </c>
      <c r="F35" s="87">
        <f t="shared" si="0"/>
        <v>0</v>
      </c>
      <c r="G35" s="87">
        <f t="shared" si="1"/>
        <v>0</v>
      </c>
      <c r="H35" s="87">
        <f t="shared" si="2"/>
        <v>0</v>
      </c>
      <c r="I35" s="87">
        <f t="shared" si="3"/>
        <v>1.907257047786991</v>
      </c>
      <c r="J35" s="87">
        <f t="shared" si="4"/>
        <v>0.13829173971932088</v>
      </c>
      <c r="K35" s="120">
        <f t="shared" si="6"/>
        <v>9.2194493146213918E-2</v>
      </c>
      <c r="O35" s="116">
        <f>Amnt_Deposited!B30</f>
        <v>2016</v>
      </c>
      <c r="P35" s="119">
        <f>Amnt_Deposited!D30</f>
        <v>0</v>
      </c>
      <c r="Q35" s="319">
        <f>MCF!R34</f>
        <v>0.8</v>
      </c>
      <c r="R35" s="87">
        <f t="shared" si="5"/>
        <v>0</v>
      </c>
      <c r="S35" s="87">
        <f t="shared" si="7"/>
        <v>0</v>
      </c>
      <c r="T35" s="87">
        <f t="shared" si="8"/>
        <v>0</v>
      </c>
      <c r="U35" s="87">
        <f t="shared" si="9"/>
        <v>3.9406137350970893</v>
      </c>
      <c r="V35" s="87">
        <f t="shared" si="10"/>
        <v>0.28572673495727458</v>
      </c>
      <c r="W35" s="120">
        <f t="shared" si="11"/>
        <v>0.19048448997151637</v>
      </c>
    </row>
    <row r="36" spans="2:23">
      <c r="B36" s="116">
        <f>Amnt_Deposited!B31</f>
        <v>2017</v>
      </c>
      <c r="C36" s="119">
        <f>Amnt_Deposited!D31</f>
        <v>0</v>
      </c>
      <c r="D36" s="453">
        <f>Dry_Matter_Content!D23</f>
        <v>0.44</v>
      </c>
      <c r="E36" s="319">
        <f>MCF!R35</f>
        <v>0.8</v>
      </c>
      <c r="F36" s="87">
        <f t="shared" si="0"/>
        <v>0</v>
      </c>
      <c r="G36" s="87">
        <f t="shared" si="1"/>
        <v>0</v>
      </c>
      <c r="H36" s="87">
        <f t="shared" si="2"/>
        <v>0</v>
      </c>
      <c r="I36" s="87">
        <f t="shared" si="3"/>
        <v>1.7783146843286544</v>
      </c>
      <c r="J36" s="87">
        <f t="shared" si="4"/>
        <v>0.12894236345833673</v>
      </c>
      <c r="K36" s="120">
        <f t="shared" si="6"/>
        <v>8.5961575638891147E-2</v>
      </c>
      <c r="O36" s="116">
        <f>Amnt_Deposited!B31</f>
        <v>2017</v>
      </c>
      <c r="P36" s="119">
        <f>Amnt_Deposited!D31</f>
        <v>0</v>
      </c>
      <c r="Q36" s="319">
        <f>MCF!R35</f>
        <v>0.8</v>
      </c>
      <c r="R36" s="87">
        <f t="shared" si="5"/>
        <v>0</v>
      </c>
      <c r="S36" s="87">
        <f t="shared" si="7"/>
        <v>0</v>
      </c>
      <c r="T36" s="87">
        <f t="shared" si="8"/>
        <v>0</v>
      </c>
      <c r="U36" s="87">
        <f t="shared" si="9"/>
        <v>3.6742038932410215</v>
      </c>
      <c r="V36" s="87">
        <f t="shared" si="10"/>
        <v>0.26640984185606764</v>
      </c>
      <c r="W36" s="120">
        <f t="shared" si="11"/>
        <v>0.17760656123737842</v>
      </c>
    </row>
    <row r="37" spans="2:23">
      <c r="B37" s="116">
        <f>Amnt_Deposited!B32</f>
        <v>2018</v>
      </c>
      <c r="C37" s="119">
        <f>Amnt_Deposited!D32</f>
        <v>0</v>
      </c>
      <c r="D37" s="453">
        <f>Dry_Matter_Content!D24</f>
        <v>0.44</v>
      </c>
      <c r="E37" s="319">
        <f>MCF!R36</f>
        <v>0.8</v>
      </c>
      <c r="F37" s="87">
        <f t="shared" si="0"/>
        <v>0</v>
      </c>
      <c r="G37" s="87">
        <f t="shared" si="1"/>
        <v>0</v>
      </c>
      <c r="H37" s="87">
        <f t="shared" si="2"/>
        <v>0</v>
      </c>
      <c r="I37" s="87">
        <f t="shared" si="3"/>
        <v>1.6580896215160346</v>
      </c>
      <c r="J37" s="87">
        <f t="shared" si="4"/>
        <v>0.12022506281261976</v>
      </c>
      <c r="K37" s="120">
        <f t="shared" si="6"/>
        <v>8.0150041875079833E-2</v>
      </c>
      <c r="O37" s="116">
        <f>Amnt_Deposited!B32</f>
        <v>2018</v>
      </c>
      <c r="P37" s="119">
        <f>Amnt_Deposited!D32</f>
        <v>0</v>
      </c>
      <c r="Q37" s="319">
        <f>MCF!R36</f>
        <v>0.8</v>
      </c>
      <c r="R37" s="87">
        <f t="shared" si="5"/>
        <v>0</v>
      </c>
      <c r="S37" s="87">
        <f t="shared" si="7"/>
        <v>0</v>
      </c>
      <c r="T37" s="87">
        <f t="shared" si="8"/>
        <v>0</v>
      </c>
      <c r="U37" s="87">
        <f t="shared" si="9"/>
        <v>3.4258050031323029</v>
      </c>
      <c r="V37" s="87">
        <f t="shared" si="10"/>
        <v>0.24839889010871849</v>
      </c>
      <c r="W37" s="120">
        <f t="shared" si="11"/>
        <v>0.16559926007247899</v>
      </c>
    </row>
    <row r="38" spans="2:23">
      <c r="B38" s="116">
        <f>Amnt_Deposited!B33</f>
        <v>2019</v>
      </c>
      <c r="C38" s="119">
        <f>Amnt_Deposited!D33</f>
        <v>0</v>
      </c>
      <c r="D38" s="453">
        <f>Dry_Matter_Content!D25</f>
        <v>0.44</v>
      </c>
      <c r="E38" s="319">
        <f>MCF!R37</f>
        <v>0.8</v>
      </c>
      <c r="F38" s="87">
        <f t="shared" si="0"/>
        <v>0</v>
      </c>
      <c r="G38" s="87">
        <f t="shared" si="1"/>
        <v>0</v>
      </c>
      <c r="H38" s="87">
        <f t="shared" si="2"/>
        <v>0</v>
      </c>
      <c r="I38" s="87">
        <f t="shared" si="3"/>
        <v>1.5459925159517434</v>
      </c>
      <c r="J38" s="87">
        <f t="shared" si="4"/>
        <v>0.1120971055642911</v>
      </c>
      <c r="K38" s="120">
        <f t="shared" si="6"/>
        <v>7.4731403709527397E-2</v>
      </c>
      <c r="O38" s="116">
        <f>Amnt_Deposited!B33</f>
        <v>2019</v>
      </c>
      <c r="P38" s="119">
        <f>Amnt_Deposited!D33</f>
        <v>0</v>
      </c>
      <c r="Q38" s="319">
        <f>MCF!R37</f>
        <v>0.8</v>
      </c>
      <c r="R38" s="87">
        <f t="shared" si="5"/>
        <v>0</v>
      </c>
      <c r="S38" s="87">
        <f t="shared" si="7"/>
        <v>0</v>
      </c>
      <c r="T38" s="87">
        <f t="shared" si="8"/>
        <v>0</v>
      </c>
      <c r="U38" s="87">
        <f t="shared" si="9"/>
        <v>3.194199413123437</v>
      </c>
      <c r="V38" s="87">
        <f t="shared" si="10"/>
        <v>0.23160559000886591</v>
      </c>
      <c r="W38" s="120">
        <f t="shared" si="11"/>
        <v>0.15440372667257726</v>
      </c>
    </row>
    <row r="39" spans="2:23">
      <c r="B39" s="116">
        <f>Amnt_Deposited!B34</f>
        <v>2020</v>
      </c>
      <c r="C39" s="119">
        <f>Amnt_Deposited!D34</f>
        <v>0</v>
      </c>
      <c r="D39" s="453">
        <f>Dry_Matter_Content!D26</f>
        <v>0.44</v>
      </c>
      <c r="E39" s="319">
        <f>MCF!R38</f>
        <v>0.8</v>
      </c>
      <c r="F39" s="87">
        <f t="shared" si="0"/>
        <v>0</v>
      </c>
      <c r="G39" s="87">
        <f t="shared" si="1"/>
        <v>0</v>
      </c>
      <c r="H39" s="87">
        <f t="shared" si="2"/>
        <v>0</v>
      </c>
      <c r="I39" s="87">
        <f t="shared" si="3"/>
        <v>1.4414738674942538</v>
      </c>
      <c r="J39" s="87">
        <f t="shared" si="4"/>
        <v>0.1045186484574897</v>
      </c>
      <c r="K39" s="120">
        <f t="shared" si="6"/>
        <v>6.9679098971659803E-2</v>
      </c>
      <c r="O39" s="116">
        <f>Amnt_Deposited!B34</f>
        <v>2020</v>
      </c>
      <c r="P39" s="119">
        <f>Amnt_Deposited!D34</f>
        <v>0</v>
      </c>
      <c r="Q39" s="319">
        <f>MCF!R38</f>
        <v>0.8</v>
      </c>
      <c r="R39" s="87">
        <f t="shared" si="5"/>
        <v>0</v>
      </c>
      <c r="S39" s="87">
        <f t="shared" si="7"/>
        <v>0</v>
      </c>
      <c r="T39" s="87">
        <f t="shared" si="8"/>
        <v>0</v>
      </c>
      <c r="U39" s="87">
        <f t="shared" si="9"/>
        <v>2.9782517923434995</v>
      </c>
      <c r="V39" s="87">
        <f t="shared" si="10"/>
        <v>0.21594762077993743</v>
      </c>
      <c r="W39" s="120">
        <f t="shared" si="11"/>
        <v>0.14396508051995827</v>
      </c>
    </row>
    <row r="40" spans="2:23">
      <c r="B40" s="116">
        <f>Amnt_Deposited!B35</f>
        <v>2021</v>
      </c>
      <c r="C40" s="119">
        <f>Amnt_Deposited!D35</f>
        <v>0</v>
      </c>
      <c r="D40" s="453">
        <f>Dry_Matter_Content!D27</f>
        <v>0.44</v>
      </c>
      <c r="E40" s="319">
        <f>MCF!R39</f>
        <v>0.8</v>
      </c>
      <c r="F40" s="87">
        <f t="shared" si="0"/>
        <v>0</v>
      </c>
      <c r="G40" s="87">
        <f t="shared" si="1"/>
        <v>0</v>
      </c>
      <c r="H40" s="87">
        <f t="shared" si="2"/>
        <v>0</v>
      </c>
      <c r="I40" s="87">
        <f t="shared" si="3"/>
        <v>1.3440213256075679</v>
      </c>
      <c r="J40" s="87">
        <f t="shared" si="4"/>
        <v>9.745254188668577E-2</v>
      </c>
      <c r="K40" s="120">
        <f t="shared" si="6"/>
        <v>6.4968361257790513E-2</v>
      </c>
      <c r="O40" s="116">
        <f>Amnt_Deposited!B35</f>
        <v>2021</v>
      </c>
      <c r="P40" s="119">
        <f>Amnt_Deposited!D35</f>
        <v>0</v>
      </c>
      <c r="Q40" s="319">
        <f>MCF!R39</f>
        <v>0.8</v>
      </c>
      <c r="R40" s="87">
        <f t="shared" si="5"/>
        <v>0</v>
      </c>
      <c r="S40" s="87">
        <f t="shared" si="7"/>
        <v>0</v>
      </c>
      <c r="T40" s="87">
        <f t="shared" si="8"/>
        <v>0</v>
      </c>
      <c r="U40" s="87">
        <f t="shared" si="9"/>
        <v>2.7769035653048926</v>
      </c>
      <c r="V40" s="87">
        <f t="shared" si="10"/>
        <v>0.20134822703860697</v>
      </c>
      <c r="W40" s="120">
        <f t="shared" si="11"/>
        <v>0.13423215135907129</v>
      </c>
    </row>
    <row r="41" spans="2:23">
      <c r="B41" s="116">
        <f>Amnt_Deposited!B36</f>
        <v>2022</v>
      </c>
      <c r="C41" s="119">
        <f>Amnt_Deposited!D36</f>
        <v>0</v>
      </c>
      <c r="D41" s="453">
        <f>Dry_Matter_Content!D28</f>
        <v>0.44</v>
      </c>
      <c r="E41" s="319">
        <f>MCF!R40</f>
        <v>0.8</v>
      </c>
      <c r="F41" s="87">
        <f t="shared" si="0"/>
        <v>0</v>
      </c>
      <c r="G41" s="87">
        <f t="shared" si="1"/>
        <v>0</v>
      </c>
      <c r="H41" s="87">
        <f t="shared" si="2"/>
        <v>0</v>
      </c>
      <c r="I41" s="87">
        <f t="shared" si="3"/>
        <v>1.2531571778182966</v>
      </c>
      <c r="J41" s="87">
        <f t="shared" si="4"/>
        <v>9.0864147789271377E-2</v>
      </c>
      <c r="K41" s="120">
        <f t="shared" si="6"/>
        <v>6.0576098526180913E-2</v>
      </c>
      <c r="O41" s="116">
        <f>Amnt_Deposited!B36</f>
        <v>2022</v>
      </c>
      <c r="P41" s="119">
        <f>Amnt_Deposited!D36</f>
        <v>0</v>
      </c>
      <c r="Q41" s="319">
        <f>MCF!R40</f>
        <v>0.8</v>
      </c>
      <c r="R41" s="87">
        <f t="shared" si="5"/>
        <v>0</v>
      </c>
      <c r="S41" s="87">
        <f t="shared" si="7"/>
        <v>0</v>
      </c>
      <c r="T41" s="87">
        <f t="shared" si="8"/>
        <v>0</v>
      </c>
      <c r="U41" s="87">
        <f t="shared" si="9"/>
        <v>2.5891677227650756</v>
      </c>
      <c r="V41" s="87">
        <f t="shared" si="10"/>
        <v>0.1877358425398169</v>
      </c>
      <c r="W41" s="120">
        <f t="shared" si="11"/>
        <v>0.12515722835987791</v>
      </c>
    </row>
    <row r="42" spans="2:23">
      <c r="B42" s="116">
        <f>Amnt_Deposited!B37</f>
        <v>2023</v>
      </c>
      <c r="C42" s="119">
        <f>Amnt_Deposited!D37</f>
        <v>0</v>
      </c>
      <c r="D42" s="453">
        <f>Dry_Matter_Content!D29</f>
        <v>0.44</v>
      </c>
      <c r="E42" s="319">
        <f>MCF!R41</f>
        <v>0.8</v>
      </c>
      <c r="F42" s="87">
        <f t="shared" si="0"/>
        <v>0</v>
      </c>
      <c r="G42" s="87">
        <f t="shared" si="1"/>
        <v>0</v>
      </c>
      <c r="H42" s="87">
        <f t="shared" si="2"/>
        <v>0</v>
      </c>
      <c r="I42" s="87">
        <f t="shared" si="3"/>
        <v>1.1684360079685592</v>
      </c>
      <c r="J42" s="87">
        <f t="shared" si="4"/>
        <v>8.4721169849737363E-2</v>
      </c>
      <c r="K42" s="120">
        <f t="shared" si="6"/>
        <v>5.6480779899824904E-2</v>
      </c>
      <c r="O42" s="116">
        <f>Amnt_Deposited!B37</f>
        <v>2023</v>
      </c>
      <c r="P42" s="119">
        <f>Amnt_Deposited!D37</f>
        <v>0</v>
      </c>
      <c r="Q42" s="319">
        <f>MCF!R41</f>
        <v>0.8</v>
      </c>
      <c r="R42" s="87">
        <f t="shared" si="5"/>
        <v>0</v>
      </c>
      <c r="S42" s="87">
        <f t="shared" si="7"/>
        <v>0</v>
      </c>
      <c r="T42" s="87">
        <f t="shared" si="8"/>
        <v>0</v>
      </c>
      <c r="U42" s="87">
        <f t="shared" si="9"/>
        <v>2.4141239834061139</v>
      </c>
      <c r="V42" s="87">
        <f t="shared" si="10"/>
        <v>0.1750437393589615</v>
      </c>
      <c r="W42" s="120">
        <f t="shared" si="11"/>
        <v>0.11669582623930766</v>
      </c>
    </row>
    <row r="43" spans="2:23">
      <c r="B43" s="116">
        <f>Amnt_Deposited!B38</f>
        <v>2024</v>
      </c>
      <c r="C43" s="119">
        <f>Amnt_Deposited!D38</f>
        <v>0</v>
      </c>
      <c r="D43" s="453">
        <f>Dry_Matter_Content!D30</f>
        <v>0.44</v>
      </c>
      <c r="E43" s="319">
        <f>MCF!R42</f>
        <v>0.8</v>
      </c>
      <c r="F43" s="87">
        <f t="shared" si="0"/>
        <v>0</v>
      </c>
      <c r="G43" s="87">
        <f t="shared" si="1"/>
        <v>0</v>
      </c>
      <c r="H43" s="87">
        <f t="shared" si="2"/>
        <v>0</v>
      </c>
      <c r="I43" s="87">
        <f t="shared" si="3"/>
        <v>1.0894425127854619</v>
      </c>
      <c r="J43" s="87">
        <f t="shared" si="4"/>
        <v>7.899349518309727E-2</v>
      </c>
      <c r="K43" s="120">
        <f t="shared" si="6"/>
        <v>5.2662330122064845E-2</v>
      </c>
      <c r="O43" s="116">
        <f>Amnt_Deposited!B38</f>
        <v>2024</v>
      </c>
      <c r="P43" s="119">
        <f>Amnt_Deposited!D38</f>
        <v>0</v>
      </c>
      <c r="Q43" s="319">
        <f>MCF!R42</f>
        <v>0.8</v>
      </c>
      <c r="R43" s="87">
        <f t="shared" si="5"/>
        <v>0</v>
      </c>
      <c r="S43" s="87">
        <f t="shared" si="7"/>
        <v>0</v>
      </c>
      <c r="T43" s="87">
        <f t="shared" si="8"/>
        <v>0</v>
      </c>
      <c r="U43" s="87">
        <f t="shared" si="9"/>
        <v>2.2509142826145907</v>
      </c>
      <c r="V43" s="87">
        <f t="shared" si="10"/>
        <v>0.16320970079152328</v>
      </c>
      <c r="W43" s="120">
        <f t="shared" si="11"/>
        <v>0.10880646719434885</v>
      </c>
    </row>
    <row r="44" spans="2:23">
      <c r="B44" s="116">
        <f>Amnt_Deposited!B39</f>
        <v>2025</v>
      </c>
      <c r="C44" s="119">
        <f>Amnt_Deposited!D39</f>
        <v>0</v>
      </c>
      <c r="D44" s="453">
        <f>Dry_Matter_Content!D31</f>
        <v>0.44</v>
      </c>
      <c r="E44" s="319">
        <f>MCF!R43</f>
        <v>0.8</v>
      </c>
      <c r="F44" s="87">
        <f t="shared" si="0"/>
        <v>0</v>
      </c>
      <c r="G44" s="87">
        <f t="shared" si="1"/>
        <v>0</v>
      </c>
      <c r="H44" s="87">
        <f t="shared" si="2"/>
        <v>0</v>
      </c>
      <c r="I44" s="87">
        <f t="shared" si="3"/>
        <v>1.0157894660639717</v>
      </c>
      <c r="J44" s="87">
        <f t="shared" si="4"/>
        <v>7.3653046721490187E-2</v>
      </c>
      <c r="K44" s="120">
        <f t="shared" si="6"/>
        <v>4.9102031147660125E-2</v>
      </c>
      <c r="O44" s="116">
        <f>Amnt_Deposited!B39</f>
        <v>2025</v>
      </c>
      <c r="P44" s="119">
        <f>Amnt_Deposited!D39</f>
        <v>0</v>
      </c>
      <c r="Q44" s="319">
        <f>MCF!R43</f>
        <v>0.8</v>
      </c>
      <c r="R44" s="87">
        <f t="shared" si="5"/>
        <v>0</v>
      </c>
      <c r="S44" s="87">
        <f t="shared" si="7"/>
        <v>0</v>
      </c>
      <c r="T44" s="87">
        <f t="shared" si="8"/>
        <v>0</v>
      </c>
      <c r="U44" s="87">
        <f t="shared" si="9"/>
        <v>2.0987385662478752</v>
      </c>
      <c r="V44" s="87">
        <f t="shared" si="10"/>
        <v>0.15217571636671526</v>
      </c>
      <c r="W44" s="120">
        <f t="shared" si="11"/>
        <v>0.10145047757781017</v>
      </c>
    </row>
    <row r="45" spans="2:23">
      <c r="B45" s="116">
        <f>Amnt_Deposited!B40</f>
        <v>2026</v>
      </c>
      <c r="C45" s="119">
        <f>Amnt_Deposited!D40</f>
        <v>0</v>
      </c>
      <c r="D45" s="453">
        <f>Dry_Matter_Content!D32</f>
        <v>0.44</v>
      </c>
      <c r="E45" s="319">
        <f>MCF!R44</f>
        <v>0.8</v>
      </c>
      <c r="F45" s="87">
        <f t="shared" si="0"/>
        <v>0</v>
      </c>
      <c r="G45" s="87">
        <f t="shared" si="1"/>
        <v>0</v>
      </c>
      <c r="H45" s="87">
        <f t="shared" si="2"/>
        <v>0</v>
      </c>
      <c r="I45" s="87">
        <f t="shared" si="3"/>
        <v>0.9471158204836102</v>
      </c>
      <c r="J45" s="87">
        <f t="shared" si="4"/>
        <v>6.8673645580361514E-2</v>
      </c>
      <c r="K45" s="120">
        <f t="shared" si="6"/>
        <v>4.5782430386907672E-2</v>
      </c>
      <c r="O45" s="116">
        <f>Amnt_Deposited!B40</f>
        <v>2026</v>
      </c>
      <c r="P45" s="119">
        <f>Amnt_Deposited!D40</f>
        <v>0</v>
      </c>
      <c r="Q45" s="319">
        <f>MCF!R44</f>
        <v>0.8</v>
      </c>
      <c r="R45" s="87">
        <f t="shared" si="5"/>
        <v>0</v>
      </c>
      <c r="S45" s="87">
        <f t="shared" si="7"/>
        <v>0</v>
      </c>
      <c r="T45" s="87">
        <f t="shared" si="8"/>
        <v>0</v>
      </c>
      <c r="U45" s="87">
        <f t="shared" si="9"/>
        <v>1.9568508687677895</v>
      </c>
      <c r="V45" s="87">
        <f t="shared" si="10"/>
        <v>0.14188769748008576</v>
      </c>
      <c r="W45" s="120">
        <f t="shared" si="11"/>
        <v>9.4591798320057166E-2</v>
      </c>
    </row>
    <row r="46" spans="2:23">
      <c r="B46" s="116">
        <f>Amnt_Deposited!B41</f>
        <v>2027</v>
      </c>
      <c r="C46" s="119">
        <f>Amnt_Deposited!D41</f>
        <v>0</v>
      </c>
      <c r="D46" s="453">
        <f>Dry_Matter_Content!D33</f>
        <v>0.44</v>
      </c>
      <c r="E46" s="319">
        <f>MCF!R45</f>
        <v>0.8</v>
      </c>
      <c r="F46" s="87">
        <f t="shared" si="0"/>
        <v>0</v>
      </c>
      <c r="G46" s="87">
        <f t="shared" si="1"/>
        <v>0</v>
      </c>
      <c r="H46" s="87">
        <f t="shared" si="2"/>
        <v>0</v>
      </c>
      <c r="I46" s="87">
        <f t="shared" si="3"/>
        <v>0.88308493775406971</v>
      </c>
      <c r="J46" s="87">
        <f t="shared" si="4"/>
        <v>6.4030882729540523E-2</v>
      </c>
      <c r="K46" s="120">
        <f t="shared" si="6"/>
        <v>4.2687255153027015E-2</v>
      </c>
      <c r="O46" s="116">
        <f>Amnt_Deposited!B41</f>
        <v>2027</v>
      </c>
      <c r="P46" s="119">
        <f>Amnt_Deposited!D41</f>
        <v>0</v>
      </c>
      <c r="Q46" s="319">
        <f>MCF!R45</f>
        <v>0.8</v>
      </c>
      <c r="R46" s="87">
        <f t="shared" si="5"/>
        <v>0</v>
      </c>
      <c r="S46" s="87">
        <f t="shared" si="7"/>
        <v>0</v>
      </c>
      <c r="T46" s="87">
        <f t="shared" si="8"/>
        <v>0</v>
      </c>
      <c r="U46" s="87">
        <f t="shared" si="9"/>
        <v>1.8245556565166727</v>
      </c>
      <c r="V46" s="87">
        <f t="shared" si="10"/>
        <v>0.13229521225111676</v>
      </c>
      <c r="W46" s="120">
        <f t="shared" si="11"/>
        <v>8.819680816741117E-2</v>
      </c>
    </row>
    <row r="47" spans="2:23">
      <c r="B47" s="116">
        <f>Amnt_Deposited!B42</f>
        <v>2028</v>
      </c>
      <c r="C47" s="119">
        <f>Amnt_Deposited!D42</f>
        <v>0</v>
      </c>
      <c r="D47" s="453">
        <f>Dry_Matter_Content!D34</f>
        <v>0.44</v>
      </c>
      <c r="E47" s="319">
        <f>MCF!R46</f>
        <v>0.8</v>
      </c>
      <c r="F47" s="87">
        <f t="shared" si="0"/>
        <v>0</v>
      </c>
      <c r="G47" s="87">
        <f t="shared" si="1"/>
        <v>0</v>
      </c>
      <c r="H47" s="87">
        <f t="shared" si="2"/>
        <v>0</v>
      </c>
      <c r="I47" s="87">
        <f t="shared" si="3"/>
        <v>0.82338293841392363</v>
      </c>
      <c r="J47" s="87">
        <f t="shared" si="4"/>
        <v>5.9701999340146097E-2</v>
      </c>
      <c r="K47" s="120">
        <f t="shared" si="6"/>
        <v>3.9801332893430727E-2</v>
      </c>
      <c r="O47" s="116">
        <f>Amnt_Deposited!B42</f>
        <v>2028</v>
      </c>
      <c r="P47" s="119">
        <f>Amnt_Deposited!D42</f>
        <v>0</v>
      </c>
      <c r="Q47" s="319">
        <f>MCF!R46</f>
        <v>0.8</v>
      </c>
      <c r="R47" s="87">
        <f t="shared" si="5"/>
        <v>0</v>
      </c>
      <c r="S47" s="87">
        <f t="shared" si="7"/>
        <v>0</v>
      </c>
      <c r="T47" s="87">
        <f t="shared" si="8"/>
        <v>0</v>
      </c>
      <c r="U47" s="87">
        <f t="shared" si="9"/>
        <v>1.7012044182105859</v>
      </c>
      <c r="V47" s="87">
        <f t="shared" si="10"/>
        <v>0.12335123830608696</v>
      </c>
      <c r="W47" s="120">
        <f t="shared" si="11"/>
        <v>8.2234158870724633E-2</v>
      </c>
    </row>
    <row r="48" spans="2:23">
      <c r="B48" s="116">
        <f>Amnt_Deposited!B43</f>
        <v>2029</v>
      </c>
      <c r="C48" s="119">
        <f>Amnt_Deposited!D43</f>
        <v>0</v>
      </c>
      <c r="D48" s="453">
        <f>Dry_Matter_Content!D35</f>
        <v>0.44</v>
      </c>
      <c r="E48" s="319">
        <f>MCF!R47</f>
        <v>0.8</v>
      </c>
      <c r="F48" s="87">
        <f t="shared" si="0"/>
        <v>0</v>
      </c>
      <c r="G48" s="87">
        <f t="shared" si="1"/>
        <v>0</v>
      </c>
      <c r="H48" s="87">
        <f t="shared" si="2"/>
        <v>0</v>
      </c>
      <c r="I48" s="87">
        <f t="shared" si="3"/>
        <v>0.76771716319314243</v>
      </c>
      <c r="J48" s="87">
        <f t="shared" si="4"/>
        <v>5.566577522078122E-2</v>
      </c>
      <c r="K48" s="120">
        <f t="shared" si="6"/>
        <v>3.7110516813854147E-2</v>
      </c>
      <c r="O48" s="116">
        <f>Amnt_Deposited!B43</f>
        <v>2029</v>
      </c>
      <c r="P48" s="119">
        <f>Amnt_Deposited!D43</f>
        <v>0</v>
      </c>
      <c r="Q48" s="319">
        <f>MCF!R47</f>
        <v>0.8</v>
      </c>
      <c r="R48" s="87">
        <f t="shared" si="5"/>
        <v>0</v>
      </c>
      <c r="S48" s="87">
        <f t="shared" si="7"/>
        <v>0</v>
      </c>
      <c r="T48" s="87">
        <f t="shared" si="8"/>
        <v>0</v>
      </c>
      <c r="U48" s="87">
        <f t="shared" si="9"/>
        <v>1.5861924859362446</v>
      </c>
      <c r="V48" s="87">
        <f t="shared" si="10"/>
        <v>0.11501193227434137</v>
      </c>
      <c r="W48" s="120">
        <f t="shared" si="11"/>
        <v>7.6674621516227573E-2</v>
      </c>
    </row>
    <row r="49" spans="2:23">
      <c r="B49" s="116">
        <f>Amnt_Deposited!B44</f>
        <v>2030</v>
      </c>
      <c r="C49" s="119">
        <f>Amnt_Deposited!D44</f>
        <v>0</v>
      </c>
      <c r="D49" s="453">
        <f>Dry_Matter_Content!D36</f>
        <v>0.44</v>
      </c>
      <c r="E49" s="319">
        <f>MCF!R48</f>
        <v>0.8</v>
      </c>
      <c r="F49" s="87">
        <f t="shared" si="0"/>
        <v>0</v>
      </c>
      <c r="G49" s="87">
        <f t="shared" si="1"/>
        <v>0</v>
      </c>
      <c r="H49" s="87">
        <f t="shared" si="2"/>
        <v>0</v>
      </c>
      <c r="I49" s="87">
        <f t="shared" si="3"/>
        <v>0.71581473839701237</v>
      </c>
      <c r="J49" s="87">
        <f t="shared" si="4"/>
        <v>5.1902424796130088E-2</v>
      </c>
      <c r="K49" s="120">
        <f t="shared" si="6"/>
        <v>3.4601616530753387E-2</v>
      </c>
      <c r="O49" s="116">
        <f>Amnt_Deposited!B44</f>
        <v>2030</v>
      </c>
      <c r="P49" s="119">
        <f>Amnt_Deposited!D44</f>
        <v>0</v>
      </c>
      <c r="Q49" s="319">
        <f>MCF!R48</f>
        <v>0.8</v>
      </c>
      <c r="R49" s="87">
        <f t="shared" si="5"/>
        <v>0</v>
      </c>
      <c r="S49" s="87">
        <f t="shared" si="7"/>
        <v>0</v>
      </c>
      <c r="T49" s="87">
        <f t="shared" si="8"/>
        <v>0</v>
      </c>
      <c r="U49" s="87">
        <f t="shared" si="9"/>
        <v>1.4789560710682073</v>
      </c>
      <c r="V49" s="87">
        <f t="shared" si="10"/>
        <v>0.10723641486803737</v>
      </c>
      <c r="W49" s="120">
        <f t="shared" si="11"/>
        <v>7.1490943245358235E-2</v>
      </c>
    </row>
    <row r="50" spans="2:23">
      <c r="B50" s="116">
        <f>Amnt_Deposited!B45</f>
        <v>2031</v>
      </c>
      <c r="C50" s="119">
        <f>Amnt_Deposited!D45</f>
        <v>0</v>
      </c>
      <c r="D50" s="453">
        <f>Dry_Matter_Content!D37</f>
        <v>0.44</v>
      </c>
      <c r="E50" s="319">
        <f>MCF!R49</f>
        <v>0.8</v>
      </c>
      <c r="F50" s="87">
        <f t="shared" si="0"/>
        <v>0</v>
      </c>
      <c r="G50" s="87">
        <f t="shared" si="1"/>
        <v>0</v>
      </c>
      <c r="H50" s="87">
        <f t="shared" si="2"/>
        <v>0</v>
      </c>
      <c r="I50" s="87">
        <f t="shared" si="3"/>
        <v>0.66742123827896738</v>
      </c>
      <c r="J50" s="87">
        <f t="shared" si="4"/>
        <v>4.8393500118044941E-2</v>
      </c>
      <c r="K50" s="120">
        <f t="shared" si="6"/>
        <v>3.2262333412029956E-2</v>
      </c>
      <c r="O50" s="116">
        <f>Amnt_Deposited!B45</f>
        <v>2031</v>
      </c>
      <c r="P50" s="119">
        <f>Amnt_Deposited!D45</f>
        <v>0</v>
      </c>
      <c r="Q50" s="319">
        <f>MCF!R49</f>
        <v>0.8</v>
      </c>
      <c r="R50" s="87">
        <f t="shared" si="5"/>
        <v>0</v>
      </c>
      <c r="S50" s="87">
        <f t="shared" si="7"/>
        <v>0</v>
      </c>
      <c r="T50" s="87">
        <f t="shared" si="8"/>
        <v>0</v>
      </c>
      <c r="U50" s="87">
        <f t="shared" si="9"/>
        <v>1.3789695005763789</v>
      </c>
      <c r="V50" s="87">
        <f t="shared" si="10"/>
        <v>9.998657049182838E-2</v>
      </c>
      <c r="W50" s="120">
        <f t="shared" si="11"/>
        <v>6.665771366121892E-2</v>
      </c>
    </row>
    <row r="51" spans="2:23">
      <c r="B51" s="116">
        <f>Amnt_Deposited!B46</f>
        <v>2032</v>
      </c>
      <c r="C51" s="119">
        <f>Amnt_Deposited!D46</f>
        <v>0</v>
      </c>
      <c r="D51" s="453">
        <f>Dry_Matter_Content!D38</f>
        <v>0.44</v>
      </c>
      <c r="E51" s="319">
        <f>MCF!R50</f>
        <v>0.8</v>
      </c>
      <c r="F51" s="87">
        <f t="shared" ref="F51:F82" si="12">C51*D51*$K$6*DOCF*E51</f>
        <v>0</v>
      </c>
      <c r="G51" s="87">
        <f t="shared" si="1"/>
        <v>0</v>
      </c>
      <c r="H51" s="87">
        <f t="shared" si="2"/>
        <v>0</v>
      </c>
      <c r="I51" s="87">
        <f t="shared" si="3"/>
        <v>0.62229943784528452</v>
      </c>
      <c r="J51" s="87">
        <f t="shared" si="4"/>
        <v>4.5121800433682878E-2</v>
      </c>
      <c r="K51" s="120">
        <f t="shared" si="6"/>
        <v>3.0081200289121916E-2</v>
      </c>
      <c r="O51" s="116">
        <f>Amnt_Deposited!B46</f>
        <v>2032</v>
      </c>
      <c r="P51" s="119">
        <f>Amnt_Deposited!D46</f>
        <v>0</v>
      </c>
      <c r="Q51" s="319">
        <f>MCF!R50</f>
        <v>0.8</v>
      </c>
      <c r="R51" s="87">
        <f t="shared" ref="R51:R82" si="13">P51*$W$6*DOCF*Q51</f>
        <v>0</v>
      </c>
      <c r="S51" s="87">
        <f t="shared" si="7"/>
        <v>0</v>
      </c>
      <c r="T51" s="87">
        <f t="shared" si="8"/>
        <v>0</v>
      </c>
      <c r="U51" s="87">
        <f t="shared" si="9"/>
        <v>1.2857426401762078</v>
      </c>
      <c r="V51" s="87">
        <f t="shared" si="10"/>
        <v>9.3226860400171238E-2</v>
      </c>
      <c r="W51" s="120">
        <f t="shared" si="11"/>
        <v>6.2151240266780823E-2</v>
      </c>
    </row>
    <row r="52" spans="2:23">
      <c r="B52" s="116">
        <f>Amnt_Deposited!B47</f>
        <v>2033</v>
      </c>
      <c r="C52" s="119">
        <f>Amnt_Deposited!D47</f>
        <v>0</v>
      </c>
      <c r="D52" s="453">
        <f>Dry_Matter_Content!D39</f>
        <v>0.44</v>
      </c>
      <c r="E52" s="319">
        <f>MCF!R51</f>
        <v>0.8</v>
      </c>
      <c r="F52" s="87">
        <f t="shared" si="12"/>
        <v>0</v>
      </c>
      <c r="G52" s="87">
        <f t="shared" si="1"/>
        <v>0</v>
      </c>
      <c r="H52" s="87">
        <f t="shared" si="2"/>
        <v>0</v>
      </c>
      <c r="I52" s="87">
        <f t="shared" si="3"/>
        <v>0.58022814997788907</v>
      </c>
      <c r="J52" s="87">
        <f t="shared" si="4"/>
        <v>4.2071287867395453E-2</v>
      </c>
      <c r="K52" s="120">
        <f t="shared" si="6"/>
        <v>2.8047525244930302E-2</v>
      </c>
      <c r="O52" s="116">
        <f>Amnt_Deposited!B47</f>
        <v>2033</v>
      </c>
      <c r="P52" s="119">
        <f>Amnt_Deposited!D47</f>
        <v>0</v>
      </c>
      <c r="Q52" s="319">
        <f>MCF!R51</f>
        <v>0.8</v>
      </c>
      <c r="R52" s="87">
        <f t="shared" si="13"/>
        <v>0</v>
      </c>
      <c r="S52" s="87">
        <f t="shared" si="7"/>
        <v>0</v>
      </c>
      <c r="T52" s="87">
        <f t="shared" si="8"/>
        <v>0</v>
      </c>
      <c r="U52" s="87">
        <f t="shared" si="9"/>
        <v>1.1988184916898534</v>
      </c>
      <c r="V52" s="87">
        <f t="shared" si="10"/>
        <v>8.6924148486354255E-2</v>
      </c>
      <c r="W52" s="120">
        <f t="shared" si="11"/>
        <v>5.7949432324236168E-2</v>
      </c>
    </row>
    <row r="53" spans="2:23">
      <c r="B53" s="116">
        <f>Amnt_Deposited!B48</f>
        <v>2034</v>
      </c>
      <c r="C53" s="119">
        <f>Amnt_Deposited!D48</f>
        <v>0</v>
      </c>
      <c r="D53" s="453">
        <f>Dry_Matter_Content!D40</f>
        <v>0.44</v>
      </c>
      <c r="E53" s="319">
        <f>MCF!R52</f>
        <v>0.8</v>
      </c>
      <c r="F53" s="87">
        <f t="shared" si="12"/>
        <v>0</v>
      </c>
      <c r="G53" s="87">
        <f t="shared" si="1"/>
        <v>0</v>
      </c>
      <c r="H53" s="87">
        <f t="shared" si="2"/>
        <v>0</v>
      </c>
      <c r="I53" s="87">
        <f t="shared" si="3"/>
        <v>0.54100114117484543</v>
      </c>
      <c r="J53" s="87">
        <f t="shared" si="4"/>
        <v>3.9227008803043625E-2</v>
      </c>
      <c r="K53" s="120">
        <f t="shared" si="6"/>
        <v>2.6151339202029084E-2</v>
      </c>
      <c r="O53" s="116">
        <f>Amnt_Deposited!B48</f>
        <v>2034</v>
      </c>
      <c r="P53" s="119">
        <f>Amnt_Deposited!D48</f>
        <v>0</v>
      </c>
      <c r="Q53" s="319">
        <f>MCF!R52</f>
        <v>0.8</v>
      </c>
      <c r="R53" s="87">
        <f t="shared" si="13"/>
        <v>0</v>
      </c>
      <c r="S53" s="87">
        <f t="shared" si="7"/>
        <v>0</v>
      </c>
      <c r="T53" s="87">
        <f t="shared" si="8"/>
        <v>0</v>
      </c>
      <c r="U53" s="87">
        <f t="shared" si="9"/>
        <v>1.1177709528405897</v>
      </c>
      <c r="V53" s="87">
        <f t="shared" si="10"/>
        <v>8.1047538849263689E-2</v>
      </c>
      <c r="W53" s="120">
        <f t="shared" si="11"/>
        <v>5.4031692566175793E-2</v>
      </c>
    </row>
    <row r="54" spans="2:23">
      <c r="B54" s="116">
        <f>Amnt_Deposited!B49</f>
        <v>2035</v>
      </c>
      <c r="C54" s="119">
        <f>Amnt_Deposited!D49</f>
        <v>0</v>
      </c>
      <c r="D54" s="453">
        <f>Dry_Matter_Content!D41</f>
        <v>0.44</v>
      </c>
      <c r="E54" s="319">
        <f>MCF!R53</f>
        <v>0.8</v>
      </c>
      <c r="F54" s="87">
        <f t="shared" si="12"/>
        <v>0</v>
      </c>
      <c r="G54" s="87">
        <f t="shared" si="1"/>
        <v>0</v>
      </c>
      <c r="H54" s="87">
        <f t="shared" si="2"/>
        <v>0</v>
      </c>
      <c r="I54" s="87">
        <f t="shared" si="3"/>
        <v>0.50442612059349135</v>
      </c>
      <c r="J54" s="87">
        <f t="shared" si="4"/>
        <v>3.6575020581354103E-2</v>
      </c>
      <c r="K54" s="120">
        <f t="shared" si="6"/>
        <v>2.4383347054236067E-2</v>
      </c>
      <c r="O54" s="116">
        <f>Amnt_Deposited!B49</f>
        <v>2035</v>
      </c>
      <c r="P54" s="119">
        <f>Amnt_Deposited!D49</f>
        <v>0</v>
      </c>
      <c r="Q54" s="319">
        <f>MCF!R53</f>
        <v>0.8</v>
      </c>
      <c r="R54" s="87">
        <f t="shared" si="13"/>
        <v>0</v>
      </c>
      <c r="S54" s="87">
        <f t="shared" si="7"/>
        <v>0</v>
      </c>
      <c r="T54" s="87">
        <f t="shared" si="8"/>
        <v>0</v>
      </c>
      <c r="U54" s="87">
        <f t="shared" si="9"/>
        <v>1.042202728498949</v>
      </c>
      <c r="V54" s="87">
        <f t="shared" si="10"/>
        <v>7.5568224341640705E-2</v>
      </c>
      <c r="W54" s="120">
        <f t="shared" si="11"/>
        <v>5.037881622776047E-2</v>
      </c>
    </row>
    <row r="55" spans="2:23">
      <c r="B55" s="116">
        <f>Amnt_Deposited!B50</f>
        <v>2036</v>
      </c>
      <c r="C55" s="119">
        <f>Amnt_Deposited!D50</f>
        <v>0</v>
      </c>
      <c r="D55" s="453">
        <f>Dry_Matter_Content!D42</f>
        <v>0.44</v>
      </c>
      <c r="E55" s="319">
        <f>MCF!R54</f>
        <v>0.8</v>
      </c>
      <c r="F55" s="87">
        <f t="shared" si="12"/>
        <v>0</v>
      </c>
      <c r="G55" s="87">
        <f t="shared" si="1"/>
        <v>0</v>
      </c>
      <c r="H55" s="87">
        <f t="shared" si="2"/>
        <v>0</v>
      </c>
      <c r="I55" s="87">
        <f t="shared" si="3"/>
        <v>0.4703237974405039</v>
      </c>
      <c r="J55" s="87">
        <f t="shared" si="4"/>
        <v>3.4102323152987432E-2</v>
      </c>
      <c r="K55" s="120">
        <f t="shared" si="6"/>
        <v>2.2734882101991621E-2</v>
      </c>
      <c r="O55" s="116">
        <f>Amnt_Deposited!B50</f>
        <v>2036</v>
      </c>
      <c r="P55" s="119">
        <f>Amnt_Deposited!D50</f>
        <v>0</v>
      </c>
      <c r="Q55" s="319">
        <f>MCF!R54</f>
        <v>0.8</v>
      </c>
      <c r="R55" s="87">
        <f t="shared" si="13"/>
        <v>0</v>
      </c>
      <c r="S55" s="87">
        <f t="shared" si="7"/>
        <v>0</v>
      </c>
      <c r="T55" s="87">
        <f t="shared" si="8"/>
        <v>0</v>
      </c>
      <c r="U55" s="87">
        <f t="shared" si="9"/>
        <v>0.97174338314153696</v>
      </c>
      <c r="V55" s="87">
        <f t="shared" si="10"/>
        <v>7.0459345357412037E-2</v>
      </c>
      <c r="W55" s="120">
        <f t="shared" si="11"/>
        <v>4.6972896904941358E-2</v>
      </c>
    </row>
    <row r="56" spans="2:23">
      <c r="B56" s="116">
        <f>Amnt_Deposited!B51</f>
        <v>2037</v>
      </c>
      <c r="C56" s="119">
        <f>Amnt_Deposited!D51</f>
        <v>0</v>
      </c>
      <c r="D56" s="453">
        <f>Dry_Matter_Content!D43</f>
        <v>0.44</v>
      </c>
      <c r="E56" s="319">
        <f>MCF!R55</f>
        <v>0.8</v>
      </c>
      <c r="F56" s="87">
        <f t="shared" si="12"/>
        <v>0</v>
      </c>
      <c r="G56" s="87">
        <f t="shared" si="1"/>
        <v>0</v>
      </c>
      <c r="H56" s="87">
        <f t="shared" si="2"/>
        <v>0</v>
      </c>
      <c r="I56" s="87">
        <f t="shared" si="3"/>
        <v>0.43852700208822287</v>
      </c>
      <c r="J56" s="87">
        <f t="shared" si="4"/>
        <v>3.1796795352281013E-2</v>
      </c>
      <c r="K56" s="120">
        <f t="shared" si="6"/>
        <v>2.1197863568187342E-2</v>
      </c>
      <c r="O56" s="116">
        <f>Amnt_Deposited!B51</f>
        <v>2037</v>
      </c>
      <c r="P56" s="119">
        <f>Amnt_Deposited!D51</f>
        <v>0</v>
      </c>
      <c r="Q56" s="319">
        <f>MCF!R55</f>
        <v>0.8</v>
      </c>
      <c r="R56" s="87">
        <f t="shared" si="13"/>
        <v>0</v>
      </c>
      <c r="S56" s="87">
        <f t="shared" si="7"/>
        <v>0</v>
      </c>
      <c r="T56" s="87">
        <f t="shared" si="8"/>
        <v>0</v>
      </c>
      <c r="U56" s="87">
        <f t="shared" si="9"/>
        <v>0.9060475249756671</v>
      </c>
      <c r="V56" s="87">
        <f t="shared" si="10"/>
        <v>6.5695858165869855E-2</v>
      </c>
      <c r="W56" s="120">
        <f t="shared" si="11"/>
        <v>4.3797238777246568E-2</v>
      </c>
    </row>
    <row r="57" spans="2:23">
      <c r="B57" s="116">
        <f>Amnt_Deposited!B52</f>
        <v>2038</v>
      </c>
      <c r="C57" s="119">
        <f>Amnt_Deposited!D52</f>
        <v>0</v>
      </c>
      <c r="D57" s="453">
        <f>Dry_Matter_Content!D44</f>
        <v>0.44</v>
      </c>
      <c r="E57" s="319">
        <f>MCF!R56</f>
        <v>0.8</v>
      </c>
      <c r="F57" s="87">
        <f t="shared" si="12"/>
        <v>0</v>
      </c>
      <c r="G57" s="87">
        <f t="shared" si="1"/>
        <v>0</v>
      </c>
      <c r="H57" s="87">
        <f t="shared" si="2"/>
        <v>0</v>
      </c>
      <c r="I57" s="87">
        <f t="shared" si="3"/>
        <v>0.40887986660894188</v>
      </c>
      <c r="J57" s="87">
        <f t="shared" si="4"/>
        <v>2.9647135479280991E-2</v>
      </c>
      <c r="K57" s="120">
        <f t="shared" si="6"/>
        <v>1.9764756986187328E-2</v>
      </c>
      <c r="O57" s="116">
        <f>Amnt_Deposited!B52</f>
        <v>2038</v>
      </c>
      <c r="P57" s="119">
        <f>Amnt_Deposited!D52</f>
        <v>0</v>
      </c>
      <c r="Q57" s="319">
        <f>MCF!R56</f>
        <v>0.8</v>
      </c>
      <c r="R57" s="87">
        <f t="shared" si="13"/>
        <v>0</v>
      </c>
      <c r="S57" s="87">
        <f t="shared" si="7"/>
        <v>0</v>
      </c>
      <c r="T57" s="87">
        <f t="shared" si="8"/>
        <v>0</v>
      </c>
      <c r="U57" s="87">
        <f t="shared" si="9"/>
        <v>0.84479311282839231</v>
      </c>
      <c r="V57" s="87">
        <f t="shared" si="10"/>
        <v>6.1254412147274777E-2</v>
      </c>
      <c r="W57" s="120">
        <f t="shared" si="11"/>
        <v>4.0836274764849849E-2</v>
      </c>
    </row>
    <row r="58" spans="2:23">
      <c r="B58" s="116">
        <f>Amnt_Deposited!B53</f>
        <v>2039</v>
      </c>
      <c r="C58" s="119">
        <f>Amnt_Deposited!D53</f>
        <v>0</v>
      </c>
      <c r="D58" s="453">
        <f>Dry_Matter_Content!D45</f>
        <v>0.44</v>
      </c>
      <c r="E58" s="319">
        <f>MCF!R57</f>
        <v>0.8</v>
      </c>
      <c r="F58" s="87">
        <f t="shared" si="12"/>
        <v>0</v>
      </c>
      <c r="G58" s="87">
        <f t="shared" si="1"/>
        <v>0</v>
      </c>
      <c r="H58" s="87">
        <f t="shared" si="2"/>
        <v>0</v>
      </c>
      <c r="I58" s="87">
        <f t="shared" si="3"/>
        <v>0.3812370607101459</v>
      </c>
      <c r="J58" s="87">
        <f t="shared" si="4"/>
        <v>2.7642805898795971E-2</v>
      </c>
      <c r="K58" s="120">
        <f t="shared" si="6"/>
        <v>1.8428537265863978E-2</v>
      </c>
      <c r="O58" s="116">
        <f>Amnt_Deposited!B53</f>
        <v>2039</v>
      </c>
      <c r="P58" s="119">
        <f>Amnt_Deposited!D53</f>
        <v>0</v>
      </c>
      <c r="Q58" s="319">
        <f>MCF!R57</f>
        <v>0.8</v>
      </c>
      <c r="R58" s="87">
        <f t="shared" si="13"/>
        <v>0</v>
      </c>
      <c r="S58" s="87">
        <f t="shared" si="7"/>
        <v>0</v>
      </c>
      <c r="T58" s="87">
        <f t="shared" si="8"/>
        <v>0</v>
      </c>
      <c r="U58" s="87">
        <f t="shared" si="9"/>
        <v>0.78767987750030144</v>
      </c>
      <c r="V58" s="87">
        <f t="shared" si="10"/>
        <v>5.7113235328090851E-2</v>
      </c>
      <c r="W58" s="120">
        <f t="shared" si="11"/>
        <v>3.8075490218727234E-2</v>
      </c>
    </row>
    <row r="59" spans="2:23">
      <c r="B59" s="116">
        <f>Amnt_Deposited!B54</f>
        <v>2040</v>
      </c>
      <c r="C59" s="119">
        <f>Amnt_Deposited!D54</f>
        <v>0</v>
      </c>
      <c r="D59" s="453">
        <f>Dry_Matter_Content!D46</f>
        <v>0.44</v>
      </c>
      <c r="E59" s="319">
        <f>MCF!R58</f>
        <v>0.8</v>
      </c>
      <c r="F59" s="87">
        <f t="shared" si="12"/>
        <v>0</v>
      </c>
      <c r="G59" s="87">
        <f t="shared" si="1"/>
        <v>0</v>
      </c>
      <c r="H59" s="87">
        <f t="shared" si="2"/>
        <v>0</v>
      </c>
      <c r="I59" s="87">
        <f t="shared" si="3"/>
        <v>0.35546307932524884</v>
      </c>
      <c r="J59" s="87">
        <f t="shared" si="4"/>
        <v>2.5773981384897057E-2</v>
      </c>
      <c r="K59" s="120">
        <f t="shared" si="6"/>
        <v>1.7182654256598037E-2</v>
      </c>
      <c r="O59" s="116">
        <f>Amnt_Deposited!B54</f>
        <v>2040</v>
      </c>
      <c r="P59" s="119">
        <f>Amnt_Deposited!D54</f>
        <v>0</v>
      </c>
      <c r="Q59" s="319">
        <f>MCF!R58</f>
        <v>0.8</v>
      </c>
      <c r="R59" s="87">
        <f t="shared" si="13"/>
        <v>0</v>
      </c>
      <c r="S59" s="87">
        <f t="shared" si="7"/>
        <v>0</v>
      </c>
      <c r="T59" s="87">
        <f t="shared" si="8"/>
        <v>0</v>
      </c>
      <c r="U59" s="87">
        <f t="shared" si="9"/>
        <v>0.73442784984555542</v>
      </c>
      <c r="V59" s="87">
        <f t="shared" si="10"/>
        <v>5.325202765474598E-2</v>
      </c>
      <c r="W59" s="120">
        <f t="shared" si="11"/>
        <v>3.5501351769830651E-2</v>
      </c>
    </row>
    <row r="60" spans="2:23">
      <c r="B60" s="116">
        <f>Amnt_Deposited!B55</f>
        <v>2041</v>
      </c>
      <c r="C60" s="119">
        <f>Amnt_Deposited!D55</f>
        <v>0</v>
      </c>
      <c r="D60" s="453">
        <f>Dry_Matter_Content!D47</f>
        <v>0.44</v>
      </c>
      <c r="E60" s="319">
        <f>MCF!R59</f>
        <v>0.8</v>
      </c>
      <c r="F60" s="87">
        <f t="shared" si="12"/>
        <v>0</v>
      </c>
      <c r="G60" s="87">
        <f t="shared" si="1"/>
        <v>0</v>
      </c>
      <c r="H60" s="87">
        <f t="shared" si="2"/>
        <v>0</v>
      </c>
      <c r="I60" s="87">
        <f t="shared" si="3"/>
        <v>0.3314315783675999</v>
      </c>
      <c r="J60" s="87">
        <f t="shared" si="4"/>
        <v>2.4031500957648968E-2</v>
      </c>
      <c r="K60" s="120">
        <f t="shared" si="6"/>
        <v>1.6021000638432644E-2</v>
      </c>
      <c r="O60" s="116">
        <f>Amnt_Deposited!B55</f>
        <v>2041</v>
      </c>
      <c r="P60" s="119">
        <f>Amnt_Deposited!D55</f>
        <v>0</v>
      </c>
      <c r="Q60" s="319">
        <f>MCF!R59</f>
        <v>0.8</v>
      </c>
      <c r="R60" s="87">
        <f t="shared" si="13"/>
        <v>0</v>
      </c>
      <c r="S60" s="87">
        <f t="shared" si="7"/>
        <v>0</v>
      </c>
      <c r="T60" s="87">
        <f t="shared" si="8"/>
        <v>0</v>
      </c>
      <c r="U60" s="87">
        <f t="shared" si="9"/>
        <v>0.68477598836280962</v>
      </c>
      <c r="V60" s="87">
        <f t="shared" si="10"/>
        <v>4.96518614827458E-2</v>
      </c>
      <c r="W60" s="120">
        <f t="shared" si="11"/>
        <v>3.3101240988497198E-2</v>
      </c>
    </row>
    <row r="61" spans="2:23">
      <c r="B61" s="116">
        <f>Amnt_Deposited!B56</f>
        <v>2042</v>
      </c>
      <c r="C61" s="119">
        <f>Amnt_Deposited!D56</f>
        <v>0</v>
      </c>
      <c r="D61" s="453">
        <f>Dry_Matter_Content!D48</f>
        <v>0.44</v>
      </c>
      <c r="E61" s="319">
        <f>MCF!R60</f>
        <v>0.8</v>
      </c>
      <c r="F61" s="87">
        <f t="shared" si="12"/>
        <v>0</v>
      </c>
      <c r="G61" s="87">
        <f t="shared" si="1"/>
        <v>0</v>
      </c>
      <c r="H61" s="87">
        <f t="shared" si="2"/>
        <v>0</v>
      </c>
      <c r="I61" s="87">
        <f t="shared" si="3"/>
        <v>0.30902475539162411</v>
      </c>
      <c r="J61" s="87">
        <f t="shared" si="4"/>
        <v>2.2406822975975776E-2</v>
      </c>
      <c r="K61" s="120">
        <f t="shared" si="6"/>
        <v>1.4937881983983849E-2</v>
      </c>
      <c r="O61" s="116">
        <f>Amnt_Deposited!B56</f>
        <v>2042</v>
      </c>
      <c r="P61" s="119">
        <f>Amnt_Deposited!D56</f>
        <v>0</v>
      </c>
      <c r="Q61" s="319">
        <f>MCF!R60</f>
        <v>0.8</v>
      </c>
      <c r="R61" s="87">
        <f t="shared" si="13"/>
        <v>0</v>
      </c>
      <c r="S61" s="87">
        <f t="shared" si="7"/>
        <v>0</v>
      </c>
      <c r="T61" s="87">
        <f t="shared" si="8"/>
        <v>0</v>
      </c>
      <c r="U61" s="87">
        <f t="shared" si="9"/>
        <v>0.63848089956947129</v>
      </c>
      <c r="V61" s="87">
        <f t="shared" si="10"/>
        <v>4.6295088793338379E-2</v>
      </c>
      <c r="W61" s="120">
        <f t="shared" si="11"/>
        <v>3.0863392528892253E-2</v>
      </c>
    </row>
    <row r="62" spans="2:23">
      <c r="B62" s="116">
        <f>Amnt_Deposited!B57</f>
        <v>2043</v>
      </c>
      <c r="C62" s="119">
        <f>Amnt_Deposited!D57</f>
        <v>0</v>
      </c>
      <c r="D62" s="453">
        <f>Dry_Matter_Content!D49</f>
        <v>0.44</v>
      </c>
      <c r="E62" s="319">
        <f>MCF!R61</f>
        <v>0.8</v>
      </c>
      <c r="F62" s="87">
        <f t="shared" si="12"/>
        <v>0</v>
      </c>
      <c r="G62" s="87">
        <f t="shared" si="1"/>
        <v>0</v>
      </c>
      <c r="H62" s="87">
        <f t="shared" si="2"/>
        <v>0</v>
      </c>
      <c r="I62" s="87">
        <f t="shared" si="3"/>
        <v>0.28813277212509769</v>
      </c>
      <c r="J62" s="87">
        <f t="shared" si="4"/>
        <v>2.0891983266526422E-2</v>
      </c>
      <c r="K62" s="120">
        <f t="shared" si="6"/>
        <v>1.3927988844350947E-2</v>
      </c>
      <c r="O62" s="116">
        <f>Amnt_Deposited!B57</f>
        <v>2043</v>
      </c>
      <c r="P62" s="119">
        <f>Amnt_Deposited!D57</f>
        <v>0</v>
      </c>
      <c r="Q62" s="319">
        <f>MCF!R61</f>
        <v>0.8</v>
      </c>
      <c r="R62" s="87">
        <f t="shared" si="13"/>
        <v>0</v>
      </c>
      <c r="S62" s="87">
        <f t="shared" si="7"/>
        <v>0</v>
      </c>
      <c r="T62" s="87">
        <f t="shared" si="8"/>
        <v>0</v>
      </c>
      <c r="U62" s="87">
        <f t="shared" si="9"/>
        <v>0.59531564488656541</v>
      </c>
      <c r="V62" s="87">
        <f t="shared" si="10"/>
        <v>4.3165254682905829E-2</v>
      </c>
      <c r="W62" s="120">
        <f t="shared" si="11"/>
        <v>2.8776836455270551E-2</v>
      </c>
    </row>
    <row r="63" spans="2:23">
      <c r="B63" s="116">
        <f>Amnt_Deposited!B58</f>
        <v>2044</v>
      </c>
      <c r="C63" s="119">
        <f>Amnt_Deposited!D58</f>
        <v>0</v>
      </c>
      <c r="D63" s="453">
        <f>Dry_Matter_Content!D50</f>
        <v>0.44</v>
      </c>
      <c r="E63" s="319">
        <f>MCF!R62</f>
        <v>0.8</v>
      </c>
      <c r="F63" s="87">
        <f t="shared" si="12"/>
        <v>0</v>
      </c>
      <c r="G63" s="87">
        <f t="shared" si="1"/>
        <v>0</v>
      </c>
      <c r="H63" s="87">
        <f t="shared" si="2"/>
        <v>0</v>
      </c>
      <c r="I63" s="87">
        <f t="shared" si="3"/>
        <v>0.26865321604180997</v>
      </c>
      <c r="J63" s="87">
        <f t="shared" si="4"/>
        <v>1.9479556083287723E-2</v>
      </c>
      <c r="K63" s="120">
        <f t="shared" si="6"/>
        <v>1.2986370722191814E-2</v>
      </c>
      <c r="O63" s="116">
        <f>Amnt_Deposited!B58</f>
        <v>2044</v>
      </c>
      <c r="P63" s="119">
        <f>Amnt_Deposited!D58</f>
        <v>0</v>
      </c>
      <c r="Q63" s="319">
        <f>MCF!R62</f>
        <v>0.8</v>
      </c>
      <c r="R63" s="87">
        <f t="shared" si="13"/>
        <v>0</v>
      </c>
      <c r="S63" s="87">
        <f t="shared" si="7"/>
        <v>0</v>
      </c>
      <c r="T63" s="87">
        <f t="shared" si="8"/>
        <v>0</v>
      </c>
      <c r="U63" s="87">
        <f t="shared" si="9"/>
        <v>0.55506862818555769</v>
      </c>
      <c r="V63" s="87">
        <f t="shared" si="10"/>
        <v>4.0247016701007686E-2</v>
      </c>
      <c r="W63" s="120">
        <f t="shared" si="11"/>
        <v>2.6831344467338456E-2</v>
      </c>
    </row>
    <row r="64" spans="2:23">
      <c r="B64" s="116">
        <f>Amnt_Deposited!B59</f>
        <v>2045</v>
      </c>
      <c r="C64" s="119">
        <f>Amnt_Deposited!D59</f>
        <v>0</v>
      </c>
      <c r="D64" s="453">
        <f>Dry_Matter_Content!D51</f>
        <v>0.44</v>
      </c>
      <c r="E64" s="319">
        <f>MCF!R63</f>
        <v>0.8</v>
      </c>
      <c r="F64" s="87">
        <f t="shared" si="12"/>
        <v>0</v>
      </c>
      <c r="G64" s="87">
        <f t="shared" si="1"/>
        <v>0</v>
      </c>
      <c r="H64" s="87">
        <f t="shared" si="2"/>
        <v>0</v>
      </c>
      <c r="I64" s="87">
        <f t="shared" si="3"/>
        <v>0.25049059833524118</v>
      </c>
      <c r="J64" s="87">
        <f t="shared" si="4"/>
        <v>1.8162617706568792E-2</v>
      </c>
      <c r="K64" s="120">
        <f t="shared" si="6"/>
        <v>1.2108411804379195E-2</v>
      </c>
      <c r="O64" s="116">
        <f>Amnt_Deposited!B59</f>
        <v>2045</v>
      </c>
      <c r="P64" s="119">
        <f>Amnt_Deposited!D59</f>
        <v>0</v>
      </c>
      <c r="Q64" s="319">
        <f>MCF!R63</f>
        <v>0.8</v>
      </c>
      <c r="R64" s="87">
        <f t="shared" si="13"/>
        <v>0</v>
      </c>
      <c r="S64" s="87">
        <f t="shared" si="7"/>
        <v>0</v>
      </c>
      <c r="T64" s="87">
        <f t="shared" si="8"/>
        <v>0</v>
      </c>
      <c r="U64" s="87">
        <f t="shared" si="9"/>
        <v>0.51754255854388664</v>
      </c>
      <c r="V64" s="87">
        <f t="shared" si="10"/>
        <v>3.7526069641671052E-2</v>
      </c>
      <c r="W64" s="120">
        <f t="shared" si="11"/>
        <v>2.5017379761114032E-2</v>
      </c>
    </row>
    <row r="65" spans="2:23">
      <c r="B65" s="116">
        <f>Amnt_Deposited!B60</f>
        <v>2046</v>
      </c>
      <c r="C65" s="119">
        <f>Amnt_Deposited!D60</f>
        <v>0</v>
      </c>
      <c r="D65" s="453">
        <f>Dry_Matter_Content!D52</f>
        <v>0.44</v>
      </c>
      <c r="E65" s="319">
        <f>MCF!R64</f>
        <v>0.8</v>
      </c>
      <c r="F65" s="87">
        <f t="shared" si="12"/>
        <v>0</v>
      </c>
      <c r="G65" s="87">
        <f t="shared" si="1"/>
        <v>0</v>
      </c>
      <c r="H65" s="87">
        <f t="shared" si="2"/>
        <v>0</v>
      </c>
      <c r="I65" s="87">
        <f t="shared" si="3"/>
        <v>0.23355588583232209</v>
      </c>
      <c r="J65" s="87">
        <f t="shared" si="4"/>
        <v>1.6934712502919089E-2</v>
      </c>
      <c r="K65" s="120">
        <f t="shared" si="6"/>
        <v>1.1289808335279393E-2</v>
      </c>
      <c r="O65" s="116">
        <f>Amnt_Deposited!B60</f>
        <v>2046</v>
      </c>
      <c r="P65" s="119">
        <f>Amnt_Deposited!D60</f>
        <v>0</v>
      </c>
      <c r="Q65" s="319">
        <f>MCF!R64</f>
        <v>0.8</v>
      </c>
      <c r="R65" s="87">
        <f t="shared" si="13"/>
        <v>0</v>
      </c>
      <c r="S65" s="87">
        <f t="shared" si="7"/>
        <v>0</v>
      </c>
      <c r="T65" s="87">
        <f t="shared" si="8"/>
        <v>0</v>
      </c>
      <c r="U65" s="87">
        <f t="shared" si="9"/>
        <v>0.48255348312463231</v>
      </c>
      <c r="V65" s="87">
        <f t="shared" si="10"/>
        <v>3.4989075419254306E-2</v>
      </c>
      <c r="W65" s="120">
        <f t="shared" si="11"/>
        <v>2.332605027950287E-2</v>
      </c>
    </row>
    <row r="66" spans="2:23">
      <c r="B66" s="116">
        <f>Amnt_Deposited!B61</f>
        <v>2047</v>
      </c>
      <c r="C66" s="119">
        <f>Amnt_Deposited!D61</f>
        <v>0</v>
      </c>
      <c r="D66" s="453">
        <f>Dry_Matter_Content!D53</f>
        <v>0.44</v>
      </c>
      <c r="E66" s="319">
        <f>MCF!R65</f>
        <v>0.8</v>
      </c>
      <c r="F66" s="87">
        <f t="shared" si="12"/>
        <v>0</v>
      </c>
      <c r="G66" s="87">
        <f t="shared" si="1"/>
        <v>0</v>
      </c>
      <c r="H66" s="87">
        <f t="shared" si="2"/>
        <v>0</v>
      </c>
      <c r="I66" s="87">
        <f t="shared" si="3"/>
        <v>0.21776606455271633</v>
      </c>
      <c r="J66" s="87">
        <f t="shared" si="4"/>
        <v>1.5789821279605751E-2</v>
      </c>
      <c r="K66" s="120">
        <f t="shared" si="6"/>
        <v>1.0526547519737167E-2</v>
      </c>
      <c r="O66" s="116">
        <f>Amnt_Deposited!B61</f>
        <v>2047</v>
      </c>
      <c r="P66" s="119">
        <f>Amnt_Deposited!D61</f>
        <v>0</v>
      </c>
      <c r="Q66" s="319">
        <f>MCF!R65</f>
        <v>0.8</v>
      </c>
      <c r="R66" s="87">
        <f t="shared" si="13"/>
        <v>0</v>
      </c>
      <c r="S66" s="87">
        <f t="shared" si="7"/>
        <v>0</v>
      </c>
      <c r="T66" s="87">
        <f t="shared" si="8"/>
        <v>0</v>
      </c>
      <c r="U66" s="87">
        <f t="shared" si="9"/>
        <v>0.44992988543949647</v>
      </c>
      <c r="V66" s="87">
        <f t="shared" si="10"/>
        <v>3.2623597685135841E-2</v>
      </c>
      <c r="W66" s="120">
        <f t="shared" si="11"/>
        <v>2.1749065123423894E-2</v>
      </c>
    </row>
    <row r="67" spans="2:23">
      <c r="B67" s="116">
        <f>Amnt_Deposited!B62</f>
        <v>2048</v>
      </c>
      <c r="C67" s="119">
        <f>Amnt_Deposited!D62</f>
        <v>0</v>
      </c>
      <c r="D67" s="453">
        <f>Dry_Matter_Content!D54</f>
        <v>0.44</v>
      </c>
      <c r="E67" s="319">
        <f>MCF!R66</f>
        <v>0.8</v>
      </c>
      <c r="F67" s="87">
        <f t="shared" si="12"/>
        <v>0</v>
      </c>
      <c r="G67" s="87">
        <f t="shared" si="1"/>
        <v>0</v>
      </c>
      <c r="H67" s="87">
        <f t="shared" si="2"/>
        <v>0</v>
      </c>
      <c r="I67" s="87">
        <f t="shared" si="3"/>
        <v>0.20304373277419249</v>
      </c>
      <c r="J67" s="87">
        <f t="shared" si="4"/>
        <v>1.4722331778523834E-2</v>
      </c>
      <c r="K67" s="120">
        <f t="shared" si="6"/>
        <v>9.814887852349222E-3</v>
      </c>
      <c r="O67" s="116">
        <f>Amnt_Deposited!B62</f>
        <v>2048</v>
      </c>
      <c r="P67" s="119">
        <f>Amnt_Deposited!D62</f>
        <v>0</v>
      </c>
      <c r="Q67" s="319">
        <f>MCF!R66</f>
        <v>0.8</v>
      </c>
      <c r="R67" s="87">
        <f t="shared" si="13"/>
        <v>0</v>
      </c>
      <c r="S67" s="87">
        <f t="shared" si="7"/>
        <v>0</v>
      </c>
      <c r="T67" s="87">
        <f t="shared" si="8"/>
        <v>0</v>
      </c>
      <c r="U67" s="87">
        <f t="shared" si="9"/>
        <v>0.4195118445747778</v>
      </c>
      <c r="V67" s="87">
        <f t="shared" si="10"/>
        <v>3.0418040864718662E-2</v>
      </c>
      <c r="W67" s="120">
        <f t="shared" si="11"/>
        <v>2.0278693909812441E-2</v>
      </c>
    </row>
    <row r="68" spans="2:23">
      <c r="B68" s="116">
        <f>Amnt_Deposited!B63</f>
        <v>2049</v>
      </c>
      <c r="C68" s="119">
        <f>Amnt_Deposited!D63</f>
        <v>0</v>
      </c>
      <c r="D68" s="453">
        <f>Dry_Matter_Content!D55</f>
        <v>0.44</v>
      </c>
      <c r="E68" s="319">
        <f>MCF!R67</f>
        <v>0.8</v>
      </c>
      <c r="F68" s="87">
        <f t="shared" si="12"/>
        <v>0</v>
      </c>
      <c r="G68" s="87">
        <f t="shared" si="1"/>
        <v>0</v>
      </c>
      <c r="H68" s="87">
        <f t="shared" si="2"/>
        <v>0</v>
      </c>
      <c r="I68" s="87">
        <f t="shared" si="3"/>
        <v>0.18931672160929192</v>
      </c>
      <c r="J68" s="87">
        <f t="shared" si="4"/>
        <v>1.3727011164900571E-2</v>
      </c>
      <c r="K68" s="120">
        <f t="shared" si="6"/>
        <v>9.1513407766003804E-3</v>
      </c>
      <c r="O68" s="116">
        <f>Amnt_Deposited!B63</f>
        <v>2049</v>
      </c>
      <c r="P68" s="119">
        <f>Amnt_Deposited!D63</f>
        <v>0</v>
      </c>
      <c r="Q68" s="319">
        <f>MCF!R67</f>
        <v>0.8</v>
      </c>
      <c r="R68" s="87">
        <f t="shared" si="13"/>
        <v>0</v>
      </c>
      <c r="S68" s="87">
        <f t="shared" si="7"/>
        <v>0</v>
      </c>
      <c r="T68" s="87">
        <f t="shared" si="8"/>
        <v>0</v>
      </c>
      <c r="U68" s="87">
        <f t="shared" si="9"/>
        <v>0.39115025125886754</v>
      </c>
      <c r="V68" s="87">
        <f t="shared" si="10"/>
        <v>2.8361593315910264E-2</v>
      </c>
      <c r="W68" s="120">
        <f t="shared" si="11"/>
        <v>1.8907728877273509E-2</v>
      </c>
    </row>
    <row r="69" spans="2:23">
      <c r="B69" s="116">
        <f>Amnt_Deposited!B64</f>
        <v>2050</v>
      </c>
      <c r="C69" s="119">
        <f>Amnt_Deposited!D64</f>
        <v>0</v>
      </c>
      <c r="D69" s="453">
        <f>Dry_Matter_Content!D56</f>
        <v>0.44</v>
      </c>
      <c r="E69" s="319">
        <f>MCF!R68</f>
        <v>0.8</v>
      </c>
      <c r="F69" s="87">
        <f t="shared" si="12"/>
        <v>0</v>
      </c>
      <c r="G69" s="87">
        <f t="shared" si="1"/>
        <v>0</v>
      </c>
      <c r="H69" s="87">
        <f t="shared" si="2"/>
        <v>0</v>
      </c>
      <c r="I69" s="87">
        <f t="shared" si="3"/>
        <v>0.17651774123335867</v>
      </c>
      <c r="J69" s="87">
        <f t="shared" si="4"/>
        <v>1.2798980375933244E-2</v>
      </c>
      <c r="K69" s="120">
        <f t="shared" si="6"/>
        <v>8.5326535839554962E-3</v>
      </c>
      <c r="O69" s="116">
        <f>Amnt_Deposited!B64</f>
        <v>2050</v>
      </c>
      <c r="P69" s="119">
        <f>Amnt_Deposited!D64</f>
        <v>0</v>
      </c>
      <c r="Q69" s="319">
        <f>MCF!R68</f>
        <v>0.8</v>
      </c>
      <c r="R69" s="87">
        <f t="shared" si="13"/>
        <v>0</v>
      </c>
      <c r="S69" s="87">
        <f t="shared" si="7"/>
        <v>0</v>
      </c>
      <c r="T69" s="87">
        <f t="shared" si="8"/>
        <v>0</v>
      </c>
      <c r="U69" s="87">
        <f t="shared" si="9"/>
        <v>0.36470607692842694</v>
      </c>
      <c r="V69" s="87">
        <f t="shared" si="10"/>
        <v>2.6444174330440582E-2</v>
      </c>
      <c r="W69" s="120">
        <f t="shared" si="11"/>
        <v>1.7629449553627052E-2</v>
      </c>
    </row>
    <row r="70" spans="2:23">
      <c r="B70" s="116">
        <f>Amnt_Deposited!B65</f>
        <v>2051</v>
      </c>
      <c r="C70" s="119">
        <f>Amnt_Deposited!D65</f>
        <v>0</v>
      </c>
      <c r="D70" s="453">
        <f>Dry_Matter_Content!D57</f>
        <v>0.44</v>
      </c>
      <c r="E70" s="319">
        <f>MCF!R69</f>
        <v>0.8</v>
      </c>
      <c r="F70" s="87">
        <f t="shared" si="12"/>
        <v>0</v>
      </c>
      <c r="G70" s="87">
        <f t="shared" si="1"/>
        <v>0</v>
      </c>
      <c r="H70" s="87">
        <f t="shared" si="2"/>
        <v>0</v>
      </c>
      <c r="I70" s="87">
        <f t="shared" si="3"/>
        <v>0.164584051029741</v>
      </c>
      <c r="J70" s="87">
        <f t="shared" si="4"/>
        <v>1.1933690203617666E-2</v>
      </c>
      <c r="K70" s="120">
        <f t="shared" si="6"/>
        <v>7.9557934690784437E-3</v>
      </c>
      <c r="O70" s="116">
        <f>Amnt_Deposited!B65</f>
        <v>2051</v>
      </c>
      <c r="P70" s="119">
        <f>Amnt_Deposited!D65</f>
        <v>0</v>
      </c>
      <c r="Q70" s="319">
        <f>MCF!R69</f>
        <v>0.8</v>
      </c>
      <c r="R70" s="87">
        <f t="shared" si="13"/>
        <v>0</v>
      </c>
      <c r="S70" s="87">
        <f t="shared" si="7"/>
        <v>0</v>
      </c>
      <c r="T70" s="87">
        <f t="shared" si="8"/>
        <v>0</v>
      </c>
      <c r="U70" s="87">
        <f t="shared" si="9"/>
        <v>0.34004969221020864</v>
      </c>
      <c r="V70" s="87">
        <f t="shared" si="10"/>
        <v>2.4656384718218315E-2</v>
      </c>
      <c r="W70" s="120">
        <f t="shared" si="11"/>
        <v>1.6437589812145541E-2</v>
      </c>
    </row>
    <row r="71" spans="2:23">
      <c r="B71" s="116">
        <f>Amnt_Deposited!B66</f>
        <v>2052</v>
      </c>
      <c r="C71" s="119">
        <f>Amnt_Deposited!D66</f>
        <v>0</v>
      </c>
      <c r="D71" s="453">
        <f>Dry_Matter_Content!D58</f>
        <v>0.44</v>
      </c>
      <c r="E71" s="319">
        <f>MCF!R70</f>
        <v>0.8</v>
      </c>
      <c r="F71" s="87">
        <f t="shared" si="12"/>
        <v>0</v>
      </c>
      <c r="G71" s="87">
        <f t="shared" si="1"/>
        <v>0</v>
      </c>
      <c r="H71" s="87">
        <f t="shared" si="2"/>
        <v>0</v>
      </c>
      <c r="I71" s="87">
        <f t="shared" si="3"/>
        <v>0.15345715203521573</v>
      </c>
      <c r="J71" s="87">
        <f t="shared" si="4"/>
        <v>1.1126898994525269E-2</v>
      </c>
      <c r="K71" s="120">
        <f t="shared" si="6"/>
        <v>7.4179326630168458E-3</v>
      </c>
      <c r="O71" s="116">
        <f>Amnt_Deposited!B66</f>
        <v>2052</v>
      </c>
      <c r="P71" s="119">
        <f>Amnt_Deposited!D66</f>
        <v>0</v>
      </c>
      <c r="Q71" s="319">
        <f>MCF!R70</f>
        <v>0.8</v>
      </c>
      <c r="R71" s="87">
        <f t="shared" si="13"/>
        <v>0</v>
      </c>
      <c r="S71" s="87">
        <f t="shared" si="7"/>
        <v>0</v>
      </c>
      <c r="T71" s="87">
        <f t="shared" si="8"/>
        <v>0</v>
      </c>
      <c r="U71" s="87">
        <f t="shared" si="9"/>
        <v>0.31706023147771845</v>
      </c>
      <c r="V71" s="87">
        <f t="shared" si="10"/>
        <v>2.2989460732490224E-2</v>
      </c>
      <c r="W71" s="120">
        <f t="shared" si="11"/>
        <v>1.5326307154993482E-2</v>
      </c>
    </row>
    <row r="72" spans="2:23">
      <c r="B72" s="116">
        <f>Amnt_Deposited!B67</f>
        <v>2053</v>
      </c>
      <c r="C72" s="119">
        <f>Amnt_Deposited!D67</f>
        <v>0</v>
      </c>
      <c r="D72" s="453">
        <f>Dry_Matter_Content!D59</f>
        <v>0.44</v>
      </c>
      <c r="E72" s="319">
        <f>MCF!R71</f>
        <v>0.8</v>
      </c>
      <c r="F72" s="87">
        <f t="shared" si="12"/>
        <v>0</v>
      </c>
      <c r="G72" s="87">
        <f t="shared" si="1"/>
        <v>0</v>
      </c>
      <c r="H72" s="87">
        <f t="shared" si="2"/>
        <v>0</v>
      </c>
      <c r="I72" s="87">
        <f t="shared" si="3"/>
        <v>0.14308250017800267</v>
      </c>
      <c r="J72" s="87">
        <f t="shared" si="4"/>
        <v>1.0374651857213072E-2</v>
      </c>
      <c r="K72" s="120">
        <f t="shared" si="6"/>
        <v>6.9164345714753809E-3</v>
      </c>
      <c r="O72" s="116">
        <f>Amnt_Deposited!B67</f>
        <v>2053</v>
      </c>
      <c r="P72" s="119">
        <f>Amnt_Deposited!D67</f>
        <v>0</v>
      </c>
      <c r="Q72" s="319">
        <f>MCF!R71</f>
        <v>0.8</v>
      </c>
      <c r="R72" s="87">
        <f t="shared" si="13"/>
        <v>0</v>
      </c>
      <c r="S72" s="87">
        <f t="shared" si="7"/>
        <v>0</v>
      </c>
      <c r="T72" s="87">
        <f t="shared" si="8"/>
        <v>0</v>
      </c>
      <c r="U72" s="87">
        <f t="shared" si="9"/>
        <v>0.29562500036777406</v>
      </c>
      <c r="V72" s="87">
        <f t="shared" si="10"/>
        <v>2.1435231109944362E-2</v>
      </c>
      <c r="W72" s="120">
        <f t="shared" si="11"/>
        <v>1.429015407329624E-2</v>
      </c>
    </row>
    <row r="73" spans="2:23">
      <c r="B73" s="116">
        <f>Amnt_Deposited!B68</f>
        <v>2054</v>
      </c>
      <c r="C73" s="119">
        <f>Amnt_Deposited!D68</f>
        <v>0</v>
      </c>
      <c r="D73" s="453">
        <f>Dry_Matter_Content!D60</f>
        <v>0.44</v>
      </c>
      <c r="E73" s="319">
        <f>MCF!R72</f>
        <v>0.8</v>
      </c>
      <c r="F73" s="87">
        <f t="shared" si="12"/>
        <v>0</v>
      </c>
      <c r="G73" s="87">
        <f t="shared" si="1"/>
        <v>0</v>
      </c>
      <c r="H73" s="87">
        <f t="shared" si="2"/>
        <v>0</v>
      </c>
      <c r="I73" s="87">
        <f t="shared" si="3"/>
        <v>0.13340923890266143</v>
      </c>
      <c r="J73" s="87">
        <f t="shared" si="4"/>
        <v>9.6732612753412366E-3</v>
      </c>
      <c r="K73" s="120">
        <f t="shared" si="6"/>
        <v>6.4488408502274908E-3</v>
      </c>
      <c r="O73" s="116">
        <f>Amnt_Deposited!B68</f>
        <v>2054</v>
      </c>
      <c r="P73" s="119">
        <f>Amnt_Deposited!D68</f>
        <v>0</v>
      </c>
      <c r="Q73" s="319">
        <f>MCF!R72</f>
        <v>0.8</v>
      </c>
      <c r="R73" s="87">
        <f t="shared" si="13"/>
        <v>0</v>
      </c>
      <c r="S73" s="87">
        <f t="shared" si="7"/>
        <v>0</v>
      </c>
      <c r="T73" s="87">
        <f t="shared" si="8"/>
        <v>0</v>
      </c>
      <c r="U73" s="87">
        <f t="shared" si="9"/>
        <v>0.2756389233526062</v>
      </c>
      <c r="V73" s="87">
        <f t="shared" si="10"/>
        <v>1.9986077015167841E-2</v>
      </c>
      <c r="W73" s="120">
        <f t="shared" si="11"/>
        <v>1.3324051343445227E-2</v>
      </c>
    </row>
    <row r="74" spans="2:23">
      <c r="B74" s="116">
        <f>Amnt_Deposited!B69</f>
        <v>2055</v>
      </c>
      <c r="C74" s="119">
        <f>Amnt_Deposited!D69</f>
        <v>0</v>
      </c>
      <c r="D74" s="453">
        <f>Dry_Matter_Content!D61</f>
        <v>0.44</v>
      </c>
      <c r="E74" s="319">
        <f>MCF!R73</f>
        <v>0.8</v>
      </c>
      <c r="F74" s="87">
        <f t="shared" si="12"/>
        <v>0</v>
      </c>
      <c r="G74" s="87">
        <f t="shared" si="1"/>
        <v>0</v>
      </c>
      <c r="H74" s="87">
        <f t="shared" si="2"/>
        <v>0</v>
      </c>
      <c r="I74" s="87">
        <f t="shared" si="3"/>
        <v>0.12438994987119772</v>
      </c>
      <c r="J74" s="87">
        <f t="shared" si="4"/>
        <v>9.0192890314637012E-3</v>
      </c>
      <c r="K74" s="120">
        <f t="shared" si="6"/>
        <v>6.0128593543091339E-3</v>
      </c>
      <c r="O74" s="116">
        <f>Amnt_Deposited!B69</f>
        <v>2055</v>
      </c>
      <c r="P74" s="119">
        <f>Amnt_Deposited!D69</f>
        <v>0</v>
      </c>
      <c r="Q74" s="319">
        <f>MCF!R73</f>
        <v>0.8</v>
      </c>
      <c r="R74" s="87">
        <f t="shared" si="13"/>
        <v>0</v>
      </c>
      <c r="S74" s="87">
        <f t="shared" si="7"/>
        <v>0</v>
      </c>
      <c r="T74" s="87">
        <f t="shared" si="8"/>
        <v>0</v>
      </c>
      <c r="U74" s="87">
        <f t="shared" si="9"/>
        <v>0.2570040286594994</v>
      </c>
      <c r="V74" s="87">
        <f t="shared" si="10"/>
        <v>1.8634894693106814E-2</v>
      </c>
      <c r="W74" s="120">
        <f t="shared" si="11"/>
        <v>1.2423263128737875E-2</v>
      </c>
    </row>
    <row r="75" spans="2:23">
      <c r="B75" s="116">
        <f>Amnt_Deposited!B70</f>
        <v>2056</v>
      </c>
      <c r="C75" s="119">
        <f>Amnt_Deposited!D70</f>
        <v>0</v>
      </c>
      <c r="D75" s="453">
        <f>Dry_Matter_Content!D62</f>
        <v>0.44</v>
      </c>
      <c r="E75" s="319">
        <f>MCF!R74</f>
        <v>0.8</v>
      </c>
      <c r="F75" s="87">
        <f t="shared" si="12"/>
        <v>0</v>
      </c>
      <c r="G75" s="87">
        <f t="shared" si="1"/>
        <v>0</v>
      </c>
      <c r="H75" s="87">
        <f t="shared" si="2"/>
        <v>0</v>
      </c>
      <c r="I75" s="87">
        <f t="shared" si="3"/>
        <v>0.11598042051831546</v>
      </c>
      <c r="J75" s="87">
        <f t="shared" si="4"/>
        <v>8.4095293528822605E-3</v>
      </c>
      <c r="K75" s="120">
        <f t="shared" si="6"/>
        <v>5.6063529019215064E-3</v>
      </c>
      <c r="O75" s="116">
        <f>Amnt_Deposited!B70</f>
        <v>2056</v>
      </c>
      <c r="P75" s="119">
        <f>Amnt_Deposited!D70</f>
        <v>0</v>
      </c>
      <c r="Q75" s="319">
        <f>MCF!R74</f>
        <v>0.8</v>
      </c>
      <c r="R75" s="87">
        <f t="shared" si="13"/>
        <v>0</v>
      </c>
      <c r="S75" s="87">
        <f t="shared" si="7"/>
        <v>0</v>
      </c>
      <c r="T75" s="87">
        <f t="shared" si="8"/>
        <v>0</v>
      </c>
      <c r="U75" s="87">
        <f t="shared" si="9"/>
        <v>0.23962896801304845</v>
      </c>
      <c r="V75" s="87">
        <f t="shared" si="10"/>
        <v>1.7375060646450946E-2</v>
      </c>
      <c r="W75" s="120">
        <f t="shared" si="11"/>
        <v>1.1583373764300631E-2</v>
      </c>
    </row>
    <row r="76" spans="2:23">
      <c r="B76" s="116">
        <f>Amnt_Deposited!B71</f>
        <v>2057</v>
      </c>
      <c r="C76" s="119">
        <f>Amnt_Deposited!D71</f>
        <v>0</v>
      </c>
      <c r="D76" s="453">
        <f>Dry_Matter_Content!D63</f>
        <v>0.44</v>
      </c>
      <c r="E76" s="319">
        <f>MCF!R75</f>
        <v>0.8</v>
      </c>
      <c r="F76" s="87">
        <f t="shared" si="12"/>
        <v>0</v>
      </c>
      <c r="G76" s="87">
        <f t="shared" si="1"/>
        <v>0</v>
      </c>
      <c r="H76" s="87">
        <f t="shared" si="2"/>
        <v>0</v>
      </c>
      <c r="I76" s="87">
        <f t="shared" si="3"/>
        <v>0.10813942732137037</v>
      </c>
      <c r="J76" s="87">
        <f t="shared" si="4"/>
        <v>7.8409931969450879E-3</v>
      </c>
      <c r="K76" s="120">
        <f t="shared" si="6"/>
        <v>5.2273287979633914E-3</v>
      </c>
      <c r="O76" s="116">
        <f>Amnt_Deposited!B71</f>
        <v>2057</v>
      </c>
      <c r="P76" s="119">
        <f>Amnt_Deposited!D71</f>
        <v>0</v>
      </c>
      <c r="Q76" s="319">
        <f>MCF!R75</f>
        <v>0.8</v>
      </c>
      <c r="R76" s="87">
        <f t="shared" si="13"/>
        <v>0</v>
      </c>
      <c r="S76" s="87">
        <f t="shared" si="7"/>
        <v>0</v>
      </c>
      <c r="T76" s="87">
        <f t="shared" si="8"/>
        <v>0</v>
      </c>
      <c r="U76" s="87">
        <f t="shared" si="9"/>
        <v>0.22342856884580653</v>
      </c>
      <c r="V76" s="87">
        <f t="shared" si="10"/>
        <v>1.6200399167241916E-2</v>
      </c>
      <c r="W76" s="120">
        <f t="shared" si="11"/>
        <v>1.080026611149461E-2</v>
      </c>
    </row>
    <row r="77" spans="2:23">
      <c r="B77" s="116">
        <f>Amnt_Deposited!B72</f>
        <v>2058</v>
      </c>
      <c r="C77" s="119">
        <f>Amnt_Deposited!D72</f>
        <v>0</v>
      </c>
      <c r="D77" s="453">
        <f>Dry_Matter_Content!D64</f>
        <v>0.44</v>
      </c>
      <c r="E77" s="319">
        <f>MCF!R76</f>
        <v>0.8</v>
      </c>
      <c r="F77" s="87">
        <f t="shared" si="12"/>
        <v>0</v>
      </c>
      <c r="G77" s="87">
        <f t="shared" si="1"/>
        <v>0</v>
      </c>
      <c r="H77" s="87">
        <f t="shared" si="2"/>
        <v>0</v>
      </c>
      <c r="I77" s="87">
        <f t="shared" si="3"/>
        <v>0.10082853372261419</v>
      </c>
      <c r="J77" s="87">
        <f t="shared" si="4"/>
        <v>7.3108935987561833E-3</v>
      </c>
      <c r="K77" s="120">
        <f t="shared" si="6"/>
        <v>4.8739290658374552E-3</v>
      </c>
      <c r="O77" s="116">
        <f>Amnt_Deposited!B72</f>
        <v>2058</v>
      </c>
      <c r="P77" s="119">
        <f>Amnt_Deposited!D72</f>
        <v>0</v>
      </c>
      <c r="Q77" s="319">
        <f>MCF!R76</f>
        <v>0.8</v>
      </c>
      <c r="R77" s="87">
        <f t="shared" si="13"/>
        <v>0</v>
      </c>
      <c r="S77" s="87">
        <f t="shared" si="7"/>
        <v>0</v>
      </c>
      <c r="T77" s="87">
        <f t="shared" si="8"/>
        <v>0</v>
      </c>
      <c r="U77" s="87">
        <f t="shared" si="9"/>
        <v>0.20832341678226071</v>
      </c>
      <c r="V77" s="87">
        <f t="shared" si="10"/>
        <v>1.5105152063545832E-2</v>
      </c>
      <c r="W77" s="120">
        <f t="shared" si="11"/>
        <v>1.0070101375697221E-2</v>
      </c>
    </row>
    <row r="78" spans="2:23">
      <c r="B78" s="116">
        <f>Amnt_Deposited!B73</f>
        <v>2059</v>
      </c>
      <c r="C78" s="119">
        <f>Amnt_Deposited!D73</f>
        <v>0</v>
      </c>
      <c r="D78" s="453">
        <f>Dry_Matter_Content!D65</f>
        <v>0.44</v>
      </c>
      <c r="E78" s="319">
        <f>MCF!R77</f>
        <v>0.8</v>
      </c>
      <c r="F78" s="87">
        <f t="shared" si="12"/>
        <v>0</v>
      </c>
      <c r="G78" s="87">
        <f t="shared" si="1"/>
        <v>0</v>
      </c>
      <c r="H78" s="87">
        <f t="shared" si="2"/>
        <v>0</v>
      </c>
      <c r="I78" s="87">
        <f t="shared" si="3"/>
        <v>9.4011901713143969E-2</v>
      </c>
      <c r="J78" s="87">
        <f t="shared" si="4"/>
        <v>6.8166320094702228E-3</v>
      </c>
      <c r="K78" s="120">
        <f t="shared" si="6"/>
        <v>4.5444213396468149E-3</v>
      </c>
      <c r="O78" s="116">
        <f>Amnt_Deposited!B73</f>
        <v>2059</v>
      </c>
      <c r="P78" s="119">
        <f>Amnt_Deposited!D73</f>
        <v>0</v>
      </c>
      <c r="Q78" s="319">
        <f>MCF!R77</f>
        <v>0.8</v>
      </c>
      <c r="R78" s="87">
        <f t="shared" si="13"/>
        <v>0</v>
      </c>
      <c r="S78" s="87">
        <f t="shared" si="7"/>
        <v>0</v>
      </c>
      <c r="T78" s="87">
        <f t="shared" si="8"/>
        <v>0</v>
      </c>
      <c r="U78" s="87">
        <f t="shared" si="9"/>
        <v>0.19423946634947101</v>
      </c>
      <c r="V78" s="87">
        <f t="shared" si="10"/>
        <v>1.4083950432789715E-2</v>
      </c>
      <c r="W78" s="120">
        <f t="shared" si="11"/>
        <v>9.3893002885264767E-3</v>
      </c>
    </row>
    <row r="79" spans="2:23">
      <c r="B79" s="116">
        <f>Amnt_Deposited!B74</f>
        <v>2060</v>
      </c>
      <c r="C79" s="119">
        <f>Amnt_Deposited!D74</f>
        <v>0</v>
      </c>
      <c r="D79" s="453">
        <f>Dry_Matter_Content!D66</f>
        <v>0.44</v>
      </c>
      <c r="E79" s="319">
        <f>MCF!R78</f>
        <v>0.8</v>
      </c>
      <c r="F79" s="87">
        <f t="shared" si="12"/>
        <v>0</v>
      </c>
      <c r="G79" s="87">
        <f t="shared" si="1"/>
        <v>0</v>
      </c>
      <c r="H79" s="87">
        <f t="shared" si="2"/>
        <v>0</v>
      </c>
      <c r="I79" s="87">
        <f t="shared" si="3"/>
        <v>8.7656116154940872E-2</v>
      </c>
      <c r="J79" s="87">
        <f t="shared" si="4"/>
        <v>6.355785558203101E-3</v>
      </c>
      <c r="K79" s="120">
        <f t="shared" si="6"/>
        <v>4.2371903721354007E-3</v>
      </c>
      <c r="O79" s="116">
        <f>Amnt_Deposited!B74</f>
        <v>2060</v>
      </c>
      <c r="P79" s="119">
        <f>Amnt_Deposited!D74</f>
        <v>0</v>
      </c>
      <c r="Q79" s="319">
        <f>MCF!R78</f>
        <v>0.8</v>
      </c>
      <c r="R79" s="87">
        <f t="shared" si="13"/>
        <v>0</v>
      </c>
      <c r="S79" s="87">
        <f t="shared" si="7"/>
        <v>0</v>
      </c>
      <c r="T79" s="87">
        <f t="shared" si="8"/>
        <v>0</v>
      </c>
      <c r="U79" s="87">
        <f t="shared" si="9"/>
        <v>0.18110767800607616</v>
      </c>
      <c r="V79" s="87">
        <f t="shared" si="10"/>
        <v>1.3131788343394837E-2</v>
      </c>
      <c r="W79" s="120">
        <f t="shared" si="11"/>
        <v>8.7545255622632247E-3</v>
      </c>
    </row>
    <row r="80" spans="2:23">
      <c r="B80" s="116">
        <f>Amnt_Deposited!B75</f>
        <v>2061</v>
      </c>
      <c r="C80" s="119">
        <f>Amnt_Deposited!D75</f>
        <v>0</v>
      </c>
      <c r="D80" s="453">
        <f>Dry_Matter_Content!D67</f>
        <v>0.44</v>
      </c>
      <c r="E80" s="319">
        <f>MCF!R79</f>
        <v>0.8</v>
      </c>
      <c r="F80" s="87">
        <f t="shared" si="12"/>
        <v>0</v>
      </c>
      <c r="G80" s="87">
        <f t="shared" si="1"/>
        <v>0</v>
      </c>
      <c r="H80" s="87">
        <f t="shared" si="2"/>
        <v>0</v>
      </c>
      <c r="I80" s="87">
        <f t="shared" si="3"/>
        <v>8.1730020979824819E-2</v>
      </c>
      <c r="J80" s="87">
        <f t="shared" si="4"/>
        <v>5.9260951751160494E-3</v>
      </c>
      <c r="K80" s="120">
        <f t="shared" si="6"/>
        <v>3.9507301167440324E-3</v>
      </c>
      <c r="O80" s="116">
        <f>Amnt_Deposited!B75</f>
        <v>2061</v>
      </c>
      <c r="P80" s="119">
        <f>Amnt_Deposited!D75</f>
        <v>0</v>
      </c>
      <c r="Q80" s="319">
        <f>MCF!R79</f>
        <v>0.8</v>
      </c>
      <c r="R80" s="87">
        <f t="shared" si="13"/>
        <v>0</v>
      </c>
      <c r="S80" s="87">
        <f t="shared" si="7"/>
        <v>0</v>
      </c>
      <c r="T80" s="87">
        <f t="shared" si="8"/>
        <v>0</v>
      </c>
      <c r="U80" s="87">
        <f t="shared" si="9"/>
        <v>0.16886367971038185</v>
      </c>
      <c r="V80" s="87">
        <f t="shared" si="10"/>
        <v>1.2243998295694315E-2</v>
      </c>
      <c r="W80" s="120">
        <f t="shared" si="11"/>
        <v>8.1626655304628763E-3</v>
      </c>
    </row>
    <row r="81" spans="2:23">
      <c r="B81" s="116">
        <f>Amnt_Deposited!B76</f>
        <v>2062</v>
      </c>
      <c r="C81" s="119">
        <f>Amnt_Deposited!D76</f>
        <v>0</v>
      </c>
      <c r="D81" s="453">
        <f>Dry_Matter_Content!D68</f>
        <v>0.44</v>
      </c>
      <c r="E81" s="319">
        <f>MCF!R80</f>
        <v>0.8</v>
      </c>
      <c r="F81" s="87">
        <f t="shared" si="12"/>
        <v>0</v>
      </c>
      <c r="G81" s="87">
        <f t="shared" si="1"/>
        <v>0</v>
      </c>
      <c r="H81" s="87">
        <f t="shared" si="2"/>
        <v>0</v>
      </c>
      <c r="I81" s="87">
        <f t="shared" si="3"/>
        <v>7.6204566462372156E-2</v>
      </c>
      <c r="J81" s="87">
        <f t="shared" si="4"/>
        <v>5.5254545174526623E-3</v>
      </c>
      <c r="K81" s="120">
        <f t="shared" si="6"/>
        <v>3.6836363449684415E-3</v>
      </c>
      <c r="O81" s="116">
        <f>Amnt_Deposited!B76</f>
        <v>2062</v>
      </c>
      <c r="P81" s="119">
        <f>Amnt_Deposited!D76</f>
        <v>0</v>
      </c>
      <c r="Q81" s="319">
        <f>MCF!R80</f>
        <v>0.8</v>
      </c>
      <c r="R81" s="87">
        <f t="shared" si="13"/>
        <v>0</v>
      </c>
      <c r="S81" s="87">
        <f t="shared" si="7"/>
        <v>0</v>
      </c>
      <c r="T81" s="87">
        <f t="shared" si="8"/>
        <v>0</v>
      </c>
      <c r="U81" s="87">
        <f t="shared" si="9"/>
        <v>0.15744745136853752</v>
      </c>
      <c r="V81" s="87">
        <f t="shared" si="10"/>
        <v>1.1416228341844343E-2</v>
      </c>
      <c r="W81" s="120">
        <f t="shared" si="11"/>
        <v>7.6108188945628952E-3</v>
      </c>
    </row>
    <row r="82" spans="2:23">
      <c r="B82" s="116">
        <f>Amnt_Deposited!B77</f>
        <v>2063</v>
      </c>
      <c r="C82" s="119">
        <f>Amnt_Deposited!D77</f>
        <v>0</v>
      </c>
      <c r="D82" s="453">
        <f>Dry_Matter_Content!D69</f>
        <v>0.44</v>
      </c>
      <c r="E82" s="319">
        <f>MCF!R81</f>
        <v>0.8</v>
      </c>
      <c r="F82" s="87">
        <f t="shared" si="12"/>
        <v>0</v>
      </c>
      <c r="G82" s="87">
        <f t="shared" si="1"/>
        <v>0</v>
      </c>
      <c r="H82" s="87">
        <f t="shared" si="2"/>
        <v>0</v>
      </c>
      <c r="I82" s="87">
        <f t="shared" si="3"/>
        <v>7.1052666818127885E-2</v>
      </c>
      <c r="J82" s="87">
        <f t="shared" si="4"/>
        <v>5.1518996442442662E-3</v>
      </c>
      <c r="K82" s="120">
        <f t="shared" si="6"/>
        <v>3.4345997628295105E-3</v>
      </c>
      <c r="O82" s="116">
        <f>Amnt_Deposited!B77</f>
        <v>2063</v>
      </c>
      <c r="P82" s="119">
        <f>Amnt_Deposited!D77</f>
        <v>0</v>
      </c>
      <c r="Q82" s="319">
        <f>MCF!R81</f>
        <v>0.8</v>
      </c>
      <c r="R82" s="87">
        <f t="shared" si="13"/>
        <v>0</v>
      </c>
      <c r="S82" s="87">
        <f t="shared" si="7"/>
        <v>0</v>
      </c>
      <c r="T82" s="87">
        <f t="shared" si="8"/>
        <v>0</v>
      </c>
      <c r="U82" s="87">
        <f t="shared" si="9"/>
        <v>0.14680303061596672</v>
      </c>
      <c r="V82" s="87">
        <f t="shared" si="10"/>
        <v>1.0644420752570799E-2</v>
      </c>
      <c r="W82" s="120">
        <f t="shared" si="11"/>
        <v>7.0962805017138657E-3</v>
      </c>
    </row>
    <row r="83" spans="2:23">
      <c r="B83" s="116">
        <f>Amnt_Deposited!B78</f>
        <v>2064</v>
      </c>
      <c r="C83" s="119">
        <f>Amnt_Deposited!D78</f>
        <v>0</v>
      </c>
      <c r="D83" s="453">
        <f>Dry_Matter_Content!D70</f>
        <v>0.44</v>
      </c>
      <c r="E83" s="319">
        <f>MCF!R82</f>
        <v>0.8</v>
      </c>
      <c r="F83" s="87">
        <f t="shared" ref="F83:F99" si="14">C83*D83*$K$6*DOCF*E83</f>
        <v>0</v>
      </c>
      <c r="G83" s="87">
        <f t="shared" ref="G83:G99" si="15">F83*$K$12</f>
        <v>0</v>
      </c>
      <c r="H83" s="87">
        <f t="shared" ref="H83:H99" si="16">F83*(1-$K$12)</f>
        <v>0</v>
      </c>
      <c r="I83" s="87">
        <f t="shared" ref="I83:I99" si="17">G83+I82*$K$10</f>
        <v>6.624906742905888E-2</v>
      </c>
      <c r="J83" s="87">
        <f t="shared" ref="J83:J99" si="18">I82*(1-$K$10)+H83</f>
        <v>4.8035993890690075E-3</v>
      </c>
      <c r="K83" s="120">
        <f t="shared" si="6"/>
        <v>3.2023995927126713E-3</v>
      </c>
      <c r="O83" s="116">
        <f>Amnt_Deposited!B78</f>
        <v>2064</v>
      </c>
      <c r="P83" s="119">
        <f>Amnt_Deposited!D78</f>
        <v>0</v>
      </c>
      <c r="Q83" s="319">
        <f>MCF!R82</f>
        <v>0.8</v>
      </c>
      <c r="R83" s="87">
        <f t="shared" ref="R83:R99" si="19">P83*$W$6*DOCF*Q83</f>
        <v>0</v>
      </c>
      <c r="S83" s="87">
        <f t="shared" si="7"/>
        <v>0</v>
      </c>
      <c r="T83" s="87">
        <f t="shared" si="8"/>
        <v>0</v>
      </c>
      <c r="U83" s="87">
        <f t="shared" si="9"/>
        <v>0.13687823848979108</v>
      </c>
      <c r="V83" s="87">
        <f t="shared" si="10"/>
        <v>9.9247921261756359E-3</v>
      </c>
      <c r="W83" s="120">
        <f t="shared" si="11"/>
        <v>6.61652808411709E-3</v>
      </c>
    </row>
    <row r="84" spans="2:23">
      <c r="B84" s="116">
        <f>Amnt_Deposited!B79</f>
        <v>2065</v>
      </c>
      <c r="C84" s="119">
        <f>Amnt_Deposited!D79</f>
        <v>0</v>
      </c>
      <c r="D84" s="453">
        <f>Dry_Matter_Content!D71</f>
        <v>0.44</v>
      </c>
      <c r="E84" s="319">
        <f>MCF!R83</f>
        <v>0.8</v>
      </c>
      <c r="F84" s="87">
        <f t="shared" si="14"/>
        <v>0</v>
      </c>
      <c r="G84" s="87">
        <f t="shared" si="15"/>
        <v>0</v>
      </c>
      <c r="H84" s="87">
        <f t="shared" si="16"/>
        <v>0</v>
      </c>
      <c r="I84" s="87">
        <f t="shared" si="17"/>
        <v>6.1770221045386951E-2</v>
      </c>
      <c r="J84" s="87">
        <f t="shared" si="18"/>
        <v>4.4788463836719309E-3</v>
      </c>
      <c r="K84" s="120">
        <f t="shared" si="6"/>
        <v>2.9858975891146203E-3</v>
      </c>
      <c r="O84" s="116">
        <f>Amnt_Deposited!B79</f>
        <v>2065</v>
      </c>
      <c r="P84" s="119">
        <f>Amnt_Deposited!D79</f>
        <v>0</v>
      </c>
      <c r="Q84" s="319">
        <f>MCF!R83</f>
        <v>0.8</v>
      </c>
      <c r="R84" s="87">
        <f t="shared" si="19"/>
        <v>0</v>
      </c>
      <c r="S84" s="87">
        <f t="shared" si="7"/>
        <v>0</v>
      </c>
      <c r="T84" s="87">
        <f t="shared" si="8"/>
        <v>0</v>
      </c>
      <c r="U84" s="87">
        <f t="shared" si="9"/>
        <v>0.12762442364749371</v>
      </c>
      <c r="V84" s="87">
        <f t="shared" si="10"/>
        <v>9.2538148422973785E-3</v>
      </c>
      <c r="W84" s="120">
        <f t="shared" si="11"/>
        <v>6.1692098948649184E-3</v>
      </c>
    </row>
    <row r="85" spans="2:23">
      <c r="B85" s="116">
        <f>Amnt_Deposited!B80</f>
        <v>2066</v>
      </c>
      <c r="C85" s="119">
        <f>Amnt_Deposited!D80</f>
        <v>0</v>
      </c>
      <c r="D85" s="453">
        <f>Dry_Matter_Content!D72</f>
        <v>0.44</v>
      </c>
      <c r="E85" s="319">
        <f>MCF!R84</f>
        <v>0.8</v>
      </c>
      <c r="F85" s="87">
        <f t="shared" si="14"/>
        <v>0</v>
      </c>
      <c r="G85" s="87">
        <f t="shared" si="15"/>
        <v>0</v>
      </c>
      <c r="H85" s="87">
        <f t="shared" si="16"/>
        <v>0</v>
      </c>
      <c r="I85" s="87">
        <f t="shared" si="17"/>
        <v>5.7594172356943134E-2</v>
      </c>
      <c r="J85" s="87">
        <f t="shared" si="18"/>
        <v>4.176048688443814E-3</v>
      </c>
      <c r="K85" s="120">
        <f t="shared" ref="K85:K99" si="20">J85*CH4_fraction*conv</f>
        <v>2.7840324589625425E-3</v>
      </c>
      <c r="O85" s="116">
        <f>Amnt_Deposited!B80</f>
        <v>2066</v>
      </c>
      <c r="P85" s="119">
        <f>Amnt_Deposited!D80</f>
        <v>0</v>
      </c>
      <c r="Q85" s="319">
        <f>MCF!R84</f>
        <v>0.8</v>
      </c>
      <c r="R85" s="87">
        <f t="shared" si="19"/>
        <v>0</v>
      </c>
      <c r="S85" s="87">
        <f t="shared" ref="S85:S98" si="21">R85*$W$12</f>
        <v>0</v>
      </c>
      <c r="T85" s="87">
        <f t="shared" ref="T85:T98" si="22">R85*(1-$W$12)</f>
        <v>0</v>
      </c>
      <c r="U85" s="87">
        <f t="shared" ref="U85:U98" si="23">S85+U84*$W$10</f>
        <v>0.1189962238779817</v>
      </c>
      <c r="V85" s="87">
        <f t="shared" ref="V85:V98" si="24">U84*(1-$W$10)+T85</f>
        <v>8.6281997695120145E-3</v>
      </c>
      <c r="W85" s="120">
        <f t="shared" ref="W85:W99" si="25">V85*CH4_fraction*conv</f>
        <v>5.7521331796746757E-3</v>
      </c>
    </row>
    <row r="86" spans="2:23">
      <c r="B86" s="116">
        <f>Amnt_Deposited!B81</f>
        <v>2067</v>
      </c>
      <c r="C86" s="119">
        <f>Amnt_Deposited!D81</f>
        <v>0</v>
      </c>
      <c r="D86" s="453">
        <f>Dry_Matter_Content!D73</f>
        <v>0.44</v>
      </c>
      <c r="E86" s="319">
        <f>MCF!R85</f>
        <v>0.8</v>
      </c>
      <c r="F86" s="87">
        <f t="shared" si="14"/>
        <v>0</v>
      </c>
      <c r="G86" s="87">
        <f t="shared" si="15"/>
        <v>0</v>
      </c>
      <c r="H86" s="87">
        <f t="shared" si="16"/>
        <v>0</v>
      </c>
      <c r="I86" s="87">
        <f t="shared" si="17"/>
        <v>5.3700450368211777E-2</v>
      </c>
      <c r="J86" s="87">
        <f t="shared" si="18"/>
        <v>3.893721988731353E-3</v>
      </c>
      <c r="K86" s="120">
        <f t="shared" si="20"/>
        <v>2.5958146591542352E-3</v>
      </c>
      <c r="O86" s="116">
        <f>Amnt_Deposited!B81</f>
        <v>2067</v>
      </c>
      <c r="P86" s="119">
        <f>Amnt_Deposited!D81</f>
        <v>0</v>
      </c>
      <c r="Q86" s="319">
        <f>MCF!R85</f>
        <v>0.8</v>
      </c>
      <c r="R86" s="87">
        <f t="shared" si="19"/>
        <v>0</v>
      </c>
      <c r="S86" s="87">
        <f t="shared" si="21"/>
        <v>0</v>
      </c>
      <c r="T86" s="87">
        <f t="shared" si="22"/>
        <v>0</v>
      </c>
      <c r="U86" s="87">
        <f t="shared" si="23"/>
        <v>0.11095134373597478</v>
      </c>
      <c r="V86" s="87">
        <f t="shared" si="24"/>
        <v>8.0448801420069296E-3</v>
      </c>
      <c r="W86" s="120">
        <f t="shared" si="25"/>
        <v>5.3632534280046197E-3</v>
      </c>
    </row>
    <row r="87" spans="2:23">
      <c r="B87" s="116">
        <f>Amnt_Deposited!B82</f>
        <v>2068</v>
      </c>
      <c r="C87" s="119">
        <f>Amnt_Deposited!D82</f>
        <v>0</v>
      </c>
      <c r="D87" s="453">
        <f>Dry_Matter_Content!D74</f>
        <v>0.44</v>
      </c>
      <c r="E87" s="319">
        <f>MCF!R86</f>
        <v>0.8</v>
      </c>
      <c r="F87" s="87">
        <f t="shared" si="14"/>
        <v>0</v>
      </c>
      <c r="G87" s="87">
        <f t="shared" si="15"/>
        <v>0</v>
      </c>
      <c r="H87" s="87">
        <f t="shared" si="16"/>
        <v>0</v>
      </c>
      <c r="I87" s="87">
        <f t="shared" si="17"/>
        <v>5.0069968049486768E-2</v>
      </c>
      <c r="J87" s="87">
        <f t="shared" si="18"/>
        <v>3.6304823187250116E-3</v>
      </c>
      <c r="K87" s="120">
        <f t="shared" si="20"/>
        <v>2.4203215458166744E-3</v>
      </c>
      <c r="O87" s="116">
        <f>Amnt_Deposited!B82</f>
        <v>2068</v>
      </c>
      <c r="P87" s="119">
        <f>Amnt_Deposited!D82</f>
        <v>0</v>
      </c>
      <c r="Q87" s="319">
        <f>MCF!R86</f>
        <v>0.8</v>
      </c>
      <c r="R87" s="87">
        <f t="shared" si="19"/>
        <v>0</v>
      </c>
      <c r="S87" s="87">
        <f t="shared" si="21"/>
        <v>0</v>
      </c>
      <c r="T87" s="87">
        <f t="shared" si="22"/>
        <v>0</v>
      </c>
      <c r="U87" s="87">
        <f t="shared" si="23"/>
        <v>0.10345034720968342</v>
      </c>
      <c r="V87" s="87">
        <f t="shared" si="24"/>
        <v>7.5009965262913484E-3</v>
      </c>
      <c r="W87" s="120">
        <f t="shared" si="25"/>
        <v>5.0006643508608986E-3</v>
      </c>
    </row>
    <row r="88" spans="2:23">
      <c r="B88" s="116">
        <f>Amnt_Deposited!B83</f>
        <v>2069</v>
      </c>
      <c r="C88" s="119">
        <f>Amnt_Deposited!D83</f>
        <v>0</v>
      </c>
      <c r="D88" s="453">
        <f>Dry_Matter_Content!D75</f>
        <v>0.44</v>
      </c>
      <c r="E88" s="319">
        <f>MCF!R87</f>
        <v>0.8</v>
      </c>
      <c r="F88" s="87">
        <f t="shared" si="14"/>
        <v>0</v>
      </c>
      <c r="G88" s="87">
        <f t="shared" si="15"/>
        <v>0</v>
      </c>
      <c r="H88" s="87">
        <f t="shared" si="16"/>
        <v>0</v>
      </c>
      <c r="I88" s="87">
        <f t="shared" si="17"/>
        <v>4.6684928772229753E-2</v>
      </c>
      <c r="J88" s="87">
        <f t="shared" si="18"/>
        <v>3.3850392772570184E-3</v>
      </c>
      <c r="K88" s="120">
        <f t="shared" si="20"/>
        <v>2.2566928515046786E-3</v>
      </c>
      <c r="O88" s="116">
        <f>Amnt_Deposited!B83</f>
        <v>2069</v>
      </c>
      <c r="P88" s="119">
        <f>Amnt_Deposited!D83</f>
        <v>0</v>
      </c>
      <c r="Q88" s="319">
        <f>MCF!R87</f>
        <v>0.8</v>
      </c>
      <c r="R88" s="87">
        <f t="shared" si="19"/>
        <v>0</v>
      </c>
      <c r="S88" s="87">
        <f t="shared" si="21"/>
        <v>0</v>
      </c>
      <c r="T88" s="87">
        <f t="shared" si="22"/>
        <v>0</v>
      </c>
      <c r="U88" s="87">
        <f t="shared" si="23"/>
        <v>9.6456464405433387E-2</v>
      </c>
      <c r="V88" s="87">
        <f t="shared" si="24"/>
        <v>6.9938828042500388E-3</v>
      </c>
      <c r="W88" s="120">
        <f t="shared" si="25"/>
        <v>4.6625885361666923E-3</v>
      </c>
    </row>
    <row r="89" spans="2:23">
      <c r="B89" s="116">
        <f>Amnt_Deposited!B84</f>
        <v>2070</v>
      </c>
      <c r="C89" s="119">
        <f>Amnt_Deposited!D84</f>
        <v>0</v>
      </c>
      <c r="D89" s="453">
        <f>Dry_Matter_Content!D76</f>
        <v>0.44</v>
      </c>
      <c r="E89" s="319">
        <f>MCF!R88</f>
        <v>0.8</v>
      </c>
      <c r="F89" s="87">
        <f t="shared" si="14"/>
        <v>0</v>
      </c>
      <c r="G89" s="87">
        <f t="shared" si="15"/>
        <v>0</v>
      </c>
      <c r="H89" s="87">
        <f t="shared" si="16"/>
        <v>0</v>
      </c>
      <c r="I89" s="87">
        <f t="shared" si="17"/>
        <v>4.352873906997641E-2</v>
      </c>
      <c r="J89" s="87">
        <f t="shared" si="18"/>
        <v>3.1561897022533416E-3</v>
      </c>
      <c r="K89" s="120">
        <f t="shared" si="20"/>
        <v>2.1041264681688943E-3</v>
      </c>
      <c r="O89" s="116">
        <f>Amnt_Deposited!B84</f>
        <v>2070</v>
      </c>
      <c r="P89" s="119">
        <f>Amnt_Deposited!D84</f>
        <v>0</v>
      </c>
      <c r="Q89" s="319">
        <f>MCF!R88</f>
        <v>0.8</v>
      </c>
      <c r="R89" s="87">
        <f t="shared" si="19"/>
        <v>0</v>
      </c>
      <c r="S89" s="87">
        <f t="shared" si="21"/>
        <v>0</v>
      </c>
      <c r="T89" s="87">
        <f t="shared" si="22"/>
        <v>0</v>
      </c>
      <c r="U89" s="87">
        <f t="shared" si="23"/>
        <v>8.9935411301604165E-2</v>
      </c>
      <c r="V89" s="87">
        <f t="shared" si="24"/>
        <v>6.5210531038292193E-3</v>
      </c>
      <c r="W89" s="120">
        <f t="shared" si="25"/>
        <v>4.3473687358861462E-3</v>
      </c>
    </row>
    <row r="90" spans="2:23">
      <c r="B90" s="116">
        <f>Amnt_Deposited!B85</f>
        <v>2071</v>
      </c>
      <c r="C90" s="119">
        <f>Amnt_Deposited!D85</f>
        <v>0</v>
      </c>
      <c r="D90" s="453">
        <f>Dry_Matter_Content!D77</f>
        <v>0.44</v>
      </c>
      <c r="E90" s="319">
        <f>MCF!R89</f>
        <v>0.8</v>
      </c>
      <c r="F90" s="87">
        <f t="shared" si="14"/>
        <v>0</v>
      </c>
      <c r="G90" s="87">
        <f t="shared" si="15"/>
        <v>0</v>
      </c>
      <c r="H90" s="87">
        <f t="shared" si="16"/>
        <v>0</v>
      </c>
      <c r="I90" s="87">
        <f t="shared" si="17"/>
        <v>4.0585927297144601E-2</v>
      </c>
      <c r="J90" s="87">
        <f t="shared" si="18"/>
        <v>2.9428117728318107E-3</v>
      </c>
      <c r="K90" s="120">
        <f t="shared" si="20"/>
        <v>1.961874515221207E-3</v>
      </c>
      <c r="O90" s="116">
        <f>Amnt_Deposited!B85</f>
        <v>2071</v>
      </c>
      <c r="P90" s="119">
        <f>Amnt_Deposited!D85</f>
        <v>0</v>
      </c>
      <c r="Q90" s="319">
        <f>MCF!R89</f>
        <v>0.8</v>
      </c>
      <c r="R90" s="87">
        <f t="shared" si="19"/>
        <v>0</v>
      </c>
      <c r="S90" s="87">
        <f t="shared" si="21"/>
        <v>0</v>
      </c>
      <c r="T90" s="87">
        <f t="shared" si="22"/>
        <v>0</v>
      </c>
      <c r="U90" s="87">
        <f t="shared" si="23"/>
        <v>8.3855221688315301E-2</v>
      </c>
      <c r="V90" s="87">
        <f t="shared" si="24"/>
        <v>6.0801896132888665E-3</v>
      </c>
      <c r="W90" s="120">
        <f t="shared" si="25"/>
        <v>4.0534597421925771E-3</v>
      </c>
    </row>
    <row r="91" spans="2:23">
      <c r="B91" s="116">
        <f>Amnt_Deposited!B86</f>
        <v>2072</v>
      </c>
      <c r="C91" s="119">
        <f>Amnt_Deposited!D86</f>
        <v>0</v>
      </c>
      <c r="D91" s="453">
        <f>Dry_Matter_Content!D78</f>
        <v>0.44</v>
      </c>
      <c r="E91" s="319">
        <f>MCF!R90</f>
        <v>0.8</v>
      </c>
      <c r="F91" s="87">
        <f t="shared" si="14"/>
        <v>0</v>
      </c>
      <c r="G91" s="87">
        <f t="shared" si="15"/>
        <v>0</v>
      </c>
      <c r="H91" s="87">
        <f t="shared" si="16"/>
        <v>0</v>
      </c>
      <c r="I91" s="87">
        <f t="shared" si="17"/>
        <v>3.7842067787009756E-2</v>
      </c>
      <c r="J91" s="87">
        <f t="shared" si="18"/>
        <v>2.743859510134848E-3</v>
      </c>
      <c r="K91" s="120">
        <f t="shared" si="20"/>
        <v>1.829239673423232E-3</v>
      </c>
      <c r="O91" s="116">
        <f>Amnt_Deposited!B86</f>
        <v>2072</v>
      </c>
      <c r="P91" s="119">
        <f>Amnt_Deposited!D86</f>
        <v>0</v>
      </c>
      <c r="Q91" s="319">
        <f>MCF!R90</f>
        <v>0.8</v>
      </c>
      <c r="R91" s="87">
        <f t="shared" si="19"/>
        <v>0</v>
      </c>
      <c r="S91" s="87">
        <f t="shared" si="21"/>
        <v>0</v>
      </c>
      <c r="T91" s="87">
        <f t="shared" si="22"/>
        <v>0</v>
      </c>
      <c r="U91" s="87">
        <f t="shared" si="23"/>
        <v>7.8186090469028427E-2</v>
      </c>
      <c r="V91" s="87">
        <f t="shared" si="24"/>
        <v>5.6691312192868768E-3</v>
      </c>
      <c r="W91" s="120">
        <f t="shared" si="25"/>
        <v>3.7794208128579176E-3</v>
      </c>
    </row>
    <row r="92" spans="2:23">
      <c r="B92" s="116">
        <f>Amnt_Deposited!B87</f>
        <v>2073</v>
      </c>
      <c r="C92" s="119">
        <f>Amnt_Deposited!D87</f>
        <v>0</v>
      </c>
      <c r="D92" s="453">
        <f>Dry_Matter_Content!D79</f>
        <v>0.44</v>
      </c>
      <c r="E92" s="319">
        <f>MCF!R91</f>
        <v>0.8</v>
      </c>
      <c r="F92" s="87">
        <f t="shared" si="14"/>
        <v>0</v>
      </c>
      <c r="G92" s="87">
        <f t="shared" si="15"/>
        <v>0</v>
      </c>
      <c r="H92" s="87">
        <f t="shared" si="16"/>
        <v>0</v>
      </c>
      <c r="I92" s="87">
        <f t="shared" si="17"/>
        <v>3.5283710137069858E-2</v>
      </c>
      <c r="J92" s="87">
        <f t="shared" si="18"/>
        <v>2.5583576499398951E-3</v>
      </c>
      <c r="K92" s="120">
        <f t="shared" si="20"/>
        <v>1.7055717666265967E-3</v>
      </c>
      <c r="O92" s="116">
        <f>Amnt_Deposited!B87</f>
        <v>2073</v>
      </c>
      <c r="P92" s="119">
        <f>Amnt_Deposited!D87</f>
        <v>0</v>
      </c>
      <c r="Q92" s="319">
        <f>MCF!R91</f>
        <v>0.8</v>
      </c>
      <c r="R92" s="87">
        <f t="shared" si="19"/>
        <v>0</v>
      </c>
      <c r="S92" s="87">
        <f t="shared" si="21"/>
        <v>0</v>
      </c>
      <c r="T92" s="87">
        <f t="shared" si="22"/>
        <v>0</v>
      </c>
      <c r="U92" s="87">
        <f t="shared" si="23"/>
        <v>7.2900227555929467E-2</v>
      </c>
      <c r="V92" s="87">
        <f t="shared" si="24"/>
        <v>5.2858629130989572E-3</v>
      </c>
      <c r="W92" s="120">
        <f t="shared" si="25"/>
        <v>3.5239086087326382E-3</v>
      </c>
    </row>
    <row r="93" spans="2:23">
      <c r="B93" s="116">
        <f>Amnt_Deposited!B88</f>
        <v>2074</v>
      </c>
      <c r="C93" s="119">
        <f>Amnt_Deposited!D88</f>
        <v>0</v>
      </c>
      <c r="D93" s="453">
        <f>Dry_Matter_Content!D80</f>
        <v>0.44</v>
      </c>
      <c r="E93" s="319">
        <f>MCF!R92</f>
        <v>0.8</v>
      </c>
      <c r="F93" s="87">
        <f t="shared" si="14"/>
        <v>0</v>
      </c>
      <c r="G93" s="87">
        <f t="shared" si="15"/>
        <v>0</v>
      </c>
      <c r="H93" s="87">
        <f t="shared" si="16"/>
        <v>0</v>
      </c>
      <c r="I93" s="87">
        <f t="shared" si="17"/>
        <v>3.2898313275156792E-2</v>
      </c>
      <c r="J93" s="87">
        <f t="shared" si="18"/>
        <v>2.3853968619130632E-3</v>
      </c>
      <c r="K93" s="120">
        <f t="shared" si="20"/>
        <v>1.5902645746087088E-3</v>
      </c>
      <c r="O93" s="116">
        <f>Amnt_Deposited!B88</f>
        <v>2074</v>
      </c>
      <c r="P93" s="119">
        <f>Amnt_Deposited!D88</f>
        <v>0</v>
      </c>
      <c r="Q93" s="319">
        <f>MCF!R92</f>
        <v>0.8</v>
      </c>
      <c r="R93" s="87">
        <f t="shared" si="19"/>
        <v>0</v>
      </c>
      <c r="S93" s="87">
        <f t="shared" si="21"/>
        <v>0</v>
      </c>
      <c r="T93" s="87">
        <f t="shared" si="22"/>
        <v>0</v>
      </c>
      <c r="U93" s="87">
        <f t="shared" si="23"/>
        <v>6.7971721642885952E-2</v>
      </c>
      <c r="V93" s="87">
        <f t="shared" si="24"/>
        <v>4.9285059130435198E-3</v>
      </c>
      <c r="W93" s="120">
        <f t="shared" si="25"/>
        <v>3.2856706086956799E-3</v>
      </c>
    </row>
    <row r="94" spans="2:23">
      <c r="B94" s="116">
        <f>Amnt_Deposited!B89</f>
        <v>2075</v>
      </c>
      <c r="C94" s="119">
        <f>Amnt_Deposited!D89</f>
        <v>0</v>
      </c>
      <c r="D94" s="453">
        <f>Dry_Matter_Content!D81</f>
        <v>0.44</v>
      </c>
      <c r="E94" s="319">
        <f>MCF!R93</f>
        <v>0.8</v>
      </c>
      <c r="F94" s="87">
        <f t="shared" si="14"/>
        <v>0</v>
      </c>
      <c r="G94" s="87">
        <f t="shared" si="15"/>
        <v>0</v>
      </c>
      <c r="H94" s="87">
        <f t="shared" si="16"/>
        <v>0</v>
      </c>
      <c r="I94" s="87">
        <f t="shared" si="17"/>
        <v>3.0674183983086009E-2</v>
      </c>
      <c r="J94" s="87">
        <f t="shared" si="18"/>
        <v>2.224129292070783E-3</v>
      </c>
      <c r="K94" s="120">
        <f t="shared" si="20"/>
        <v>1.482752861380522E-3</v>
      </c>
      <c r="O94" s="116">
        <f>Amnt_Deposited!B89</f>
        <v>2075</v>
      </c>
      <c r="P94" s="119">
        <f>Amnt_Deposited!D89</f>
        <v>0</v>
      </c>
      <c r="Q94" s="319">
        <f>MCF!R93</f>
        <v>0.8</v>
      </c>
      <c r="R94" s="87">
        <f t="shared" si="19"/>
        <v>0</v>
      </c>
      <c r="S94" s="87">
        <f t="shared" si="21"/>
        <v>0</v>
      </c>
      <c r="T94" s="87">
        <f t="shared" si="22"/>
        <v>0</v>
      </c>
      <c r="U94" s="87">
        <f t="shared" si="23"/>
        <v>6.3376413188194244E-2</v>
      </c>
      <c r="V94" s="87">
        <f t="shared" si="24"/>
        <v>4.5953084546917012E-3</v>
      </c>
      <c r="W94" s="120">
        <f t="shared" si="25"/>
        <v>3.0635389697944672E-3</v>
      </c>
    </row>
    <row r="95" spans="2:23">
      <c r="B95" s="116">
        <f>Amnt_Deposited!B90</f>
        <v>2076</v>
      </c>
      <c r="C95" s="119">
        <f>Amnt_Deposited!D90</f>
        <v>0</v>
      </c>
      <c r="D95" s="453">
        <f>Dry_Matter_Content!D82</f>
        <v>0.44</v>
      </c>
      <c r="E95" s="319">
        <f>MCF!R94</f>
        <v>0.8</v>
      </c>
      <c r="F95" s="87">
        <f t="shared" si="14"/>
        <v>0</v>
      </c>
      <c r="G95" s="87">
        <f t="shared" si="15"/>
        <v>0</v>
      </c>
      <c r="H95" s="87">
        <f t="shared" si="16"/>
        <v>0</v>
      </c>
      <c r="I95" s="87">
        <f t="shared" si="17"/>
        <v>2.8600419576487419E-2</v>
      </c>
      <c r="J95" s="87">
        <f t="shared" si="18"/>
        <v>2.0737644065985895E-3</v>
      </c>
      <c r="K95" s="120">
        <f t="shared" si="20"/>
        <v>1.3825096043990595E-3</v>
      </c>
      <c r="O95" s="116">
        <f>Amnt_Deposited!B90</f>
        <v>2076</v>
      </c>
      <c r="P95" s="119">
        <f>Amnt_Deposited!D90</f>
        <v>0</v>
      </c>
      <c r="Q95" s="319">
        <f>MCF!R94</f>
        <v>0.8</v>
      </c>
      <c r="R95" s="87">
        <f t="shared" si="19"/>
        <v>0</v>
      </c>
      <c r="S95" s="87">
        <f t="shared" si="21"/>
        <v>0</v>
      </c>
      <c r="T95" s="87">
        <f t="shared" si="22"/>
        <v>0</v>
      </c>
      <c r="U95" s="87">
        <f t="shared" si="23"/>
        <v>5.9091775984478151E-2</v>
      </c>
      <c r="V95" s="87">
        <f t="shared" si="24"/>
        <v>4.2846372037160952E-3</v>
      </c>
      <c r="W95" s="120">
        <f t="shared" si="25"/>
        <v>2.8564248024773968E-3</v>
      </c>
    </row>
    <row r="96" spans="2:23">
      <c r="B96" s="116">
        <f>Amnt_Deposited!B91</f>
        <v>2077</v>
      </c>
      <c r="C96" s="119">
        <f>Amnt_Deposited!D91</f>
        <v>0</v>
      </c>
      <c r="D96" s="453">
        <f>Dry_Matter_Content!D83</f>
        <v>0.44</v>
      </c>
      <c r="E96" s="319">
        <f>MCF!R95</f>
        <v>0.8</v>
      </c>
      <c r="F96" s="87">
        <f t="shared" si="14"/>
        <v>0</v>
      </c>
      <c r="G96" s="87">
        <f t="shared" si="15"/>
        <v>0</v>
      </c>
      <c r="H96" s="87">
        <f t="shared" si="16"/>
        <v>0</v>
      </c>
      <c r="I96" s="87">
        <f t="shared" si="17"/>
        <v>2.6666854459833966E-2</v>
      </c>
      <c r="J96" s="87">
        <f t="shared" si="18"/>
        <v>1.9335651166534509E-3</v>
      </c>
      <c r="K96" s="120">
        <f t="shared" si="20"/>
        <v>1.2890434111023006E-3</v>
      </c>
      <c r="O96" s="116">
        <f>Amnt_Deposited!B91</f>
        <v>2077</v>
      </c>
      <c r="P96" s="119">
        <f>Amnt_Deposited!D91</f>
        <v>0</v>
      </c>
      <c r="Q96" s="319">
        <f>MCF!R95</f>
        <v>0.8</v>
      </c>
      <c r="R96" s="87">
        <f t="shared" si="19"/>
        <v>0</v>
      </c>
      <c r="S96" s="87">
        <f t="shared" si="21"/>
        <v>0</v>
      </c>
      <c r="T96" s="87">
        <f t="shared" si="22"/>
        <v>0</v>
      </c>
      <c r="U96" s="87">
        <f t="shared" si="23"/>
        <v>5.5096806735194161E-2</v>
      </c>
      <c r="V96" s="87">
        <f t="shared" si="24"/>
        <v>3.9949692492839903E-3</v>
      </c>
      <c r="W96" s="120">
        <f t="shared" si="25"/>
        <v>2.6633128328559935E-3</v>
      </c>
    </row>
    <row r="97" spans="2:23">
      <c r="B97" s="116">
        <f>Amnt_Deposited!B92</f>
        <v>2078</v>
      </c>
      <c r="C97" s="119">
        <f>Amnt_Deposited!D92</f>
        <v>0</v>
      </c>
      <c r="D97" s="453">
        <f>Dry_Matter_Content!D84</f>
        <v>0.44</v>
      </c>
      <c r="E97" s="319">
        <f>MCF!R96</f>
        <v>0.8</v>
      </c>
      <c r="F97" s="87">
        <f t="shared" si="14"/>
        <v>0</v>
      </c>
      <c r="G97" s="87">
        <f t="shared" si="15"/>
        <v>0</v>
      </c>
      <c r="H97" s="87">
        <f t="shared" si="16"/>
        <v>0</v>
      </c>
      <c r="I97" s="87">
        <f t="shared" si="17"/>
        <v>2.4864010294680564E-2</v>
      </c>
      <c r="J97" s="87">
        <f t="shared" si="18"/>
        <v>1.8028441651534016E-3</v>
      </c>
      <c r="K97" s="120">
        <f t="shared" si="20"/>
        <v>1.2018961101022676E-3</v>
      </c>
      <c r="O97" s="116">
        <f>Amnt_Deposited!B92</f>
        <v>2078</v>
      </c>
      <c r="P97" s="119">
        <f>Amnt_Deposited!D92</f>
        <v>0</v>
      </c>
      <c r="Q97" s="319">
        <f>MCF!R96</f>
        <v>0.8</v>
      </c>
      <c r="R97" s="87">
        <f t="shared" si="19"/>
        <v>0</v>
      </c>
      <c r="S97" s="87">
        <f t="shared" si="21"/>
        <v>0</v>
      </c>
      <c r="T97" s="87">
        <f t="shared" si="22"/>
        <v>0</v>
      </c>
      <c r="U97" s="87">
        <f t="shared" si="23"/>
        <v>5.1371922096447462E-2</v>
      </c>
      <c r="V97" s="87">
        <f t="shared" si="24"/>
        <v>3.7248846387466987E-3</v>
      </c>
      <c r="W97" s="120">
        <f t="shared" si="25"/>
        <v>2.4832564258311322E-3</v>
      </c>
    </row>
    <row r="98" spans="2:23">
      <c r="B98" s="116">
        <f>Amnt_Deposited!B93</f>
        <v>2079</v>
      </c>
      <c r="C98" s="119">
        <f>Amnt_Deposited!D93</f>
        <v>0</v>
      </c>
      <c r="D98" s="453">
        <f>Dry_Matter_Content!D85</f>
        <v>0.44</v>
      </c>
      <c r="E98" s="319">
        <f>MCF!R97</f>
        <v>0.8</v>
      </c>
      <c r="F98" s="87">
        <f t="shared" si="14"/>
        <v>0</v>
      </c>
      <c r="G98" s="87">
        <f t="shared" si="15"/>
        <v>0</v>
      </c>
      <c r="H98" s="87">
        <f t="shared" si="16"/>
        <v>0</v>
      </c>
      <c r="I98" s="87">
        <f t="shared" si="17"/>
        <v>2.3183049536838033E-2</v>
      </c>
      <c r="J98" s="87">
        <f t="shared" si="18"/>
        <v>1.6809607578425303E-3</v>
      </c>
      <c r="K98" s="120">
        <f t="shared" si="20"/>
        <v>1.1206405052283535E-3</v>
      </c>
      <c r="O98" s="116">
        <f>Amnt_Deposited!B93</f>
        <v>2079</v>
      </c>
      <c r="P98" s="119">
        <f>Amnt_Deposited!D93</f>
        <v>0</v>
      </c>
      <c r="Q98" s="319">
        <f>MCF!R97</f>
        <v>0.8</v>
      </c>
      <c r="R98" s="87">
        <f t="shared" si="19"/>
        <v>0</v>
      </c>
      <c r="S98" s="87">
        <f t="shared" si="21"/>
        <v>0</v>
      </c>
      <c r="T98" s="87">
        <f t="shared" si="22"/>
        <v>0</v>
      </c>
      <c r="U98" s="87">
        <f t="shared" si="23"/>
        <v>4.7898862679417439E-2</v>
      </c>
      <c r="V98" s="87">
        <f t="shared" si="24"/>
        <v>3.4730594170300226E-3</v>
      </c>
      <c r="W98" s="120">
        <f t="shared" si="25"/>
        <v>2.3153729446866817E-3</v>
      </c>
    </row>
    <row r="99" spans="2:23" ht="13.5" thickBot="1">
      <c r="B99" s="117">
        <f>Amnt_Deposited!B94</f>
        <v>2080</v>
      </c>
      <c r="C99" s="121">
        <f>Amnt_Deposited!D94</f>
        <v>0</v>
      </c>
      <c r="D99" s="454">
        <f>Dry_Matter_Content!D86</f>
        <v>0.44</v>
      </c>
      <c r="E99" s="320">
        <f>MCF!R98</f>
        <v>0.8</v>
      </c>
      <c r="F99" s="88">
        <f t="shared" si="14"/>
        <v>0</v>
      </c>
      <c r="G99" s="88">
        <f t="shared" si="15"/>
        <v>0</v>
      </c>
      <c r="H99" s="88">
        <f t="shared" si="16"/>
        <v>0</v>
      </c>
      <c r="I99" s="88">
        <f t="shared" si="17"/>
        <v>2.1615732114721238E-2</v>
      </c>
      <c r="J99" s="88">
        <f t="shared" si="18"/>
        <v>1.5673174221167946E-3</v>
      </c>
      <c r="K99" s="122">
        <f t="shared" si="20"/>
        <v>1.0448782814111964E-3</v>
      </c>
      <c r="O99" s="117">
        <f>Amnt_Deposited!B94</f>
        <v>2080</v>
      </c>
      <c r="P99" s="121">
        <f>Amnt_Deposited!D94</f>
        <v>0</v>
      </c>
      <c r="Q99" s="320">
        <f>MCF!R98</f>
        <v>0.8</v>
      </c>
      <c r="R99" s="88">
        <f t="shared" si="19"/>
        <v>0</v>
      </c>
      <c r="S99" s="88">
        <f>R99*$W$12</f>
        <v>0</v>
      </c>
      <c r="T99" s="88">
        <f>R99*(1-$W$12)</f>
        <v>0</v>
      </c>
      <c r="U99" s="88">
        <f>S99+U98*$W$10</f>
        <v>4.466060354281249E-2</v>
      </c>
      <c r="V99" s="88">
        <f>U98*(1-$W$10)+T99</f>
        <v>3.2382591366049485E-3</v>
      </c>
      <c r="W99" s="122">
        <f t="shared" si="25"/>
        <v>2.158839424403299E-3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Parameters!O21</f>
        <v>0.6</v>
      </c>
      <c r="O6" s="257"/>
      <c r="P6" s="258"/>
      <c r="Q6" s="249"/>
      <c r="R6" s="128" t="s">
        <v>9</v>
      </c>
      <c r="S6" s="129"/>
      <c r="T6" s="129"/>
      <c r="U6" s="133"/>
      <c r="V6" s="140" t="s">
        <v>9</v>
      </c>
      <c r="W6" s="293">
        <f>Parameters!R21</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Parameters!O40</f>
        <v>0.17</v>
      </c>
      <c r="O8" s="67"/>
      <c r="P8" s="67"/>
      <c r="Q8" s="249"/>
      <c r="R8" s="128" t="s">
        <v>192</v>
      </c>
      <c r="S8" s="129"/>
      <c r="T8" s="129"/>
      <c r="U8" s="133"/>
      <c r="V8" s="140" t="s">
        <v>188</v>
      </c>
      <c r="W8" s="134">
        <f>Parameters!O40</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4.1307042446339999</v>
      </c>
      <c r="D19" s="451">
        <f>Dry_Matter_Content!E6</f>
        <v>0.44</v>
      </c>
      <c r="E19" s="318">
        <f>MCF!R18</f>
        <v>0.8</v>
      </c>
      <c r="F19" s="150">
        <f t="shared" ref="F19:F82" si="0">C19*D19*$K$6*DOCF*E19</f>
        <v>0.43620236823335046</v>
      </c>
      <c r="G19" s="85">
        <f t="shared" ref="G19:G82" si="1">F19*$K$12</f>
        <v>0.43620236823335046</v>
      </c>
      <c r="H19" s="85">
        <f t="shared" ref="H19:H82" si="2">F19*(1-$K$12)</f>
        <v>0</v>
      </c>
      <c r="I19" s="85">
        <f t="shared" ref="I19:I82" si="3">G19+I18*$K$10</f>
        <v>0.43620236823335046</v>
      </c>
      <c r="J19" s="85">
        <f t="shared" ref="J19:J82" si="4">I18*(1-$K$10)+H19</f>
        <v>0</v>
      </c>
      <c r="K19" s="86">
        <f>J19*CH4_fraction*conv</f>
        <v>0</v>
      </c>
      <c r="O19" s="115">
        <f>Amnt_Deposited!B14</f>
        <v>2000</v>
      </c>
      <c r="P19" s="118">
        <f>Amnt_Deposited!E14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Amnt_Deposited!D15</f>
        <v>4.2134100576479998</v>
      </c>
      <c r="D20" s="453">
        <f>Dry_Matter_Content!E7</f>
        <v>0.44</v>
      </c>
      <c r="E20" s="319">
        <f>MCF!R19</f>
        <v>0.8</v>
      </c>
      <c r="F20" s="87">
        <f t="shared" si="0"/>
        <v>0.44493610208762879</v>
      </c>
      <c r="G20" s="87">
        <f t="shared" si="1"/>
        <v>0.44493610208762879</v>
      </c>
      <c r="H20" s="87">
        <f t="shared" si="2"/>
        <v>0</v>
      </c>
      <c r="I20" s="87">
        <f t="shared" si="3"/>
        <v>0.81294469308212669</v>
      </c>
      <c r="J20" s="87">
        <f t="shared" si="4"/>
        <v>6.8193777238852615E-2</v>
      </c>
      <c r="K20" s="120">
        <f>J20*CH4_fraction*conv</f>
        <v>4.5462518159235077E-2</v>
      </c>
      <c r="M20" s="428"/>
      <c r="O20" s="116">
        <f>Amnt_Deposited!B15</f>
        <v>2001</v>
      </c>
      <c r="P20" s="119">
        <f>Amnt_Deposited!E15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4.3095107111760012</v>
      </c>
      <c r="D21" s="453">
        <f>Dry_Matter_Content!E8</f>
        <v>0.44</v>
      </c>
      <c r="E21" s="319">
        <f>MCF!R20</f>
        <v>0.8</v>
      </c>
      <c r="F21" s="87">
        <f t="shared" si="0"/>
        <v>0.4550843311001857</v>
      </c>
      <c r="G21" s="87">
        <f t="shared" si="1"/>
        <v>0.4550843311001857</v>
      </c>
      <c r="H21" s="87">
        <f t="shared" si="2"/>
        <v>0</v>
      </c>
      <c r="I21" s="87">
        <f t="shared" si="3"/>
        <v>1.1409371664923216</v>
      </c>
      <c r="J21" s="87">
        <f t="shared" si="4"/>
        <v>0.12709185768999084</v>
      </c>
      <c r="K21" s="120">
        <f t="shared" ref="K21:K84" si="6">J21*CH4_fraction*conv</f>
        <v>8.4727905126660563E-2</v>
      </c>
      <c r="O21" s="116">
        <f>Amnt_Deposited!B16</f>
        <v>2002</v>
      </c>
      <c r="P21" s="119">
        <f>Amnt_Deposited!E16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Amnt_Deposited!D17</f>
        <v>4.4475544046339994</v>
      </c>
      <c r="D22" s="453">
        <f>Dry_Matter_Content!E9</f>
        <v>0.44</v>
      </c>
      <c r="E22" s="319">
        <f>MCF!R21</f>
        <v>0.8</v>
      </c>
      <c r="F22" s="87">
        <f t="shared" si="0"/>
        <v>0.46966174512935038</v>
      </c>
      <c r="G22" s="87">
        <f t="shared" si="1"/>
        <v>0.46966174512935038</v>
      </c>
      <c r="H22" s="87">
        <f t="shared" si="2"/>
        <v>0</v>
      </c>
      <c r="I22" s="87">
        <f t="shared" si="3"/>
        <v>1.4322302904460926</v>
      </c>
      <c r="J22" s="87">
        <f t="shared" si="4"/>
        <v>0.17836862117557939</v>
      </c>
      <c r="K22" s="120">
        <f t="shared" si="6"/>
        <v>0.11891241411705292</v>
      </c>
      <c r="N22" s="290"/>
      <c r="O22" s="116">
        <f>Amnt_Deposited!B17</f>
        <v>2003</v>
      </c>
      <c r="P22" s="119">
        <f>Amnt_Deposited!E17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Amnt_Deposited!D18</f>
        <v>4.4992485082379998</v>
      </c>
      <c r="D23" s="453">
        <f>Dry_Matter_Content!E10</f>
        <v>0.44</v>
      </c>
      <c r="E23" s="319">
        <f>MCF!R22</f>
        <v>0.8</v>
      </c>
      <c r="F23" s="87">
        <f t="shared" si="0"/>
        <v>0.4751206424699328</v>
      </c>
      <c r="G23" s="87">
        <f t="shared" si="1"/>
        <v>0.4751206424699328</v>
      </c>
      <c r="H23" s="87">
        <f t="shared" si="2"/>
        <v>0</v>
      </c>
      <c r="I23" s="87">
        <f t="shared" si="3"/>
        <v>1.6834429477829209</v>
      </c>
      <c r="J23" s="87">
        <f t="shared" si="4"/>
        <v>0.22390798513310453</v>
      </c>
      <c r="K23" s="120">
        <f t="shared" si="6"/>
        <v>0.14927199008873634</v>
      </c>
      <c r="N23" s="290"/>
      <c r="O23" s="116">
        <f>Amnt_Deposited!B18</f>
        <v>2004</v>
      </c>
      <c r="P23" s="119">
        <f>Amnt_Deposited!E18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Amnt_Deposited!D19</f>
        <v>4.6243171876439995</v>
      </c>
      <c r="D24" s="453">
        <f>Dry_Matter_Content!E11</f>
        <v>0.44</v>
      </c>
      <c r="E24" s="319">
        <f>MCF!R23</f>
        <v>0.8</v>
      </c>
      <c r="F24" s="87">
        <f t="shared" si="0"/>
        <v>0.48832789501520635</v>
      </c>
      <c r="G24" s="87">
        <f t="shared" si="1"/>
        <v>0.48832789501520635</v>
      </c>
      <c r="H24" s="87">
        <f t="shared" si="2"/>
        <v>0</v>
      </c>
      <c r="I24" s="87">
        <f t="shared" si="3"/>
        <v>1.9085894808069599</v>
      </c>
      <c r="J24" s="87">
        <f t="shared" si="4"/>
        <v>0.26318136199116737</v>
      </c>
      <c r="K24" s="120">
        <f t="shared" si="6"/>
        <v>0.17545424132744492</v>
      </c>
      <c r="N24" s="290"/>
      <c r="O24" s="116">
        <f>Amnt_Deposited!B19</f>
        <v>2005</v>
      </c>
      <c r="P24" s="119">
        <f>Amnt_Deposited!E19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Amnt_Deposited!D20</f>
        <v>4.6776509908260007</v>
      </c>
      <c r="D25" s="453">
        <f>Dry_Matter_Content!E12</f>
        <v>0.44</v>
      </c>
      <c r="E25" s="319">
        <f>MCF!R24</f>
        <v>0.8</v>
      </c>
      <c r="F25" s="87">
        <f t="shared" si="0"/>
        <v>0.49395994463122572</v>
      </c>
      <c r="G25" s="87">
        <f t="shared" si="1"/>
        <v>0.49395994463122572</v>
      </c>
      <c r="H25" s="87">
        <f t="shared" si="2"/>
        <v>0</v>
      </c>
      <c r="I25" s="87">
        <f t="shared" si="3"/>
        <v>2.1041697389140168</v>
      </c>
      <c r="J25" s="87">
        <f t="shared" si="4"/>
        <v>0.29837968652416885</v>
      </c>
      <c r="K25" s="120">
        <f t="shared" si="6"/>
        <v>0.19891979101611257</v>
      </c>
      <c r="N25" s="290"/>
      <c r="O25" s="116">
        <f>Amnt_Deposited!B20</f>
        <v>2006</v>
      </c>
      <c r="P25" s="119">
        <f>Amnt_Deposited!E20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Amnt_Deposited!D21</f>
        <v>4.7295827320500008</v>
      </c>
      <c r="D26" s="453">
        <f>Dry_Matter_Content!E13</f>
        <v>0.44</v>
      </c>
      <c r="E26" s="319">
        <f>MCF!R25</f>
        <v>0.8</v>
      </c>
      <c r="F26" s="87">
        <f t="shared" si="0"/>
        <v>0.49944393650448016</v>
      </c>
      <c r="G26" s="87">
        <f t="shared" si="1"/>
        <v>0.49944393650448016</v>
      </c>
      <c r="H26" s="87">
        <f t="shared" si="2"/>
        <v>0</v>
      </c>
      <c r="I26" s="87">
        <f t="shared" si="3"/>
        <v>2.2746579133730349</v>
      </c>
      <c r="J26" s="87">
        <f t="shared" si="4"/>
        <v>0.32895576204546223</v>
      </c>
      <c r="K26" s="120">
        <f t="shared" si="6"/>
        <v>0.21930384136364148</v>
      </c>
      <c r="N26" s="290"/>
      <c r="O26" s="116">
        <f>Amnt_Deposited!B21</f>
        <v>2007</v>
      </c>
      <c r="P26" s="119">
        <f>Amnt_Deposited!E21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Amnt_Deposited!D22</f>
        <v>4.7795975298059998</v>
      </c>
      <c r="D27" s="453">
        <f>Dry_Matter_Content!E14</f>
        <v>0.44</v>
      </c>
      <c r="E27" s="319">
        <f>MCF!R26</f>
        <v>0.8</v>
      </c>
      <c r="F27" s="87">
        <f t="shared" si="0"/>
        <v>0.50472549914751363</v>
      </c>
      <c r="G27" s="87">
        <f t="shared" si="1"/>
        <v>0.50472549914751363</v>
      </c>
      <c r="H27" s="87">
        <f t="shared" si="2"/>
        <v>0</v>
      </c>
      <c r="I27" s="87">
        <f t="shared" si="3"/>
        <v>2.4237743504528879</v>
      </c>
      <c r="J27" s="87">
        <f t="shared" si="4"/>
        <v>0.35560906206766058</v>
      </c>
      <c r="K27" s="120">
        <f t="shared" si="6"/>
        <v>0.23707270804510705</v>
      </c>
      <c r="N27" s="290"/>
      <c r="O27" s="116">
        <f>Amnt_Deposited!B22</f>
        <v>2008</v>
      </c>
      <c r="P27" s="119">
        <f>Amnt_Deposited!E22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Amnt_Deposited!D23</f>
        <v>4.8270537625200003</v>
      </c>
      <c r="D28" s="453">
        <f>Dry_Matter_Content!E15</f>
        <v>0.44</v>
      </c>
      <c r="E28" s="319">
        <f>MCF!R27</f>
        <v>0.8</v>
      </c>
      <c r="F28" s="87">
        <f t="shared" si="0"/>
        <v>0.50973687732211193</v>
      </c>
      <c r="G28" s="87">
        <f t="shared" si="1"/>
        <v>0.50973687732211193</v>
      </c>
      <c r="H28" s="87">
        <f t="shared" si="2"/>
        <v>0</v>
      </c>
      <c r="I28" s="87">
        <f t="shared" si="3"/>
        <v>2.5545900201679665</v>
      </c>
      <c r="J28" s="87">
        <f t="shared" si="4"/>
        <v>0.37892120760703318</v>
      </c>
      <c r="K28" s="120">
        <f t="shared" si="6"/>
        <v>0.25261413840468877</v>
      </c>
      <c r="N28" s="290"/>
      <c r="O28" s="116">
        <f>Amnt_Deposited!B23</f>
        <v>2009</v>
      </c>
      <c r="P28" s="119">
        <f>Amnt_Deposited!E23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Amnt_Deposited!D24</f>
        <v>5.762712285000001</v>
      </c>
      <c r="D29" s="453">
        <f>Dry_Matter_Content!E16</f>
        <v>0.44</v>
      </c>
      <c r="E29" s="319">
        <f>MCF!R28</f>
        <v>0.8</v>
      </c>
      <c r="F29" s="87">
        <f t="shared" si="0"/>
        <v>0.60854241729600023</v>
      </c>
      <c r="G29" s="87">
        <f t="shared" si="1"/>
        <v>0.60854241729600023</v>
      </c>
      <c r="H29" s="87">
        <f t="shared" si="2"/>
        <v>0</v>
      </c>
      <c r="I29" s="87">
        <f t="shared" si="3"/>
        <v>2.7637601381399599</v>
      </c>
      <c r="J29" s="87">
        <f t="shared" si="4"/>
        <v>0.39937229932400692</v>
      </c>
      <c r="K29" s="120">
        <f t="shared" si="6"/>
        <v>0.26624819954933793</v>
      </c>
      <c r="O29" s="116">
        <f>Amnt_Deposited!B24</f>
        <v>2010</v>
      </c>
      <c r="P29" s="119">
        <f>Amnt_Deposited!E24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Amnt_Deposited!D25</f>
        <v>0</v>
      </c>
      <c r="D30" s="453">
        <f>Dry_Matter_Content!E17</f>
        <v>0.44</v>
      </c>
      <c r="E30" s="319">
        <f>MCF!R29</f>
        <v>0.8</v>
      </c>
      <c r="F30" s="87">
        <f t="shared" si="0"/>
        <v>0</v>
      </c>
      <c r="G30" s="87">
        <f t="shared" si="1"/>
        <v>0</v>
      </c>
      <c r="H30" s="87">
        <f t="shared" si="2"/>
        <v>0</v>
      </c>
      <c r="I30" s="87">
        <f t="shared" si="3"/>
        <v>2.3316871900602454</v>
      </c>
      <c r="J30" s="87">
        <f t="shared" si="4"/>
        <v>0.43207294807971452</v>
      </c>
      <c r="K30" s="120">
        <f t="shared" si="6"/>
        <v>0.28804863205314302</v>
      </c>
      <c r="O30" s="116">
        <f>Amnt_Deposited!B25</f>
        <v>2011</v>
      </c>
      <c r="P30" s="119">
        <f>Amnt_Deposited!E25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Amnt_Deposited!D26</f>
        <v>0</v>
      </c>
      <c r="D31" s="453">
        <f>Dry_Matter_Content!E18</f>
        <v>0.44</v>
      </c>
      <c r="E31" s="319">
        <f>MCF!R30</f>
        <v>0.8</v>
      </c>
      <c r="F31" s="87">
        <f t="shared" si="0"/>
        <v>0</v>
      </c>
      <c r="G31" s="87">
        <f t="shared" si="1"/>
        <v>0</v>
      </c>
      <c r="H31" s="87">
        <f t="shared" si="2"/>
        <v>0</v>
      </c>
      <c r="I31" s="87">
        <f t="shared" si="3"/>
        <v>1.9671624455623142</v>
      </c>
      <c r="J31" s="87">
        <f t="shared" si="4"/>
        <v>0.36452474449793121</v>
      </c>
      <c r="K31" s="120">
        <f t="shared" si="6"/>
        <v>0.24301649633195413</v>
      </c>
      <c r="O31" s="116">
        <f>Amnt_Deposited!B26</f>
        <v>2012</v>
      </c>
      <c r="P31" s="119">
        <f>Amnt_Deposited!E26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Amnt_Deposited!D27</f>
        <v>0</v>
      </c>
      <c r="D32" s="453">
        <f>Dry_Matter_Content!E19</f>
        <v>0.44</v>
      </c>
      <c r="E32" s="319">
        <f>MCF!R31</f>
        <v>0.8</v>
      </c>
      <c r="F32" s="87">
        <f t="shared" si="0"/>
        <v>0</v>
      </c>
      <c r="G32" s="87">
        <f t="shared" si="1"/>
        <v>0</v>
      </c>
      <c r="H32" s="87">
        <f t="shared" si="2"/>
        <v>0</v>
      </c>
      <c r="I32" s="87">
        <f t="shared" si="3"/>
        <v>1.6596257438506234</v>
      </c>
      <c r="J32" s="87">
        <f t="shared" si="4"/>
        <v>0.30753670171169073</v>
      </c>
      <c r="K32" s="120">
        <f t="shared" si="6"/>
        <v>0.20502446780779382</v>
      </c>
      <c r="O32" s="116">
        <f>Amnt_Deposited!B27</f>
        <v>2013</v>
      </c>
      <c r="P32" s="119">
        <f>Amnt_Deposited!E27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Amnt_Deposited!D28</f>
        <v>0</v>
      </c>
      <c r="D33" s="453">
        <f>Dry_Matter_Content!E20</f>
        <v>0.44</v>
      </c>
      <c r="E33" s="319">
        <f>MCF!R32</f>
        <v>0.8</v>
      </c>
      <c r="F33" s="87">
        <f t="shared" si="0"/>
        <v>0</v>
      </c>
      <c r="G33" s="87">
        <f t="shared" si="1"/>
        <v>0</v>
      </c>
      <c r="H33" s="87">
        <f t="shared" si="2"/>
        <v>0</v>
      </c>
      <c r="I33" s="87">
        <f t="shared" si="3"/>
        <v>1.4001678488043732</v>
      </c>
      <c r="J33" s="87">
        <f t="shared" si="4"/>
        <v>0.25945789504625033</v>
      </c>
      <c r="K33" s="120">
        <f t="shared" si="6"/>
        <v>0.17297193003083355</v>
      </c>
      <c r="O33" s="116">
        <f>Amnt_Deposited!B28</f>
        <v>2014</v>
      </c>
      <c r="P33" s="119">
        <f>Amnt_Deposited!E28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Amnt_Deposited!D29</f>
        <v>0</v>
      </c>
      <c r="D34" s="453">
        <f>Dry_Matter_Content!E21</f>
        <v>0.44</v>
      </c>
      <c r="E34" s="319">
        <f>MCF!R33</f>
        <v>0.8</v>
      </c>
      <c r="F34" s="87">
        <f t="shared" si="0"/>
        <v>0</v>
      </c>
      <c r="G34" s="87">
        <f t="shared" si="1"/>
        <v>0</v>
      </c>
      <c r="H34" s="87">
        <f t="shared" si="2"/>
        <v>0</v>
      </c>
      <c r="I34" s="87">
        <f t="shared" si="3"/>
        <v>1.1812723513656946</v>
      </c>
      <c r="J34" s="87">
        <f t="shared" si="4"/>
        <v>0.21889549743867856</v>
      </c>
      <c r="K34" s="120">
        <f t="shared" si="6"/>
        <v>0.1459303316257857</v>
      </c>
      <c r="O34" s="116">
        <f>Amnt_Deposited!B29</f>
        <v>2015</v>
      </c>
      <c r="P34" s="119">
        <f>Amnt_Deposited!E29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Amnt_Deposited!D30</f>
        <v>0</v>
      </c>
      <c r="D35" s="453">
        <f>Dry_Matter_Content!E22</f>
        <v>0.44</v>
      </c>
      <c r="E35" s="319">
        <f>MCF!R34</f>
        <v>0.8</v>
      </c>
      <c r="F35" s="87">
        <f t="shared" si="0"/>
        <v>0</v>
      </c>
      <c r="G35" s="87">
        <f t="shared" si="1"/>
        <v>0</v>
      </c>
      <c r="H35" s="87">
        <f t="shared" si="2"/>
        <v>0</v>
      </c>
      <c r="I35" s="87">
        <f t="shared" si="3"/>
        <v>0.99659792166531769</v>
      </c>
      <c r="J35" s="87">
        <f t="shared" si="4"/>
        <v>0.18467442970037695</v>
      </c>
      <c r="K35" s="120">
        <f t="shared" si="6"/>
        <v>0.12311628646691797</v>
      </c>
      <c r="O35" s="116">
        <f>Amnt_Deposited!B30</f>
        <v>2016</v>
      </c>
      <c r="P35" s="119">
        <f>Amnt_Deposited!E30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Amnt_Deposited!D31</f>
        <v>0</v>
      </c>
      <c r="D36" s="453">
        <f>Dry_Matter_Content!E23</f>
        <v>0.44</v>
      </c>
      <c r="E36" s="319">
        <f>MCF!R35</f>
        <v>0.8</v>
      </c>
      <c r="F36" s="87">
        <f t="shared" si="0"/>
        <v>0</v>
      </c>
      <c r="G36" s="87">
        <f t="shared" si="1"/>
        <v>0</v>
      </c>
      <c r="H36" s="87">
        <f t="shared" si="2"/>
        <v>0</v>
      </c>
      <c r="I36" s="87">
        <f t="shared" si="3"/>
        <v>0.84079460280210738</v>
      </c>
      <c r="J36" s="87">
        <f t="shared" si="4"/>
        <v>0.15580331886321028</v>
      </c>
      <c r="K36" s="120">
        <f t="shared" si="6"/>
        <v>0.10386887924214018</v>
      </c>
      <c r="O36" s="116">
        <f>Amnt_Deposited!B31</f>
        <v>2017</v>
      </c>
      <c r="P36" s="119">
        <f>Amnt_Deposited!E31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Amnt_Deposited!D32</f>
        <v>0</v>
      </c>
      <c r="D37" s="453">
        <f>Dry_Matter_Content!E24</f>
        <v>0.44</v>
      </c>
      <c r="E37" s="319">
        <f>MCF!R36</f>
        <v>0.8</v>
      </c>
      <c r="F37" s="87">
        <f t="shared" si="0"/>
        <v>0</v>
      </c>
      <c r="G37" s="87">
        <f t="shared" si="1"/>
        <v>0</v>
      </c>
      <c r="H37" s="87">
        <f t="shared" si="2"/>
        <v>0</v>
      </c>
      <c r="I37" s="87">
        <f t="shared" si="3"/>
        <v>0.70934882436826918</v>
      </c>
      <c r="J37" s="87">
        <f t="shared" si="4"/>
        <v>0.13144577843383817</v>
      </c>
      <c r="K37" s="120">
        <f t="shared" si="6"/>
        <v>8.7630518955892106E-2</v>
      </c>
      <c r="O37" s="116">
        <f>Amnt_Deposited!B32</f>
        <v>2018</v>
      </c>
      <c r="P37" s="119">
        <f>Amnt_Deposited!E32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Amnt_Deposited!D33</f>
        <v>0</v>
      </c>
      <c r="D38" s="453">
        <f>Dry_Matter_Content!E25</f>
        <v>0.44</v>
      </c>
      <c r="E38" s="319">
        <f>MCF!R37</f>
        <v>0.8</v>
      </c>
      <c r="F38" s="87">
        <f t="shared" si="0"/>
        <v>0</v>
      </c>
      <c r="G38" s="87">
        <f t="shared" si="1"/>
        <v>0</v>
      </c>
      <c r="H38" s="87">
        <f t="shared" si="2"/>
        <v>0</v>
      </c>
      <c r="I38" s="87">
        <f t="shared" si="3"/>
        <v>0.5984526458135162</v>
      </c>
      <c r="J38" s="87">
        <f t="shared" si="4"/>
        <v>0.11089617855475296</v>
      </c>
      <c r="K38" s="120">
        <f t="shared" si="6"/>
        <v>7.3930785703168633E-2</v>
      </c>
      <c r="O38" s="116">
        <f>Amnt_Deposited!B33</f>
        <v>2019</v>
      </c>
      <c r="P38" s="119">
        <f>Amnt_Deposited!E33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Amnt_Deposited!D34</f>
        <v>0</v>
      </c>
      <c r="D39" s="453">
        <f>Dry_Matter_Content!E26</f>
        <v>0.44</v>
      </c>
      <c r="E39" s="319">
        <f>MCF!R38</f>
        <v>0.8</v>
      </c>
      <c r="F39" s="87">
        <f t="shared" si="0"/>
        <v>0</v>
      </c>
      <c r="G39" s="87">
        <f t="shared" si="1"/>
        <v>0</v>
      </c>
      <c r="H39" s="87">
        <f t="shared" si="2"/>
        <v>0</v>
      </c>
      <c r="I39" s="87">
        <f t="shared" si="3"/>
        <v>0.50489344167188077</v>
      </c>
      <c r="J39" s="87">
        <f t="shared" si="4"/>
        <v>9.3559204141635474E-2</v>
      </c>
      <c r="K39" s="120">
        <f t="shared" si="6"/>
        <v>6.2372802761090314E-2</v>
      </c>
      <c r="O39" s="116">
        <f>Amnt_Deposited!B34</f>
        <v>2020</v>
      </c>
      <c r="P39" s="119">
        <f>Amnt_Deposited!E34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Amnt_Deposited!D35</f>
        <v>0</v>
      </c>
      <c r="D40" s="453">
        <f>Dry_Matter_Content!E27</f>
        <v>0.44</v>
      </c>
      <c r="E40" s="319">
        <f>MCF!R39</f>
        <v>0.8</v>
      </c>
      <c r="F40" s="87">
        <f t="shared" si="0"/>
        <v>0</v>
      </c>
      <c r="G40" s="87">
        <f t="shared" si="1"/>
        <v>0</v>
      </c>
      <c r="H40" s="87">
        <f t="shared" si="2"/>
        <v>0</v>
      </c>
      <c r="I40" s="87">
        <f t="shared" si="3"/>
        <v>0.42596083286882425</v>
      </c>
      <c r="J40" s="87">
        <f t="shared" si="4"/>
        <v>7.8932608803056525E-2</v>
      </c>
      <c r="K40" s="120">
        <f t="shared" si="6"/>
        <v>5.2621739202037679E-2</v>
      </c>
      <c r="O40" s="116">
        <f>Amnt_Deposited!B35</f>
        <v>2021</v>
      </c>
      <c r="P40" s="119">
        <f>Amnt_Deposited!E35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Amnt_Deposited!D36</f>
        <v>0</v>
      </c>
      <c r="D41" s="453">
        <f>Dry_Matter_Content!E28</f>
        <v>0.44</v>
      </c>
      <c r="E41" s="319">
        <f>MCF!R40</f>
        <v>0.8</v>
      </c>
      <c r="F41" s="87">
        <f t="shared" si="0"/>
        <v>0</v>
      </c>
      <c r="G41" s="87">
        <f t="shared" si="1"/>
        <v>0</v>
      </c>
      <c r="H41" s="87">
        <f t="shared" si="2"/>
        <v>0</v>
      </c>
      <c r="I41" s="87">
        <f t="shared" si="3"/>
        <v>0.35936816793951948</v>
      </c>
      <c r="J41" s="87">
        <f t="shared" si="4"/>
        <v>6.6592664929304782E-2</v>
      </c>
      <c r="K41" s="120">
        <f t="shared" si="6"/>
        <v>4.4395109952869855E-2</v>
      </c>
      <c r="O41" s="116">
        <f>Amnt_Deposited!B36</f>
        <v>2022</v>
      </c>
      <c r="P41" s="119">
        <f>Amnt_Deposited!E36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Amnt_Deposited!D37</f>
        <v>0</v>
      </c>
      <c r="D42" s="453">
        <f>Dry_Matter_Content!E29</f>
        <v>0.44</v>
      </c>
      <c r="E42" s="319">
        <f>MCF!R41</f>
        <v>0.8</v>
      </c>
      <c r="F42" s="87">
        <f t="shared" si="0"/>
        <v>0</v>
      </c>
      <c r="G42" s="87">
        <f t="shared" si="1"/>
        <v>0</v>
      </c>
      <c r="H42" s="87">
        <f t="shared" si="2"/>
        <v>0</v>
      </c>
      <c r="I42" s="87">
        <f t="shared" si="3"/>
        <v>0.3031862794952731</v>
      </c>
      <c r="J42" s="87">
        <f t="shared" si="4"/>
        <v>5.6181888444246361E-2</v>
      </c>
      <c r="K42" s="120">
        <f t="shared" si="6"/>
        <v>3.7454592296164241E-2</v>
      </c>
      <c r="O42" s="116">
        <f>Amnt_Deposited!B37</f>
        <v>2023</v>
      </c>
      <c r="P42" s="119">
        <f>Amnt_Deposited!E37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Amnt_Deposited!D38</f>
        <v>0</v>
      </c>
      <c r="D43" s="453">
        <f>Dry_Matter_Content!E30</f>
        <v>0.44</v>
      </c>
      <c r="E43" s="319">
        <f>MCF!R42</f>
        <v>0.8</v>
      </c>
      <c r="F43" s="87">
        <f t="shared" si="0"/>
        <v>0</v>
      </c>
      <c r="G43" s="87">
        <f t="shared" si="1"/>
        <v>0</v>
      </c>
      <c r="H43" s="87">
        <f t="shared" si="2"/>
        <v>0</v>
      </c>
      <c r="I43" s="87">
        <f t="shared" si="3"/>
        <v>0.25578759688491953</v>
      </c>
      <c r="J43" s="87">
        <f t="shared" si="4"/>
        <v>4.7398682610353592E-2</v>
      </c>
      <c r="K43" s="120">
        <f t="shared" si="6"/>
        <v>3.1599121740235728E-2</v>
      </c>
      <c r="O43" s="116">
        <f>Amnt_Deposited!B38</f>
        <v>2024</v>
      </c>
      <c r="P43" s="119">
        <f>Amnt_Deposited!E38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Amnt_Deposited!D39</f>
        <v>0</v>
      </c>
      <c r="D44" s="453">
        <f>Dry_Matter_Content!E31</f>
        <v>0.44</v>
      </c>
      <c r="E44" s="319">
        <f>MCF!R43</f>
        <v>0.8</v>
      </c>
      <c r="F44" s="87">
        <f t="shared" si="0"/>
        <v>0</v>
      </c>
      <c r="G44" s="87">
        <f t="shared" si="1"/>
        <v>0</v>
      </c>
      <c r="H44" s="87">
        <f t="shared" si="2"/>
        <v>0</v>
      </c>
      <c r="I44" s="87">
        <f t="shared" si="3"/>
        <v>0.21579899601354535</v>
      </c>
      <c r="J44" s="87">
        <f t="shared" si="4"/>
        <v>3.9988600871374166E-2</v>
      </c>
      <c r="K44" s="120">
        <f t="shared" si="6"/>
        <v>2.6659067247582775E-2</v>
      </c>
      <c r="O44" s="116">
        <f>Amnt_Deposited!B39</f>
        <v>2025</v>
      </c>
      <c r="P44" s="119">
        <f>Amnt_Deposited!E39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Amnt_Deposited!D40</f>
        <v>0</v>
      </c>
      <c r="D45" s="453">
        <f>Dry_Matter_Content!E32</f>
        <v>0.44</v>
      </c>
      <c r="E45" s="319">
        <f>MCF!R44</f>
        <v>0.8</v>
      </c>
      <c r="F45" s="87">
        <f t="shared" si="0"/>
        <v>0</v>
      </c>
      <c r="G45" s="87">
        <f t="shared" si="1"/>
        <v>0</v>
      </c>
      <c r="H45" s="87">
        <f t="shared" si="2"/>
        <v>0</v>
      </c>
      <c r="I45" s="87">
        <f t="shared" si="3"/>
        <v>0.18206202039345148</v>
      </c>
      <c r="J45" s="87">
        <f t="shared" si="4"/>
        <v>3.3736975620093874E-2</v>
      </c>
      <c r="K45" s="120">
        <f t="shared" si="6"/>
        <v>2.2491317080062582E-2</v>
      </c>
      <c r="O45" s="116">
        <f>Amnt_Deposited!B40</f>
        <v>2026</v>
      </c>
      <c r="P45" s="119">
        <f>Amnt_Deposited!E40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Amnt_Deposited!D41</f>
        <v>0</v>
      </c>
      <c r="D46" s="453">
        <f>Dry_Matter_Content!E33</f>
        <v>0.44</v>
      </c>
      <c r="E46" s="319">
        <f>MCF!R45</f>
        <v>0.8</v>
      </c>
      <c r="F46" s="87">
        <f t="shared" si="0"/>
        <v>0</v>
      </c>
      <c r="G46" s="87">
        <f t="shared" si="1"/>
        <v>0</v>
      </c>
      <c r="H46" s="87">
        <f t="shared" si="2"/>
        <v>0</v>
      </c>
      <c r="I46" s="87">
        <f t="shared" si="3"/>
        <v>0.15359932104440832</v>
      </c>
      <c r="J46" s="87">
        <f t="shared" si="4"/>
        <v>2.8462699349043167E-2</v>
      </c>
      <c r="K46" s="120">
        <f t="shared" si="6"/>
        <v>1.8975132899362111E-2</v>
      </c>
      <c r="O46" s="116">
        <f>Amnt_Deposited!B41</f>
        <v>2027</v>
      </c>
      <c r="P46" s="119">
        <f>Amnt_Deposited!E41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Amnt_Deposited!D42</f>
        <v>0</v>
      </c>
      <c r="D47" s="453">
        <f>Dry_Matter_Content!E34</f>
        <v>0.44</v>
      </c>
      <c r="E47" s="319">
        <f>MCF!R46</f>
        <v>0.8</v>
      </c>
      <c r="F47" s="87">
        <f t="shared" si="0"/>
        <v>0</v>
      </c>
      <c r="G47" s="87">
        <f t="shared" si="1"/>
        <v>0</v>
      </c>
      <c r="H47" s="87">
        <f t="shared" si="2"/>
        <v>0</v>
      </c>
      <c r="I47" s="87">
        <f t="shared" si="3"/>
        <v>0.1295863430182598</v>
      </c>
      <c r="J47" s="87">
        <f t="shared" si="4"/>
        <v>2.4012978026148515E-2</v>
      </c>
      <c r="K47" s="120">
        <f t="shared" si="6"/>
        <v>1.6008652017432342E-2</v>
      </c>
      <c r="O47" s="116">
        <f>Amnt_Deposited!B42</f>
        <v>2028</v>
      </c>
      <c r="P47" s="119">
        <f>Amnt_Deposited!E42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Amnt_Deposited!D43</f>
        <v>0</v>
      </c>
      <c r="D48" s="453">
        <f>Dry_Matter_Content!E35</f>
        <v>0.44</v>
      </c>
      <c r="E48" s="319">
        <f>MCF!R47</f>
        <v>0.8</v>
      </c>
      <c r="F48" s="87">
        <f t="shared" si="0"/>
        <v>0</v>
      </c>
      <c r="G48" s="87">
        <f t="shared" si="1"/>
        <v>0</v>
      </c>
      <c r="H48" s="87">
        <f t="shared" si="2"/>
        <v>0</v>
      </c>
      <c r="I48" s="87">
        <f t="shared" si="3"/>
        <v>0.10932743831589622</v>
      </c>
      <c r="J48" s="87">
        <f t="shared" si="4"/>
        <v>2.0258904702363578E-2</v>
      </c>
      <c r="K48" s="120">
        <f t="shared" si="6"/>
        <v>1.3505936468242385E-2</v>
      </c>
      <c r="O48" s="116">
        <f>Amnt_Deposited!B43</f>
        <v>2029</v>
      </c>
      <c r="P48" s="119">
        <f>Amnt_Deposited!E43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Amnt_Deposited!D44</f>
        <v>0</v>
      </c>
      <c r="D49" s="453">
        <f>Dry_Matter_Content!E36</f>
        <v>0.44</v>
      </c>
      <c r="E49" s="319">
        <f>MCF!R48</f>
        <v>0.8</v>
      </c>
      <c r="F49" s="87">
        <f t="shared" si="0"/>
        <v>0</v>
      </c>
      <c r="G49" s="87">
        <f t="shared" si="1"/>
        <v>0</v>
      </c>
      <c r="H49" s="87">
        <f t="shared" si="2"/>
        <v>0</v>
      </c>
      <c r="I49" s="87">
        <f t="shared" si="3"/>
        <v>9.2235713195733038E-2</v>
      </c>
      <c r="J49" s="87">
        <f t="shared" si="4"/>
        <v>1.7091725120163184E-2</v>
      </c>
      <c r="K49" s="120">
        <f t="shared" si="6"/>
        <v>1.1394483413442121E-2</v>
      </c>
      <c r="O49" s="116">
        <f>Amnt_Deposited!B44</f>
        <v>2030</v>
      </c>
      <c r="P49" s="119">
        <f>Amnt_Deposited!E44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Amnt_Deposited!D45</f>
        <v>0</v>
      </c>
      <c r="D50" s="453">
        <f>Dry_Matter_Content!E37</f>
        <v>0.44</v>
      </c>
      <c r="E50" s="319">
        <f>MCF!R49</f>
        <v>0.8</v>
      </c>
      <c r="F50" s="87">
        <f t="shared" si="0"/>
        <v>0</v>
      </c>
      <c r="G50" s="87">
        <f t="shared" si="1"/>
        <v>0</v>
      </c>
      <c r="H50" s="87">
        <f t="shared" si="2"/>
        <v>0</v>
      </c>
      <c r="I50" s="87">
        <f t="shared" si="3"/>
        <v>7.7816026056914761E-2</v>
      </c>
      <c r="J50" s="87">
        <f t="shared" si="4"/>
        <v>1.4419687138818277E-2</v>
      </c>
      <c r="K50" s="120">
        <f t="shared" si="6"/>
        <v>9.6131247592121834E-3</v>
      </c>
      <c r="O50" s="116">
        <f>Amnt_Deposited!B45</f>
        <v>2031</v>
      </c>
      <c r="P50" s="119">
        <f>Amnt_Deposited!E45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Amnt_Deposited!D46</f>
        <v>0</v>
      </c>
      <c r="D51" s="453">
        <f>Dry_Matter_Content!E38</f>
        <v>0.44</v>
      </c>
      <c r="E51" s="319">
        <f>MCF!R50</f>
        <v>0.8</v>
      </c>
      <c r="F51" s="87">
        <f t="shared" si="0"/>
        <v>0</v>
      </c>
      <c r="G51" s="87">
        <f t="shared" si="1"/>
        <v>0</v>
      </c>
      <c r="H51" s="87">
        <f t="shared" si="2"/>
        <v>0</v>
      </c>
      <c r="I51" s="87">
        <f t="shared" si="3"/>
        <v>6.565064335156641E-2</v>
      </c>
      <c r="J51" s="87">
        <f t="shared" si="4"/>
        <v>1.2165382705348353E-2</v>
      </c>
      <c r="K51" s="120">
        <f t="shared" si="6"/>
        <v>8.1102551368989022E-3</v>
      </c>
      <c r="O51" s="116">
        <f>Amnt_Deposited!B46</f>
        <v>2032</v>
      </c>
      <c r="P51" s="119">
        <f>Amnt_Deposited!E46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Amnt_Deposited!D47</f>
        <v>0</v>
      </c>
      <c r="D52" s="453">
        <f>Dry_Matter_Content!E39</f>
        <v>0.44</v>
      </c>
      <c r="E52" s="319">
        <f>MCF!R51</f>
        <v>0.8</v>
      </c>
      <c r="F52" s="87">
        <f t="shared" si="0"/>
        <v>0</v>
      </c>
      <c r="G52" s="87">
        <f t="shared" si="1"/>
        <v>0</v>
      </c>
      <c r="H52" s="87">
        <f t="shared" si="2"/>
        <v>0</v>
      </c>
      <c r="I52" s="87">
        <f t="shared" si="3"/>
        <v>5.5387137982633873E-2</v>
      </c>
      <c r="J52" s="87">
        <f t="shared" si="4"/>
        <v>1.0263505368932538E-2</v>
      </c>
      <c r="K52" s="120">
        <f t="shared" si="6"/>
        <v>6.8423369126216918E-3</v>
      </c>
      <c r="O52" s="116">
        <f>Amnt_Deposited!B47</f>
        <v>2033</v>
      </c>
      <c r="P52" s="119">
        <f>Amnt_Deposited!E47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Amnt_Deposited!D48</f>
        <v>0</v>
      </c>
      <c r="D53" s="453">
        <f>Dry_Matter_Content!E40</f>
        <v>0.44</v>
      </c>
      <c r="E53" s="319">
        <f>MCF!R52</f>
        <v>0.8</v>
      </c>
      <c r="F53" s="87">
        <f t="shared" si="0"/>
        <v>0</v>
      </c>
      <c r="G53" s="87">
        <f t="shared" si="1"/>
        <v>0</v>
      </c>
      <c r="H53" s="87">
        <f t="shared" si="2"/>
        <v>0</v>
      </c>
      <c r="I53" s="87">
        <f t="shared" si="3"/>
        <v>4.6728179607917406E-2</v>
      </c>
      <c r="J53" s="87">
        <f t="shared" si="4"/>
        <v>8.6589583747164692E-3</v>
      </c>
      <c r="K53" s="120">
        <f t="shared" si="6"/>
        <v>5.7726389164776456E-3</v>
      </c>
      <c r="O53" s="116">
        <f>Amnt_Deposited!B48</f>
        <v>2034</v>
      </c>
      <c r="P53" s="119">
        <f>Amnt_Deposited!E48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Amnt_Deposited!D49</f>
        <v>0</v>
      </c>
      <c r="D54" s="453">
        <f>Dry_Matter_Content!E41</f>
        <v>0.44</v>
      </c>
      <c r="E54" s="319">
        <f>MCF!R53</f>
        <v>0.8</v>
      </c>
      <c r="F54" s="87">
        <f t="shared" si="0"/>
        <v>0</v>
      </c>
      <c r="G54" s="87">
        <f t="shared" si="1"/>
        <v>0</v>
      </c>
      <c r="H54" s="87">
        <f t="shared" si="2"/>
        <v>0</v>
      </c>
      <c r="I54" s="87">
        <f t="shared" si="3"/>
        <v>3.9422921078796518E-2</v>
      </c>
      <c r="J54" s="87">
        <f t="shared" si="4"/>
        <v>7.3052585291208906E-3</v>
      </c>
      <c r="K54" s="120">
        <f t="shared" si="6"/>
        <v>4.8701723527472601E-3</v>
      </c>
      <c r="O54" s="116">
        <f>Amnt_Deposited!B49</f>
        <v>2035</v>
      </c>
      <c r="P54" s="119">
        <f>Amnt_Deposited!E49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Amnt_Deposited!D50</f>
        <v>0</v>
      </c>
      <c r="D55" s="453">
        <f>Dry_Matter_Content!E42</f>
        <v>0.44</v>
      </c>
      <c r="E55" s="319">
        <f>MCF!R54</f>
        <v>0.8</v>
      </c>
      <c r="F55" s="87">
        <f t="shared" si="0"/>
        <v>0</v>
      </c>
      <c r="G55" s="87">
        <f t="shared" si="1"/>
        <v>0</v>
      </c>
      <c r="H55" s="87">
        <f t="shared" si="2"/>
        <v>0</v>
      </c>
      <c r="I55" s="87">
        <f t="shared" si="3"/>
        <v>3.3259731481636572E-2</v>
      </c>
      <c r="J55" s="87">
        <f t="shared" si="4"/>
        <v>6.1631895971599442E-3</v>
      </c>
      <c r="K55" s="120">
        <f t="shared" si="6"/>
        <v>4.1087930647732956E-3</v>
      </c>
      <c r="O55" s="116">
        <f>Amnt_Deposited!B50</f>
        <v>2036</v>
      </c>
      <c r="P55" s="119">
        <f>Amnt_Deposited!E50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Amnt_Deposited!D51</f>
        <v>0</v>
      </c>
      <c r="D56" s="453">
        <f>Dry_Matter_Content!E43</f>
        <v>0.44</v>
      </c>
      <c r="E56" s="319">
        <f>MCF!R55</f>
        <v>0.8</v>
      </c>
      <c r="F56" s="87">
        <f t="shared" si="0"/>
        <v>0</v>
      </c>
      <c r="G56" s="87">
        <f t="shared" si="1"/>
        <v>0</v>
      </c>
      <c r="H56" s="87">
        <f t="shared" si="2"/>
        <v>0</v>
      </c>
      <c r="I56" s="87">
        <f t="shared" si="3"/>
        <v>2.8060065260499888E-2</v>
      </c>
      <c r="J56" s="87">
        <f t="shared" si="4"/>
        <v>5.199666221136684E-3</v>
      </c>
      <c r="K56" s="120">
        <f t="shared" si="6"/>
        <v>3.4664441474244558E-3</v>
      </c>
      <c r="O56" s="116">
        <f>Amnt_Deposited!B51</f>
        <v>2037</v>
      </c>
      <c r="P56" s="119">
        <f>Amnt_Deposited!E51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Amnt_Deposited!D52</f>
        <v>0</v>
      </c>
      <c r="D57" s="453">
        <f>Dry_Matter_Content!E44</f>
        <v>0.44</v>
      </c>
      <c r="E57" s="319">
        <f>MCF!R56</f>
        <v>0.8</v>
      </c>
      <c r="F57" s="87">
        <f t="shared" si="0"/>
        <v>0</v>
      </c>
      <c r="G57" s="87">
        <f t="shared" si="1"/>
        <v>0</v>
      </c>
      <c r="H57" s="87">
        <f t="shared" si="2"/>
        <v>0</v>
      </c>
      <c r="I57" s="87">
        <f t="shared" si="3"/>
        <v>2.3673289811682194E-2</v>
      </c>
      <c r="J57" s="87">
        <f t="shared" si="4"/>
        <v>4.3867754488176921E-3</v>
      </c>
      <c r="K57" s="120">
        <f t="shared" si="6"/>
        <v>2.9245169658784612E-3</v>
      </c>
      <c r="O57" s="116">
        <f>Amnt_Deposited!B52</f>
        <v>2038</v>
      </c>
      <c r="P57" s="119">
        <f>Amnt_Deposited!E52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Amnt_Deposited!D53</f>
        <v>0</v>
      </c>
      <c r="D58" s="453">
        <f>Dry_Matter_Content!E45</f>
        <v>0.44</v>
      </c>
      <c r="E58" s="319">
        <f>MCF!R57</f>
        <v>0.8</v>
      </c>
      <c r="F58" s="87">
        <f t="shared" si="0"/>
        <v>0</v>
      </c>
      <c r="G58" s="87">
        <f t="shared" si="1"/>
        <v>0</v>
      </c>
      <c r="H58" s="87">
        <f t="shared" si="2"/>
        <v>0</v>
      </c>
      <c r="I58" s="87">
        <f t="shared" si="3"/>
        <v>1.9972321707205896E-2</v>
      </c>
      <c r="J58" s="87">
        <f t="shared" si="4"/>
        <v>3.7009681044762968E-3</v>
      </c>
      <c r="K58" s="120">
        <f t="shared" si="6"/>
        <v>2.4673120696508642E-3</v>
      </c>
      <c r="O58" s="116">
        <f>Amnt_Deposited!B53</f>
        <v>2039</v>
      </c>
      <c r="P58" s="119">
        <f>Amnt_Deposited!E53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Amnt_Deposited!D54</f>
        <v>0</v>
      </c>
      <c r="D59" s="453">
        <f>Dry_Matter_Content!E46</f>
        <v>0.44</v>
      </c>
      <c r="E59" s="319">
        <f>MCF!R58</f>
        <v>0.8</v>
      </c>
      <c r="F59" s="87">
        <f t="shared" si="0"/>
        <v>0</v>
      </c>
      <c r="G59" s="87">
        <f t="shared" si="1"/>
        <v>0</v>
      </c>
      <c r="H59" s="87">
        <f t="shared" si="2"/>
        <v>0</v>
      </c>
      <c r="I59" s="87">
        <f t="shared" si="3"/>
        <v>1.6849945130113834E-2</v>
      </c>
      <c r="J59" s="87">
        <f t="shared" si="4"/>
        <v>3.1223765770920608E-3</v>
      </c>
      <c r="K59" s="120">
        <f t="shared" si="6"/>
        <v>2.0815843847280403E-3</v>
      </c>
      <c r="O59" s="116">
        <f>Amnt_Deposited!B54</f>
        <v>2040</v>
      </c>
      <c r="P59" s="119">
        <f>Amnt_Deposited!E54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Amnt_Deposited!D55</f>
        <v>0</v>
      </c>
      <c r="D60" s="453">
        <f>Dry_Matter_Content!E47</f>
        <v>0.44</v>
      </c>
      <c r="E60" s="319">
        <f>MCF!R59</f>
        <v>0.8</v>
      </c>
      <c r="F60" s="87">
        <f t="shared" si="0"/>
        <v>0</v>
      </c>
      <c r="G60" s="87">
        <f t="shared" si="1"/>
        <v>0</v>
      </c>
      <c r="H60" s="87">
        <f t="shared" si="2"/>
        <v>0</v>
      </c>
      <c r="I60" s="87">
        <f t="shared" si="3"/>
        <v>1.4215705867856617E-2</v>
      </c>
      <c r="J60" s="87">
        <f t="shared" si="4"/>
        <v>2.6342392622572177E-3</v>
      </c>
      <c r="K60" s="120">
        <f t="shared" si="6"/>
        <v>1.7561595081714784E-3</v>
      </c>
      <c r="O60" s="116">
        <f>Amnt_Deposited!B55</f>
        <v>2041</v>
      </c>
      <c r="P60" s="119">
        <f>Amnt_Deposited!E55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Amnt_Deposited!D56</f>
        <v>0</v>
      </c>
      <c r="D61" s="453">
        <f>Dry_Matter_Content!E48</f>
        <v>0.44</v>
      </c>
      <c r="E61" s="319">
        <f>MCF!R60</f>
        <v>0.8</v>
      </c>
      <c r="F61" s="87">
        <f t="shared" si="0"/>
        <v>0</v>
      </c>
      <c r="G61" s="87">
        <f t="shared" si="1"/>
        <v>0</v>
      </c>
      <c r="H61" s="87">
        <f t="shared" si="2"/>
        <v>0</v>
      </c>
      <c r="I61" s="87">
        <f t="shared" si="3"/>
        <v>1.1993290883793388E-2</v>
      </c>
      <c r="J61" s="87">
        <f t="shared" si="4"/>
        <v>2.2224149840632287E-3</v>
      </c>
      <c r="K61" s="120">
        <f t="shared" si="6"/>
        <v>1.4816099893754857E-3</v>
      </c>
      <c r="O61" s="116">
        <f>Amnt_Deposited!B56</f>
        <v>2042</v>
      </c>
      <c r="P61" s="119">
        <f>Amnt_Deposited!E56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Amnt_Deposited!D57</f>
        <v>0</v>
      </c>
      <c r="D62" s="453">
        <f>Dry_Matter_Content!E49</f>
        <v>0.44</v>
      </c>
      <c r="E62" s="319">
        <f>MCF!R61</f>
        <v>0.8</v>
      </c>
      <c r="F62" s="87">
        <f t="shared" si="0"/>
        <v>0</v>
      </c>
      <c r="G62" s="87">
        <f t="shared" si="1"/>
        <v>0</v>
      </c>
      <c r="H62" s="87">
        <f t="shared" si="2"/>
        <v>0</v>
      </c>
      <c r="I62" s="87">
        <f t="shared" si="3"/>
        <v>1.0118317553862629E-2</v>
      </c>
      <c r="J62" s="87">
        <f t="shared" si="4"/>
        <v>1.8749733299307585E-3</v>
      </c>
      <c r="K62" s="120">
        <f t="shared" si="6"/>
        <v>1.249982219953839E-3</v>
      </c>
      <c r="O62" s="116">
        <f>Amnt_Deposited!B57</f>
        <v>2043</v>
      </c>
      <c r="P62" s="119">
        <f>Amnt_Deposited!E57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Amnt_Deposited!D58</f>
        <v>0</v>
      </c>
      <c r="D63" s="453">
        <f>Dry_Matter_Content!E50</f>
        <v>0.44</v>
      </c>
      <c r="E63" s="319">
        <f>MCF!R62</f>
        <v>0.8</v>
      </c>
      <c r="F63" s="87">
        <f t="shared" si="0"/>
        <v>0</v>
      </c>
      <c r="G63" s="87">
        <f t="shared" si="1"/>
        <v>0</v>
      </c>
      <c r="H63" s="87">
        <f t="shared" si="2"/>
        <v>0</v>
      </c>
      <c r="I63" s="87">
        <f t="shared" si="3"/>
        <v>8.536468523343485E-3</v>
      </c>
      <c r="J63" s="87">
        <f t="shared" si="4"/>
        <v>1.5818490305191443E-3</v>
      </c>
      <c r="K63" s="120">
        <f t="shared" si="6"/>
        <v>1.0545660203460962E-3</v>
      </c>
      <c r="O63" s="116">
        <f>Amnt_Deposited!B58</f>
        <v>2044</v>
      </c>
      <c r="P63" s="119">
        <f>Amnt_Deposited!E58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Amnt_Deposited!D59</f>
        <v>0</v>
      </c>
      <c r="D64" s="453">
        <f>Dry_Matter_Content!E51</f>
        <v>0.44</v>
      </c>
      <c r="E64" s="319">
        <f>MCF!R63</f>
        <v>0.8</v>
      </c>
      <c r="F64" s="87">
        <f t="shared" si="0"/>
        <v>0</v>
      </c>
      <c r="G64" s="87">
        <f t="shared" si="1"/>
        <v>0</v>
      </c>
      <c r="H64" s="87">
        <f t="shared" si="2"/>
        <v>0</v>
      </c>
      <c r="I64" s="87">
        <f t="shared" si="3"/>
        <v>7.2019181511273839E-3</v>
      </c>
      <c r="J64" s="87">
        <f t="shared" si="4"/>
        <v>1.3345503722161014E-3</v>
      </c>
      <c r="K64" s="120">
        <f t="shared" si="6"/>
        <v>8.8970024814406757E-4</v>
      </c>
      <c r="O64" s="116">
        <f>Amnt_Deposited!B59</f>
        <v>2045</v>
      </c>
      <c r="P64" s="119">
        <f>Amnt_Deposited!E59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Amnt_Deposited!D60</f>
        <v>0</v>
      </c>
      <c r="D65" s="453">
        <f>Dry_Matter_Content!E52</f>
        <v>0.44</v>
      </c>
      <c r="E65" s="319">
        <f>MCF!R64</f>
        <v>0.8</v>
      </c>
      <c r="F65" s="87">
        <f t="shared" si="0"/>
        <v>0</v>
      </c>
      <c r="G65" s="87">
        <f t="shared" si="1"/>
        <v>0</v>
      </c>
      <c r="H65" s="87">
        <f t="shared" si="2"/>
        <v>0</v>
      </c>
      <c r="I65" s="87">
        <f t="shared" si="3"/>
        <v>6.076004956113051E-3</v>
      </c>
      <c r="J65" s="87">
        <f t="shared" si="4"/>
        <v>1.1259131950143327E-3</v>
      </c>
      <c r="K65" s="120">
        <f t="shared" si="6"/>
        <v>7.5060879667622179E-4</v>
      </c>
      <c r="O65" s="116">
        <f>Amnt_Deposited!B60</f>
        <v>2046</v>
      </c>
      <c r="P65" s="119">
        <f>Amnt_Deposited!E60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Amnt_Deposited!D61</f>
        <v>0</v>
      </c>
      <c r="D66" s="453">
        <f>Dry_Matter_Content!E53</f>
        <v>0.44</v>
      </c>
      <c r="E66" s="319">
        <f>MCF!R65</f>
        <v>0.8</v>
      </c>
      <c r="F66" s="87">
        <f t="shared" si="0"/>
        <v>0</v>
      </c>
      <c r="G66" s="87">
        <f t="shared" si="1"/>
        <v>0</v>
      </c>
      <c r="H66" s="87">
        <f t="shared" si="2"/>
        <v>0</v>
      </c>
      <c r="I66" s="87">
        <f t="shared" si="3"/>
        <v>5.126111606937836E-3</v>
      </c>
      <c r="J66" s="87">
        <f t="shared" si="4"/>
        <v>9.4989334917521537E-4</v>
      </c>
      <c r="K66" s="120">
        <f t="shared" si="6"/>
        <v>6.3326223278347684E-4</v>
      </c>
      <c r="O66" s="116">
        <f>Amnt_Deposited!B61</f>
        <v>2047</v>
      </c>
      <c r="P66" s="119">
        <f>Amnt_Deposited!E61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Amnt_Deposited!D62</f>
        <v>0</v>
      </c>
      <c r="D67" s="453">
        <f>Dry_Matter_Content!E54</f>
        <v>0.44</v>
      </c>
      <c r="E67" s="319">
        <f>MCF!R66</f>
        <v>0.8</v>
      </c>
      <c r="F67" s="87">
        <f t="shared" si="0"/>
        <v>0</v>
      </c>
      <c r="G67" s="87">
        <f t="shared" si="1"/>
        <v>0</v>
      </c>
      <c r="H67" s="87">
        <f t="shared" si="2"/>
        <v>0</v>
      </c>
      <c r="I67" s="87">
        <f t="shared" si="3"/>
        <v>4.3247200087198033E-3</v>
      </c>
      <c r="J67" s="87">
        <f t="shared" si="4"/>
        <v>8.0139159821803287E-4</v>
      </c>
      <c r="K67" s="120">
        <f t="shared" si="6"/>
        <v>5.3426106547868851E-4</v>
      </c>
      <c r="O67" s="116">
        <f>Amnt_Deposited!B62</f>
        <v>2048</v>
      </c>
      <c r="P67" s="119">
        <f>Amnt_Deposited!E62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Amnt_Deposited!D63</f>
        <v>0</v>
      </c>
      <c r="D68" s="453">
        <f>Dry_Matter_Content!E55</f>
        <v>0.44</v>
      </c>
      <c r="E68" s="319">
        <f>MCF!R67</f>
        <v>0.8</v>
      </c>
      <c r="F68" s="87">
        <f t="shared" si="0"/>
        <v>0</v>
      </c>
      <c r="G68" s="87">
        <f t="shared" si="1"/>
        <v>0</v>
      </c>
      <c r="H68" s="87">
        <f t="shared" si="2"/>
        <v>0</v>
      </c>
      <c r="I68" s="87">
        <f t="shared" si="3"/>
        <v>3.6486141129873037E-3</v>
      </c>
      <c r="J68" s="87">
        <f t="shared" si="4"/>
        <v>6.7610589573249954E-4</v>
      </c>
      <c r="K68" s="120">
        <f t="shared" si="6"/>
        <v>4.5073726382166633E-4</v>
      </c>
      <c r="O68" s="116">
        <f>Amnt_Deposited!B63</f>
        <v>2049</v>
      </c>
      <c r="P68" s="119">
        <f>Amnt_Deposited!E63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Amnt_Deposited!D64</f>
        <v>0</v>
      </c>
      <c r="D69" s="453">
        <f>Dry_Matter_Content!E56</f>
        <v>0.44</v>
      </c>
      <c r="E69" s="319">
        <f>MCF!R68</f>
        <v>0.8</v>
      </c>
      <c r="F69" s="87">
        <f t="shared" si="0"/>
        <v>0</v>
      </c>
      <c r="G69" s="87">
        <f t="shared" si="1"/>
        <v>0</v>
      </c>
      <c r="H69" s="87">
        <f t="shared" si="2"/>
        <v>0</v>
      </c>
      <c r="I69" s="87">
        <f t="shared" si="3"/>
        <v>3.0782073564644108E-3</v>
      </c>
      <c r="J69" s="87">
        <f t="shared" si="4"/>
        <v>5.7040675652289291E-4</v>
      </c>
      <c r="K69" s="120">
        <f t="shared" si="6"/>
        <v>3.8027117101526191E-4</v>
      </c>
      <c r="O69" s="116">
        <f>Amnt_Deposited!B64</f>
        <v>2050</v>
      </c>
      <c r="P69" s="119">
        <f>Amnt_Deposited!E64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Amnt_Deposited!D65</f>
        <v>0</v>
      </c>
      <c r="D70" s="453">
        <f>Dry_Matter_Content!E57</f>
        <v>0.44</v>
      </c>
      <c r="E70" s="319">
        <f>MCF!R69</f>
        <v>0.8</v>
      </c>
      <c r="F70" s="87">
        <f t="shared" si="0"/>
        <v>0</v>
      </c>
      <c r="G70" s="87">
        <f t="shared" si="1"/>
        <v>0</v>
      </c>
      <c r="H70" s="87">
        <f t="shared" si="2"/>
        <v>0</v>
      </c>
      <c r="I70" s="87">
        <f t="shared" si="3"/>
        <v>2.5969752448371862E-3</v>
      </c>
      <c r="J70" s="87">
        <f t="shared" si="4"/>
        <v>4.8123211162722456E-4</v>
      </c>
      <c r="K70" s="120">
        <f t="shared" si="6"/>
        <v>3.2082140775148302E-4</v>
      </c>
      <c r="O70" s="116">
        <f>Amnt_Deposited!B65</f>
        <v>2051</v>
      </c>
      <c r="P70" s="119">
        <f>Amnt_Deposited!E65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Amnt_Deposited!D66</f>
        <v>0</v>
      </c>
      <c r="D71" s="453">
        <f>Dry_Matter_Content!E58</f>
        <v>0.44</v>
      </c>
      <c r="E71" s="319">
        <f>MCF!R70</f>
        <v>0.8</v>
      </c>
      <c r="F71" s="87">
        <f t="shared" si="0"/>
        <v>0</v>
      </c>
      <c r="G71" s="87">
        <f t="shared" si="1"/>
        <v>0</v>
      </c>
      <c r="H71" s="87">
        <f t="shared" si="2"/>
        <v>0</v>
      </c>
      <c r="I71" s="87">
        <f t="shared" si="3"/>
        <v>2.1909766436409134E-3</v>
      </c>
      <c r="J71" s="87">
        <f t="shared" si="4"/>
        <v>4.0599860119627286E-4</v>
      </c>
      <c r="K71" s="120">
        <f t="shared" si="6"/>
        <v>2.7066573413084857E-4</v>
      </c>
      <c r="O71" s="116">
        <f>Amnt_Deposited!B66</f>
        <v>2052</v>
      </c>
      <c r="P71" s="119">
        <f>Amnt_Deposited!E66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Amnt_Deposited!D67</f>
        <v>0</v>
      </c>
      <c r="D72" s="453">
        <f>Dry_Matter_Content!E59</f>
        <v>0.44</v>
      </c>
      <c r="E72" s="319">
        <f>MCF!R71</f>
        <v>0.8</v>
      </c>
      <c r="F72" s="87">
        <f t="shared" si="0"/>
        <v>0</v>
      </c>
      <c r="G72" s="87">
        <f t="shared" si="1"/>
        <v>0</v>
      </c>
      <c r="H72" s="87">
        <f t="shared" si="2"/>
        <v>0</v>
      </c>
      <c r="I72" s="87">
        <f t="shared" si="3"/>
        <v>1.8484499082242717E-3</v>
      </c>
      <c r="J72" s="87">
        <f t="shared" si="4"/>
        <v>3.4252673541664187E-4</v>
      </c>
      <c r="K72" s="120">
        <f t="shared" si="6"/>
        <v>2.283511569444279E-4</v>
      </c>
      <c r="O72" s="116">
        <f>Amnt_Deposited!B67</f>
        <v>2053</v>
      </c>
      <c r="P72" s="119">
        <f>Amnt_Deposited!E67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Amnt_Deposited!D68</f>
        <v>0</v>
      </c>
      <c r="D73" s="453">
        <f>Dry_Matter_Content!E60</f>
        <v>0.44</v>
      </c>
      <c r="E73" s="319">
        <f>MCF!R72</f>
        <v>0.8</v>
      </c>
      <c r="F73" s="87">
        <f t="shared" si="0"/>
        <v>0</v>
      </c>
      <c r="G73" s="87">
        <f t="shared" si="1"/>
        <v>0</v>
      </c>
      <c r="H73" s="87">
        <f t="shared" si="2"/>
        <v>0</v>
      </c>
      <c r="I73" s="87">
        <f t="shared" si="3"/>
        <v>1.5594721528096325E-3</v>
      </c>
      <c r="J73" s="87">
        <f t="shared" si="4"/>
        <v>2.889777554146392E-4</v>
      </c>
      <c r="K73" s="120">
        <f t="shared" si="6"/>
        <v>1.926518369430928E-4</v>
      </c>
      <c r="O73" s="116">
        <f>Amnt_Deposited!B68</f>
        <v>2054</v>
      </c>
      <c r="P73" s="119">
        <f>Amnt_Deposited!E68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Amnt_Deposited!D69</f>
        <v>0</v>
      </c>
      <c r="D74" s="453">
        <f>Dry_Matter_Content!E61</f>
        <v>0.44</v>
      </c>
      <c r="E74" s="319">
        <f>MCF!R73</f>
        <v>0.8</v>
      </c>
      <c r="F74" s="87">
        <f t="shared" si="0"/>
        <v>0</v>
      </c>
      <c r="G74" s="87">
        <f t="shared" si="1"/>
        <v>0</v>
      </c>
      <c r="H74" s="87">
        <f t="shared" si="2"/>
        <v>0</v>
      </c>
      <c r="I74" s="87">
        <f t="shared" si="3"/>
        <v>1.3156717877873063E-3</v>
      </c>
      <c r="J74" s="87">
        <f t="shared" si="4"/>
        <v>2.4380036502232624E-4</v>
      </c>
      <c r="K74" s="120">
        <f t="shared" si="6"/>
        <v>1.6253357668155082E-4</v>
      </c>
      <c r="O74" s="116">
        <f>Amnt_Deposited!B69</f>
        <v>2055</v>
      </c>
      <c r="P74" s="119">
        <f>Amnt_Deposited!E69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Amnt_Deposited!D70</f>
        <v>0</v>
      </c>
      <c r="D75" s="453">
        <f>Dry_Matter_Content!E62</f>
        <v>0.44</v>
      </c>
      <c r="E75" s="319">
        <f>MCF!R74</f>
        <v>0.8</v>
      </c>
      <c r="F75" s="87">
        <f t="shared" si="0"/>
        <v>0</v>
      </c>
      <c r="G75" s="87">
        <f t="shared" si="1"/>
        <v>0</v>
      </c>
      <c r="H75" s="87">
        <f t="shared" si="2"/>
        <v>0</v>
      </c>
      <c r="I75" s="87">
        <f t="shared" si="3"/>
        <v>1.1099859975446142E-3</v>
      </c>
      <c r="J75" s="87">
        <f t="shared" si="4"/>
        <v>2.0568579024269227E-4</v>
      </c>
      <c r="K75" s="120">
        <f t="shared" si="6"/>
        <v>1.3712386016179483E-4</v>
      </c>
      <c r="O75" s="116">
        <f>Amnt_Deposited!B70</f>
        <v>2056</v>
      </c>
      <c r="P75" s="119">
        <f>Amnt_Deposited!E70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Amnt_Deposited!D71</f>
        <v>0</v>
      </c>
      <c r="D76" s="453">
        <f>Dry_Matter_Content!E63</f>
        <v>0.44</v>
      </c>
      <c r="E76" s="319">
        <f>MCF!R75</f>
        <v>0.8</v>
      </c>
      <c r="F76" s="87">
        <f t="shared" si="0"/>
        <v>0</v>
      </c>
      <c r="G76" s="87">
        <f t="shared" si="1"/>
        <v>0</v>
      </c>
      <c r="H76" s="87">
        <f t="shared" si="2"/>
        <v>0</v>
      </c>
      <c r="I76" s="87">
        <f t="shared" si="3"/>
        <v>9.3645613304303092E-4</v>
      </c>
      <c r="J76" s="87">
        <f t="shared" si="4"/>
        <v>1.7352986450158323E-4</v>
      </c>
      <c r="K76" s="120">
        <f t="shared" si="6"/>
        <v>1.1568657633438881E-4</v>
      </c>
      <c r="O76" s="116">
        <f>Amnt_Deposited!B71</f>
        <v>2057</v>
      </c>
      <c r="P76" s="119">
        <f>Amnt_Deposited!E71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Amnt_Deposited!D72</f>
        <v>0</v>
      </c>
      <c r="D77" s="453">
        <f>Dry_Matter_Content!E64</f>
        <v>0.44</v>
      </c>
      <c r="E77" s="319">
        <f>MCF!R76</f>
        <v>0.8</v>
      </c>
      <c r="F77" s="87">
        <f t="shared" si="0"/>
        <v>0</v>
      </c>
      <c r="G77" s="87">
        <f t="shared" si="1"/>
        <v>0</v>
      </c>
      <c r="H77" s="87">
        <f t="shared" si="2"/>
        <v>0</v>
      </c>
      <c r="I77" s="87">
        <f t="shared" si="3"/>
        <v>7.9005509173430734E-4</v>
      </c>
      <c r="J77" s="87">
        <f t="shared" si="4"/>
        <v>1.4640104130872353E-4</v>
      </c>
      <c r="K77" s="120">
        <f t="shared" si="6"/>
        <v>9.7600694205815676E-5</v>
      </c>
      <c r="O77" s="116">
        <f>Amnt_Deposited!B72</f>
        <v>2058</v>
      </c>
      <c r="P77" s="119">
        <f>Amnt_Deposited!E72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Amnt_Deposited!D73</f>
        <v>0</v>
      </c>
      <c r="D78" s="453">
        <f>Dry_Matter_Content!E65</f>
        <v>0.44</v>
      </c>
      <c r="E78" s="319">
        <f>MCF!R77</f>
        <v>0.8</v>
      </c>
      <c r="F78" s="87">
        <f t="shared" si="0"/>
        <v>0</v>
      </c>
      <c r="G78" s="87">
        <f t="shared" si="1"/>
        <v>0</v>
      </c>
      <c r="H78" s="87">
        <f t="shared" si="2"/>
        <v>0</v>
      </c>
      <c r="I78" s="87">
        <f t="shared" si="3"/>
        <v>6.6654168406906353E-4</v>
      </c>
      <c r="J78" s="87">
        <f t="shared" si="4"/>
        <v>1.2351340766524383E-4</v>
      </c>
      <c r="K78" s="120">
        <f t="shared" si="6"/>
        <v>8.234227177682921E-5</v>
      </c>
      <c r="O78" s="116">
        <f>Amnt_Deposited!B73</f>
        <v>2059</v>
      </c>
      <c r="P78" s="119">
        <f>Amnt_Deposited!E73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Amnt_Deposited!D74</f>
        <v>0</v>
      </c>
      <c r="D79" s="453">
        <f>Dry_Matter_Content!E66</f>
        <v>0.44</v>
      </c>
      <c r="E79" s="319">
        <f>MCF!R78</f>
        <v>0.8</v>
      </c>
      <c r="F79" s="87">
        <f t="shared" si="0"/>
        <v>0</v>
      </c>
      <c r="G79" s="87">
        <f t="shared" si="1"/>
        <v>0</v>
      </c>
      <c r="H79" s="87">
        <f t="shared" si="2"/>
        <v>0</v>
      </c>
      <c r="I79" s="87">
        <f t="shared" si="3"/>
        <v>5.6233776764397117E-4</v>
      </c>
      <c r="J79" s="87">
        <f t="shared" si="4"/>
        <v>1.0420391642509231E-4</v>
      </c>
      <c r="K79" s="120">
        <f t="shared" si="6"/>
        <v>6.9469277616728199E-5</v>
      </c>
      <c r="O79" s="116">
        <f>Amnt_Deposited!B74</f>
        <v>2060</v>
      </c>
      <c r="P79" s="119">
        <f>Amnt_Deposited!E74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Amnt_Deposited!D75</f>
        <v>0</v>
      </c>
      <c r="D80" s="453">
        <f>Dry_Matter_Content!E67</f>
        <v>0.44</v>
      </c>
      <c r="E80" s="319">
        <f>MCF!R79</f>
        <v>0.8</v>
      </c>
      <c r="F80" s="87">
        <f t="shared" si="0"/>
        <v>0</v>
      </c>
      <c r="G80" s="87">
        <f t="shared" si="1"/>
        <v>0</v>
      </c>
      <c r="H80" s="87">
        <f t="shared" si="2"/>
        <v>0</v>
      </c>
      <c r="I80" s="87">
        <f t="shared" si="3"/>
        <v>4.7442458960457077E-4</v>
      </c>
      <c r="J80" s="87">
        <f t="shared" si="4"/>
        <v>8.7913178039400399E-5</v>
      </c>
      <c r="K80" s="120">
        <f t="shared" si="6"/>
        <v>5.8608785359600261E-5</v>
      </c>
      <c r="O80" s="116">
        <f>Amnt_Deposited!B75</f>
        <v>2061</v>
      </c>
      <c r="P80" s="119">
        <f>Amnt_Deposited!E75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Amnt_Deposited!D76</f>
        <v>0</v>
      </c>
      <c r="D81" s="453">
        <f>Dry_Matter_Content!E68</f>
        <v>0.44</v>
      </c>
      <c r="E81" s="319">
        <f>MCF!R80</f>
        <v>0.8</v>
      </c>
      <c r="F81" s="87">
        <f t="shared" si="0"/>
        <v>0</v>
      </c>
      <c r="G81" s="87">
        <f t="shared" si="1"/>
        <v>0</v>
      </c>
      <c r="H81" s="87">
        <f t="shared" si="2"/>
        <v>0</v>
      </c>
      <c r="I81" s="87">
        <f t="shared" si="3"/>
        <v>4.002553343775548E-4</v>
      </c>
      <c r="J81" s="87">
        <f t="shared" si="4"/>
        <v>7.4169255227015968E-5</v>
      </c>
      <c r="K81" s="120">
        <f t="shared" si="6"/>
        <v>4.9446170151343977E-5</v>
      </c>
      <c r="O81" s="116">
        <f>Amnt_Deposited!B76</f>
        <v>2062</v>
      </c>
      <c r="P81" s="119">
        <f>Amnt_Deposited!E76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Amnt_Deposited!D77</f>
        <v>0</v>
      </c>
      <c r="D82" s="453">
        <f>Dry_Matter_Content!E69</f>
        <v>0.44</v>
      </c>
      <c r="E82" s="319">
        <f>MCF!R81</f>
        <v>0.8</v>
      </c>
      <c r="F82" s="87">
        <f t="shared" si="0"/>
        <v>0</v>
      </c>
      <c r="G82" s="87">
        <f t="shared" si="1"/>
        <v>0</v>
      </c>
      <c r="H82" s="87">
        <f t="shared" si="2"/>
        <v>0</v>
      </c>
      <c r="I82" s="87">
        <f t="shared" si="3"/>
        <v>3.3768134326936399E-4</v>
      </c>
      <c r="J82" s="87">
        <f t="shared" si="4"/>
        <v>6.2573991108190796E-5</v>
      </c>
      <c r="K82" s="120">
        <f t="shared" si="6"/>
        <v>4.1715994072127195E-5</v>
      </c>
      <c r="O82" s="116">
        <f>Amnt_Deposited!B77</f>
        <v>2063</v>
      </c>
      <c r="P82" s="119">
        <f>Amnt_Deposited!E77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Amnt_Deposited!D78</f>
        <v>0</v>
      </c>
      <c r="D83" s="453">
        <f>Dry_Matter_Content!E70</f>
        <v>0.44</v>
      </c>
      <c r="E83" s="319">
        <f>MCF!R82</f>
        <v>0.8</v>
      </c>
      <c r="F83" s="87">
        <f t="shared" ref="F83:F99" si="12">C83*D83*$K$6*DOCF*E83</f>
        <v>0</v>
      </c>
      <c r="G83" s="87">
        <f t="shared" ref="G83:G99" si="13">F83*$K$12</f>
        <v>0</v>
      </c>
      <c r="H83" s="87">
        <f t="shared" ref="H83:H99" si="14">F83*(1-$K$12)</f>
        <v>0</v>
      </c>
      <c r="I83" s="87">
        <f t="shared" ref="I83:I99" si="15">G83+I82*$K$10</f>
        <v>2.8488986853736847E-4</v>
      </c>
      <c r="J83" s="87">
        <f t="shared" ref="J83:J99" si="16">I82*(1-$K$10)+H83</f>
        <v>5.2791474731995532E-5</v>
      </c>
      <c r="K83" s="120">
        <f t="shared" si="6"/>
        <v>3.5194316487997019E-5</v>
      </c>
      <c r="O83" s="116">
        <f>Amnt_Deposited!B78</f>
        <v>2064</v>
      </c>
      <c r="P83" s="119">
        <f>Amnt_Deposited!E78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Amnt_Deposited!D79</f>
        <v>0</v>
      </c>
      <c r="D84" s="453">
        <f>Dry_Matter_Content!E71</f>
        <v>0.44</v>
      </c>
      <c r="E84" s="319">
        <f>MCF!R83</f>
        <v>0.8</v>
      </c>
      <c r="F84" s="87">
        <f t="shared" si="12"/>
        <v>0</v>
      </c>
      <c r="G84" s="87">
        <f t="shared" si="13"/>
        <v>0</v>
      </c>
      <c r="H84" s="87">
        <f t="shared" si="14"/>
        <v>0</v>
      </c>
      <c r="I84" s="87">
        <f t="shared" si="15"/>
        <v>2.4035155868974684E-4</v>
      </c>
      <c r="J84" s="87">
        <f t="shared" si="16"/>
        <v>4.4538309847621633E-5</v>
      </c>
      <c r="K84" s="120">
        <f t="shared" si="6"/>
        <v>2.9692206565081087E-5</v>
      </c>
      <c r="O84" s="116">
        <f>Amnt_Deposited!B79</f>
        <v>2065</v>
      </c>
      <c r="P84" s="119">
        <f>Amnt_Deposited!E79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Amnt_Deposited!D80</f>
        <v>0</v>
      </c>
      <c r="D85" s="453">
        <f>Dry_Matter_Content!E72</f>
        <v>0.44</v>
      </c>
      <c r="E85" s="319">
        <f>MCF!R84</f>
        <v>0.8</v>
      </c>
      <c r="F85" s="87">
        <f t="shared" si="12"/>
        <v>0</v>
      </c>
      <c r="G85" s="87">
        <f t="shared" si="13"/>
        <v>0</v>
      </c>
      <c r="H85" s="87">
        <f t="shared" si="14"/>
        <v>0</v>
      </c>
      <c r="I85" s="87">
        <f t="shared" si="15"/>
        <v>2.0277615368064023E-4</v>
      </c>
      <c r="J85" s="87">
        <f t="shared" si="16"/>
        <v>3.757540500910662E-5</v>
      </c>
      <c r="K85" s="120">
        <f t="shared" ref="K85:K99" si="18">J85*CH4_fraction*conv</f>
        <v>2.5050270006071079E-5</v>
      </c>
      <c r="O85" s="116">
        <f>Amnt_Deposited!B80</f>
        <v>2066</v>
      </c>
      <c r="P85" s="119">
        <f>Amnt_Deposited!E80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Amnt_Deposited!D81</f>
        <v>0</v>
      </c>
      <c r="D86" s="453">
        <f>Dry_Matter_Content!E73</f>
        <v>0.44</v>
      </c>
      <c r="E86" s="319">
        <f>MCF!R85</f>
        <v>0.8</v>
      </c>
      <c r="F86" s="87">
        <f t="shared" si="12"/>
        <v>0</v>
      </c>
      <c r="G86" s="87">
        <f t="shared" si="13"/>
        <v>0</v>
      </c>
      <c r="H86" s="87">
        <f t="shared" si="14"/>
        <v>0</v>
      </c>
      <c r="I86" s="87">
        <f t="shared" si="15"/>
        <v>1.7107510650509746E-4</v>
      </c>
      <c r="J86" s="87">
        <f t="shared" si="16"/>
        <v>3.1701047175542776E-5</v>
      </c>
      <c r="K86" s="120">
        <f t="shared" si="18"/>
        <v>2.1134031450361851E-5</v>
      </c>
      <c r="O86" s="116">
        <f>Amnt_Deposited!B81</f>
        <v>2067</v>
      </c>
      <c r="P86" s="119">
        <f>Amnt_Deposited!E81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Amnt_Deposited!D82</f>
        <v>0</v>
      </c>
      <c r="D87" s="453">
        <f>Dry_Matter_Content!E74</f>
        <v>0.44</v>
      </c>
      <c r="E87" s="319">
        <f>MCF!R86</f>
        <v>0.8</v>
      </c>
      <c r="F87" s="87">
        <f t="shared" si="12"/>
        <v>0</v>
      </c>
      <c r="G87" s="87">
        <f t="shared" si="13"/>
        <v>0</v>
      </c>
      <c r="H87" s="87">
        <f t="shared" si="14"/>
        <v>0</v>
      </c>
      <c r="I87" s="87">
        <f t="shared" si="15"/>
        <v>1.4433004835382986E-4</v>
      </c>
      <c r="J87" s="87">
        <f t="shared" si="16"/>
        <v>2.6745058151267603E-5</v>
      </c>
      <c r="K87" s="120">
        <f t="shared" si="18"/>
        <v>1.7830038767511733E-5</v>
      </c>
      <c r="O87" s="116">
        <f>Amnt_Deposited!B82</f>
        <v>2068</v>
      </c>
      <c r="P87" s="119">
        <f>Amnt_Deposited!E82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Amnt_Deposited!D83</f>
        <v>0</v>
      </c>
      <c r="D88" s="453">
        <f>Dry_Matter_Content!E75</f>
        <v>0.44</v>
      </c>
      <c r="E88" s="319">
        <f>MCF!R87</f>
        <v>0.8</v>
      </c>
      <c r="F88" s="87">
        <f t="shared" si="12"/>
        <v>0</v>
      </c>
      <c r="G88" s="87">
        <f t="shared" si="13"/>
        <v>0</v>
      </c>
      <c r="H88" s="87">
        <f t="shared" si="14"/>
        <v>0</v>
      </c>
      <c r="I88" s="87">
        <f t="shared" si="15"/>
        <v>1.2176618377378106E-4</v>
      </c>
      <c r="J88" s="87">
        <f t="shared" si="16"/>
        <v>2.25638645800488E-5</v>
      </c>
      <c r="K88" s="120">
        <f t="shared" si="18"/>
        <v>1.5042576386699199E-5</v>
      </c>
      <c r="O88" s="116">
        <f>Amnt_Deposited!B83</f>
        <v>2069</v>
      </c>
      <c r="P88" s="119">
        <f>Amnt_Deposited!E83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Amnt_Deposited!D84</f>
        <v>0</v>
      </c>
      <c r="D89" s="453">
        <f>Dry_Matter_Content!E76</f>
        <v>0.44</v>
      </c>
      <c r="E89" s="319">
        <f>MCF!R88</f>
        <v>0.8</v>
      </c>
      <c r="F89" s="87">
        <f t="shared" si="12"/>
        <v>0</v>
      </c>
      <c r="G89" s="87">
        <f t="shared" si="13"/>
        <v>0</v>
      </c>
      <c r="H89" s="87">
        <f t="shared" si="14"/>
        <v>0</v>
      </c>
      <c r="I89" s="87">
        <f t="shared" si="15"/>
        <v>1.0272984510114855E-4</v>
      </c>
      <c r="J89" s="87">
        <f t="shared" si="16"/>
        <v>1.9036338672632509E-5</v>
      </c>
      <c r="K89" s="120">
        <f t="shared" si="18"/>
        <v>1.2690892448421672E-5</v>
      </c>
      <c r="O89" s="116">
        <f>Amnt_Deposited!B84</f>
        <v>2070</v>
      </c>
      <c r="P89" s="119">
        <f>Amnt_Deposited!E84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Amnt_Deposited!D85</f>
        <v>0</v>
      </c>
      <c r="D90" s="453">
        <f>Dry_Matter_Content!E77</f>
        <v>0.44</v>
      </c>
      <c r="E90" s="319">
        <f>MCF!R89</f>
        <v>0.8</v>
      </c>
      <c r="F90" s="87">
        <f t="shared" si="12"/>
        <v>0</v>
      </c>
      <c r="G90" s="87">
        <f t="shared" si="13"/>
        <v>0</v>
      </c>
      <c r="H90" s="87">
        <f t="shared" si="14"/>
        <v>0</v>
      </c>
      <c r="I90" s="87">
        <f t="shared" si="15"/>
        <v>8.6669555926235405E-5</v>
      </c>
      <c r="J90" s="87">
        <f t="shared" si="16"/>
        <v>1.6060289174913153E-5</v>
      </c>
      <c r="K90" s="120">
        <f t="shared" si="18"/>
        <v>1.0706859449942101E-5</v>
      </c>
      <c r="O90" s="116">
        <f>Amnt_Deposited!B85</f>
        <v>2071</v>
      </c>
      <c r="P90" s="119">
        <f>Amnt_Deposited!E85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Amnt_Deposited!D86</f>
        <v>0</v>
      </c>
      <c r="D91" s="453">
        <f>Dry_Matter_Content!E78</f>
        <v>0.44</v>
      </c>
      <c r="E91" s="319">
        <f>MCF!R90</f>
        <v>0.8</v>
      </c>
      <c r="F91" s="87">
        <f t="shared" si="12"/>
        <v>0</v>
      </c>
      <c r="G91" s="87">
        <f t="shared" si="13"/>
        <v>0</v>
      </c>
      <c r="H91" s="87">
        <f t="shared" si="14"/>
        <v>0</v>
      </c>
      <c r="I91" s="87">
        <f t="shared" si="15"/>
        <v>7.3120055004997415E-5</v>
      </c>
      <c r="J91" s="87">
        <f t="shared" si="16"/>
        <v>1.3549500921237992E-5</v>
      </c>
      <c r="K91" s="120">
        <f t="shared" si="18"/>
        <v>9.0330006141586599E-6</v>
      </c>
      <c r="O91" s="116">
        <f>Amnt_Deposited!B86</f>
        <v>2072</v>
      </c>
      <c r="P91" s="119">
        <f>Amnt_Deposited!E86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Amnt_Deposited!D87</f>
        <v>0</v>
      </c>
      <c r="D92" s="453">
        <f>Dry_Matter_Content!E79</f>
        <v>0.44</v>
      </c>
      <c r="E92" s="319">
        <f>MCF!R91</f>
        <v>0.8</v>
      </c>
      <c r="F92" s="87">
        <f t="shared" si="12"/>
        <v>0</v>
      </c>
      <c r="G92" s="87">
        <f t="shared" si="13"/>
        <v>0</v>
      </c>
      <c r="H92" s="87">
        <f t="shared" si="14"/>
        <v>0</v>
      </c>
      <c r="I92" s="87">
        <f t="shared" si="15"/>
        <v>6.1688817795308627E-5</v>
      </c>
      <c r="J92" s="87">
        <f t="shared" si="16"/>
        <v>1.1431237209688782E-5</v>
      </c>
      <c r="K92" s="120">
        <f t="shared" si="18"/>
        <v>7.6208248064591879E-6</v>
      </c>
      <c r="O92" s="116">
        <f>Amnt_Deposited!B87</f>
        <v>2073</v>
      </c>
      <c r="P92" s="119">
        <f>Amnt_Deposited!E87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Amnt_Deposited!D88</f>
        <v>0</v>
      </c>
      <c r="D93" s="453">
        <f>Dry_Matter_Content!E80</f>
        <v>0.44</v>
      </c>
      <c r="E93" s="319">
        <f>MCF!R92</f>
        <v>0.8</v>
      </c>
      <c r="F93" s="87">
        <f t="shared" si="12"/>
        <v>0</v>
      </c>
      <c r="G93" s="87">
        <f t="shared" si="13"/>
        <v>0</v>
      </c>
      <c r="H93" s="87">
        <f t="shared" si="14"/>
        <v>0</v>
      </c>
      <c r="I93" s="87">
        <f t="shared" si="15"/>
        <v>5.2044685151326785E-5</v>
      </c>
      <c r="J93" s="87">
        <f t="shared" si="16"/>
        <v>9.6441326439818421E-6</v>
      </c>
      <c r="K93" s="120">
        <f t="shared" si="18"/>
        <v>6.4294217626545614E-6</v>
      </c>
      <c r="O93" s="116">
        <f>Amnt_Deposited!B88</f>
        <v>2074</v>
      </c>
      <c r="P93" s="119">
        <f>Amnt_Deposited!E88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Amnt_Deposited!D89</f>
        <v>0</v>
      </c>
      <c r="D94" s="453">
        <f>Dry_Matter_Content!E81</f>
        <v>0.44</v>
      </c>
      <c r="E94" s="319">
        <f>MCF!R93</f>
        <v>0.8</v>
      </c>
      <c r="F94" s="87">
        <f t="shared" si="12"/>
        <v>0</v>
      </c>
      <c r="G94" s="87">
        <f t="shared" si="13"/>
        <v>0</v>
      </c>
      <c r="H94" s="87">
        <f t="shared" si="14"/>
        <v>0</v>
      </c>
      <c r="I94" s="87">
        <f t="shared" si="15"/>
        <v>4.3908269753010646E-5</v>
      </c>
      <c r="J94" s="87">
        <f t="shared" si="16"/>
        <v>8.1364153983161388E-6</v>
      </c>
      <c r="K94" s="120">
        <f t="shared" si="18"/>
        <v>5.4242769322107592E-6</v>
      </c>
      <c r="O94" s="116">
        <f>Amnt_Deposited!B89</f>
        <v>2075</v>
      </c>
      <c r="P94" s="119">
        <f>Amnt_Deposited!E89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Amnt_Deposited!D90</f>
        <v>0</v>
      </c>
      <c r="D95" s="453">
        <f>Dry_Matter_Content!E82</f>
        <v>0.44</v>
      </c>
      <c r="E95" s="319">
        <f>MCF!R94</f>
        <v>0.8</v>
      </c>
      <c r="F95" s="87">
        <f t="shared" si="12"/>
        <v>0</v>
      </c>
      <c r="G95" s="87">
        <f t="shared" si="13"/>
        <v>0</v>
      </c>
      <c r="H95" s="87">
        <f t="shared" si="14"/>
        <v>0</v>
      </c>
      <c r="I95" s="87">
        <f t="shared" si="15"/>
        <v>3.7043862348238266E-5</v>
      </c>
      <c r="J95" s="87">
        <f t="shared" si="16"/>
        <v>6.8644074047723772E-6</v>
      </c>
      <c r="K95" s="120">
        <f t="shared" si="18"/>
        <v>4.5762716031815845E-6</v>
      </c>
      <c r="O95" s="116">
        <f>Amnt_Deposited!B90</f>
        <v>2076</v>
      </c>
      <c r="P95" s="119">
        <f>Amnt_Deposited!E90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Amnt_Deposited!D91</f>
        <v>0</v>
      </c>
      <c r="D96" s="453">
        <f>Dry_Matter_Content!E83</f>
        <v>0.44</v>
      </c>
      <c r="E96" s="319">
        <f>MCF!R95</f>
        <v>0.8</v>
      </c>
      <c r="F96" s="87">
        <f t="shared" si="12"/>
        <v>0</v>
      </c>
      <c r="G96" s="87">
        <f t="shared" si="13"/>
        <v>0</v>
      </c>
      <c r="H96" s="87">
        <f t="shared" si="14"/>
        <v>0</v>
      </c>
      <c r="I96" s="87">
        <f t="shared" si="15"/>
        <v>3.1252603334048118E-5</v>
      </c>
      <c r="J96" s="87">
        <f t="shared" si="16"/>
        <v>5.7912590141901459E-6</v>
      </c>
      <c r="K96" s="120">
        <f t="shared" si="18"/>
        <v>3.8608393427934303E-6</v>
      </c>
      <c r="O96" s="116">
        <f>Amnt_Deposited!B91</f>
        <v>2077</v>
      </c>
      <c r="P96" s="119">
        <f>Amnt_Deposited!E91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Amnt_Deposited!D92</f>
        <v>0</v>
      </c>
      <c r="D97" s="453">
        <f>Dry_Matter_Content!E84</f>
        <v>0.44</v>
      </c>
      <c r="E97" s="319">
        <f>MCF!R96</f>
        <v>0.8</v>
      </c>
      <c r="F97" s="87">
        <f t="shared" si="12"/>
        <v>0</v>
      </c>
      <c r="G97" s="87">
        <f t="shared" si="13"/>
        <v>0</v>
      </c>
      <c r="H97" s="87">
        <f t="shared" si="14"/>
        <v>0</v>
      </c>
      <c r="I97" s="87">
        <f t="shared" si="15"/>
        <v>2.6366721859979236E-5</v>
      </c>
      <c r="J97" s="87">
        <f t="shared" si="16"/>
        <v>4.8858814740688829E-6</v>
      </c>
      <c r="K97" s="120">
        <f t="shared" si="18"/>
        <v>3.2572543160459219E-6</v>
      </c>
      <c r="O97" s="116">
        <f>Amnt_Deposited!B92</f>
        <v>2078</v>
      </c>
      <c r="P97" s="119">
        <f>Amnt_Deposited!E92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Amnt_Deposited!D93</f>
        <v>0</v>
      </c>
      <c r="D98" s="453">
        <f>Dry_Matter_Content!E85</f>
        <v>0.44</v>
      </c>
      <c r="E98" s="319">
        <f>MCF!R97</f>
        <v>0.8</v>
      </c>
      <c r="F98" s="87">
        <f t="shared" si="12"/>
        <v>0</v>
      </c>
      <c r="G98" s="87">
        <f t="shared" si="13"/>
        <v>0</v>
      </c>
      <c r="H98" s="87">
        <f t="shared" si="14"/>
        <v>0</v>
      </c>
      <c r="I98" s="87">
        <f t="shared" si="15"/>
        <v>2.2244675562247242E-5</v>
      </c>
      <c r="J98" s="87">
        <f t="shared" si="16"/>
        <v>4.1220462977319925E-6</v>
      </c>
      <c r="K98" s="120">
        <f t="shared" si="18"/>
        <v>2.7480308651546617E-6</v>
      </c>
      <c r="O98" s="116">
        <f>Amnt_Deposited!B93</f>
        <v>2079</v>
      </c>
      <c r="P98" s="119">
        <f>Amnt_Deposited!E93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Amnt_Deposited!D94</f>
        <v>0</v>
      </c>
      <c r="D99" s="453">
        <f>Dry_Matter_Content!E86</f>
        <v>0.44</v>
      </c>
      <c r="E99" s="320">
        <f>MCF!R98</f>
        <v>0.8</v>
      </c>
      <c r="F99" s="88">
        <f t="shared" si="12"/>
        <v>0</v>
      </c>
      <c r="G99" s="88">
        <f t="shared" si="13"/>
        <v>0</v>
      </c>
      <c r="H99" s="88">
        <f t="shared" si="14"/>
        <v>0</v>
      </c>
      <c r="I99" s="88">
        <f t="shared" si="15"/>
        <v>1.8767050128469377E-5</v>
      </c>
      <c r="J99" s="88">
        <f t="shared" si="16"/>
        <v>3.477625433777864E-6</v>
      </c>
      <c r="K99" s="122">
        <f t="shared" si="18"/>
        <v>2.3184169558519092E-6</v>
      </c>
      <c r="O99" s="117">
        <f>Amnt_Deposited!B94</f>
        <v>2080</v>
      </c>
      <c r="P99" s="119">
        <f>Amnt_Deposited!E94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Parameters!O17</f>
        <v>0.49</v>
      </c>
      <c r="O6" s="257"/>
      <c r="P6" s="258"/>
      <c r="Q6" s="249"/>
      <c r="R6" s="128" t="s">
        <v>9</v>
      </c>
      <c r="S6" s="129"/>
      <c r="T6" s="129"/>
      <c r="U6" s="133"/>
      <c r="V6" s="140" t="s">
        <v>9</v>
      </c>
      <c r="W6" s="293">
        <f>Parameters!R17</f>
        <v>0.2</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Parameters!O36</f>
        <v>0.17</v>
      </c>
      <c r="O8" s="67"/>
      <c r="P8" s="67"/>
      <c r="Q8" s="249"/>
      <c r="R8" s="128" t="s">
        <v>192</v>
      </c>
      <c r="S8" s="129"/>
      <c r="T8" s="129"/>
      <c r="U8" s="133"/>
      <c r="V8" s="140" t="s">
        <v>188</v>
      </c>
      <c r="W8" s="134">
        <f>Parameters!O36</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Dry_Matter_Content!F6</f>
        <v>0.56999999999999995</v>
      </c>
      <c r="E19" s="318">
        <f>MCF!R18</f>
        <v>0.8</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Amnt_Deposited!F14</f>
        <v>0</v>
      </c>
      <c r="Q19" s="318">
        <f>MCF!R18</f>
        <v>0.8</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Dry_Matter_Content!F7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Amnt_Deposited!F15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Dry_Matter_Content!F8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Amnt_Deposited!F16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Dry_Matter_Content!F9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Amnt_Deposited!F17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Dry_Matter_Content!F10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Amnt_Deposited!F18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Dry_Matter_Content!F11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Amnt_Deposited!F19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Dry_Matter_Content!F12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Amnt_Deposited!F20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Dry_Matter_Content!F13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Amnt_Deposited!F21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Dry_Matter_Content!F14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Amnt_Deposited!F22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Dry_Matter_Content!F15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Amnt_Deposited!F23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Dry_Matter_Content!F16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Amnt_Deposited!F24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Dry_Matter_Content!F17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Amnt_Deposited!F25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Dry_Matter_Content!F18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Amnt_Deposited!F26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Dry_Matter_Content!F19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Amnt_Deposited!F27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Dry_Matter_Content!F20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Amnt_Deposited!F28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Dry_Matter_Content!F21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Amnt_Deposited!F29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Dry_Matter_Content!F22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Amnt_Deposited!F30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Dry_Matter_Content!F23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Amnt_Deposited!F31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Dry_Matter_Content!F24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Amnt_Deposited!F32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Dry_Matter_Content!F25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Amnt_Deposited!F33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Dry_Matter_Content!F26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Amnt_Deposited!F34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Dry_Matter_Content!F27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Amnt_Deposited!F35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Dry_Matter_Content!F28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Amnt_Deposited!F36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Dry_Matter_Content!F29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Amnt_Deposited!F37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Dry_Matter_Content!F30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Amnt_Deposited!F38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Dry_Matter_Content!F31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Amnt_Deposited!F39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Dry_Matter_Content!F32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Amnt_Deposited!F40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Dry_Matter_Content!F33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Amnt_Deposited!F41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Dry_Matter_Content!F34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Amnt_Deposited!F42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Dry_Matter_Content!F35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Amnt_Deposited!F43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Dry_Matter_Content!F36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Amnt_Deposited!F44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Dry_Matter_Content!F37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Amnt_Deposited!F45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Dry_Matter_Content!F38</f>
        <v>0.56999999999999995</v>
      </c>
      <c r="E51" s="319">
        <f>MCF!R50</f>
        <v>0.8</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Amnt_Deposited!F46</f>
        <v>0</v>
      </c>
      <c r="Q51" s="319">
        <f>MCF!R50</f>
        <v>0.8</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Dry_Matter_Content!F39</f>
        <v>0.56999999999999995</v>
      </c>
      <c r="E52" s="319">
        <f>MCF!R51</f>
        <v>0.8</v>
      </c>
      <c r="F52" s="87">
        <f t="shared" si="12"/>
        <v>0</v>
      </c>
      <c r="G52" s="87">
        <f t="shared" si="1"/>
        <v>0</v>
      </c>
      <c r="H52" s="87">
        <f t="shared" si="2"/>
        <v>0</v>
      </c>
      <c r="I52" s="87">
        <f t="shared" si="3"/>
        <v>0</v>
      </c>
      <c r="J52" s="87">
        <f t="shared" si="4"/>
        <v>0</v>
      </c>
      <c r="K52" s="120">
        <f t="shared" si="6"/>
        <v>0</v>
      </c>
      <c r="O52" s="116">
        <f>Amnt_Deposited!B47</f>
        <v>2033</v>
      </c>
      <c r="P52" s="119">
        <f>Amnt_Deposited!F47</f>
        <v>0</v>
      </c>
      <c r="Q52" s="319">
        <f>MCF!R51</f>
        <v>0.8</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Dry_Matter_Content!F40</f>
        <v>0.56999999999999995</v>
      </c>
      <c r="E53" s="319">
        <f>MCF!R52</f>
        <v>0.8</v>
      </c>
      <c r="F53" s="87">
        <f t="shared" si="12"/>
        <v>0</v>
      </c>
      <c r="G53" s="87">
        <f t="shared" si="1"/>
        <v>0</v>
      </c>
      <c r="H53" s="87">
        <f t="shared" si="2"/>
        <v>0</v>
      </c>
      <c r="I53" s="87">
        <f t="shared" si="3"/>
        <v>0</v>
      </c>
      <c r="J53" s="87">
        <f t="shared" si="4"/>
        <v>0</v>
      </c>
      <c r="K53" s="120">
        <f t="shared" si="6"/>
        <v>0</v>
      </c>
      <c r="O53" s="116">
        <f>Amnt_Deposited!B48</f>
        <v>2034</v>
      </c>
      <c r="P53" s="119">
        <f>Amnt_Deposited!F48</f>
        <v>0</v>
      </c>
      <c r="Q53" s="319">
        <f>MCF!R52</f>
        <v>0.8</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Dry_Matter_Content!F41</f>
        <v>0.56999999999999995</v>
      </c>
      <c r="E54" s="319">
        <f>MCF!R53</f>
        <v>0.8</v>
      </c>
      <c r="F54" s="87">
        <f t="shared" si="12"/>
        <v>0</v>
      </c>
      <c r="G54" s="87">
        <f t="shared" si="1"/>
        <v>0</v>
      </c>
      <c r="H54" s="87">
        <f t="shared" si="2"/>
        <v>0</v>
      </c>
      <c r="I54" s="87">
        <f t="shared" si="3"/>
        <v>0</v>
      </c>
      <c r="J54" s="87">
        <f t="shared" si="4"/>
        <v>0</v>
      </c>
      <c r="K54" s="120">
        <f t="shared" si="6"/>
        <v>0</v>
      </c>
      <c r="O54" s="116">
        <f>Amnt_Deposited!B49</f>
        <v>2035</v>
      </c>
      <c r="P54" s="119">
        <f>Amnt_Deposited!F49</f>
        <v>0</v>
      </c>
      <c r="Q54" s="319">
        <f>MCF!R53</f>
        <v>0.8</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Dry_Matter_Content!F42</f>
        <v>0.56999999999999995</v>
      </c>
      <c r="E55" s="319">
        <f>MCF!R54</f>
        <v>0.8</v>
      </c>
      <c r="F55" s="87">
        <f t="shared" si="12"/>
        <v>0</v>
      </c>
      <c r="G55" s="87">
        <f t="shared" si="1"/>
        <v>0</v>
      </c>
      <c r="H55" s="87">
        <f t="shared" si="2"/>
        <v>0</v>
      </c>
      <c r="I55" s="87">
        <f t="shared" si="3"/>
        <v>0</v>
      </c>
      <c r="J55" s="87">
        <f t="shared" si="4"/>
        <v>0</v>
      </c>
      <c r="K55" s="120">
        <f t="shared" si="6"/>
        <v>0</v>
      </c>
      <c r="O55" s="116">
        <f>Amnt_Deposited!B50</f>
        <v>2036</v>
      </c>
      <c r="P55" s="119">
        <f>Amnt_Deposited!F50</f>
        <v>0</v>
      </c>
      <c r="Q55" s="319">
        <f>MCF!R54</f>
        <v>0.8</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Dry_Matter_Content!F43</f>
        <v>0.56999999999999995</v>
      </c>
      <c r="E56" s="319">
        <f>MCF!R55</f>
        <v>0.8</v>
      </c>
      <c r="F56" s="87">
        <f t="shared" si="12"/>
        <v>0</v>
      </c>
      <c r="G56" s="87">
        <f t="shared" si="1"/>
        <v>0</v>
      </c>
      <c r="H56" s="87">
        <f t="shared" si="2"/>
        <v>0</v>
      </c>
      <c r="I56" s="87">
        <f t="shared" si="3"/>
        <v>0</v>
      </c>
      <c r="J56" s="87">
        <f t="shared" si="4"/>
        <v>0</v>
      </c>
      <c r="K56" s="120">
        <f t="shared" si="6"/>
        <v>0</v>
      </c>
      <c r="O56" s="116">
        <f>Amnt_Deposited!B51</f>
        <v>2037</v>
      </c>
      <c r="P56" s="119">
        <f>Amnt_Deposited!F51</f>
        <v>0</v>
      </c>
      <c r="Q56" s="319">
        <f>MCF!R55</f>
        <v>0.8</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Dry_Matter_Content!F44</f>
        <v>0.56999999999999995</v>
      </c>
      <c r="E57" s="319">
        <f>MCF!R56</f>
        <v>0.8</v>
      </c>
      <c r="F57" s="87">
        <f t="shared" si="12"/>
        <v>0</v>
      </c>
      <c r="G57" s="87">
        <f t="shared" si="1"/>
        <v>0</v>
      </c>
      <c r="H57" s="87">
        <f t="shared" si="2"/>
        <v>0</v>
      </c>
      <c r="I57" s="87">
        <f t="shared" si="3"/>
        <v>0</v>
      </c>
      <c r="J57" s="87">
        <f t="shared" si="4"/>
        <v>0</v>
      </c>
      <c r="K57" s="120">
        <f t="shared" si="6"/>
        <v>0</v>
      </c>
      <c r="O57" s="116">
        <f>Amnt_Deposited!B52</f>
        <v>2038</v>
      </c>
      <c r="P57" s="119">
        <f>Amnt_Deposited!F52</f>
        <v>0</v>
      </c>
      <c r="Q57" s="319">
        <f>MCF!R56</f>
        <v>0.8</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Dry_Matter_Content!F45</f>
        <v>0.56999999999999995</v>
      </c>
      <c r="E58" s="319">
        <f>MCF!R57</f>
        <v>0.8</v>
      </c>
      <c r="F58" s="87">
        <f t="shared" si="12"/>
        <v>0</v>
      </c>
      <c r="G58" s="87">
        <f t="shared" si="1"/>
        <v>0</v>
      </c>
      <c r="H58" s="87">
        <f t="shared" si="2"/>
        <v>0</v>
      </c>
      <c r="I58" s="87">
        <f t="shared" si="3"/>
        <v>0</v>
      </c>
      <c r="J58" s="87">
        <f t="shared" si="4"/>
        <v>0</v>
      </c>
      <c r="K58" s="120">
        <f t="shared" si="6"/>
        <v>0</v>
      </c>
      <c r="O58" s="116">
        <f>Amnt_Deposited!B53</f>
        <v>2039</v>
      </c>
      <c r="P58" s="119">
        <f>Amnt_Deposited!F53</f>
        <v>0</v>
      </c>
      <c r="Q58" s="319">
        <f>MCF!R57</f>
        <v>0.8</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Dry_Matter_Content!F46</f>
        <v>0.56999999999999995</v>
      </c>
      <c r="E59" s="319">
        <f>MCF!R58</f>
        <v>0.8</v>
      </c>
      <c r="F59" s="87">
        <f t="shared" si="12"/>
        <v>0</v>
      </c>
      <c r="G59" s="87">
        <f t="shared" si="1"/>
        <v>0</v>
      </c>
      <c r="H59" s="87">
        <f t="shared" si="2"/>
        <v>0</v>
      </c>
      <c r="I59" s="87">
        <f t="shared" si="3"/>
        <v>0</v>
      </c>
      <c r="J59" s="87">
        <f t="shared" si="4"/>
        <v>0</v>
      </c>
      <c r="K59" s="120">
        <f t="shared" si="6"/>
        <v>0</v>
      </c>
      <c r="O59" s="116">
        <f>Amnt_Deposited!B54</f>
        <v>2040</v>
      </c>
      <c r="P59" s="119">
        <f>Amnt_Deposited!F54</f>
        <v>0</v>
      </c>
      <c r="Q59" s="319">
        <f>MCF!R58</f>
        <v>0.8</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Dry_Matter_Content!F47</f>
        <v>0.56999999999999995</v>
      </c>
      <c r="E60" s="319">
        <f>MCF!R59</f>
        <v>0.8</v>
      </c>
      <c r="F60" s="87">
        <f t="shared" si="12"/>
        <v>0</v>
      </c>
      <c r="G60" s="87">
        <f t="shared" si="1"/>
        <v>0</v>
      </c>
      <c r="H60" s="87">
        <f t="shared" si="2"/>
        <v>0</v>
      </c>
      <c r="I60" s="87">
        <f t="shared" si="3"/>
        <v>0</v>
      </c>
      <c r="J60" s="87">
        <f t="shared" si="4"/>
        <v>0</v>
      </c>
      <c r="K60" s="120">
        <f t="shared" si="6"/>
        <v>0</v>
      </c>
      <c r="O60" s="116">
        <f>Amnt_Deposited!B55</f>
        <v>2041</v>
      </c>
      <c r="P60" s="119">
        <f>Amnt_Deposited!F55</f>
        <v>0</v>
      </c>
      <c r="Q60" s="319">
        <f>MCF!R59</f>
        <v>0.8</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Dry_Matter_Content!F48</f>
        <v>0.56999999999999995</v>
      </c>
      <c r="E61" s="319">
        <f>MCF!R60</f>
        <v>0.8</v>
      </c>
      <c r="F61" s="87">
        <f t="shared" si="12"/>
        <v>0</v>
      </c>
      <c r="G61" s="87">
        <f t="shared" si="1"/>
        <v>0</v>
      </c>
      <c r="H61" s="87">
        <f t="shared" si="2"/>
        <v>0</v>
      </c>
      <c r="I61" s="87">
        <f t="shared" si="3"/>
        <v>0</v>
      </c>
      <c r="J61" s="87">
        <f t="shared" si="4"/>
        <v>0</v>
      </c>
      <c r="K61" s="120">
        <f t="shared" si="6"/>
        <v>0</v>
      </c>
      <c r="O61" s="116">
        <f>Amnt_Deposited!B56</f>
        <v>2042</v>
      </c>
      <c r="P61" s="119">
        <f>Amnt_Deposited!F56</f>
        <v>0</v>
      </c>
      <c r="Q61" s="319">
        <f>MCF!R60</f>
        <v>0.8</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Dry_Matter_Content!F49</f>
        <v>0.56999999999999995</v>
      </c>
      <c r="E62" s="319">
        <f>MCF!R61</f>
        <v>0.8</v>
      </c>
      <c r="F62" s="87">
        <f t="shared" si="12"/>
        <v>0</v>
      </c>
      <c r="G62" s="87">
        <f t="shared" si="1"/>
        <v>0</v>
      </c>
      <c r="H62" s="87">
        <f t="shared" si="2"/>
        <v>0</v>
      </c>
      <c r="I62" s="87">
        <f t="shared" si="3"/>
        <v>0</v>
      </c>
      <c r="J62" s="87">
        <f t="shared" si="4"/>
        <v>0</v>
      </c>
      <c r="K62" s="120">
        <f t="shared" si="6"/>
        <v>0</v>
      </c>
      <c r="O62" s="116">
        <f>Amnt_Deposited!B57</f>
        <v>2043</v>
      </c>
      <c r="P62" s="119">
        <f>Amnt_Deposited!F57</f>
        <v>0</v>
      </c>
      <c r="Q62" s="319">
        <f>MCF!R61</f>
        <v>0.8</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Dry_Matter_Content!F50</f>
        <v>0.56999999999999995</v>
      </c>
      <c r="E63" s="319">
        <f>MCF!R62</f>
        <v>0.8</v>
      </c>
      <c r="F63" s="87">
        <f t="shared" si="12"/>
        <v>0</v>
      </c>
      <c r="G63" s="87">
        <f t="shared" si="1"/>
        <v>0</v>
      </c>
      <c r="H63" s="87">
        <f t="shared" si="2"/>
        <v>0</v>
      </c>
      <c r="I63" s="87">
        <f t="shared" si="3"/>
        <v>0</v>
      </c>
      <c r="J63" s="87">
        <f t="shared" si="4"/>
        <v>0</v>
      </c>
      <c r="K63" s="120">
        <f t="shared" si="6"/>
        <v>0</v>
      </c>
      <c r="O63" s="116">
        <f>Amnt_Deposited!B58</f>
        <v>2044</v>
      </c>
      <c r="P63" s="119">
        <f>Amnt_Deposited!F58</f>
        <v>0</v>
      </c>
      <c r="Q63" s="319">
        <f>MCF!R62</f>
        <v>0.8</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Dry_Matter_Content!F51</f>
        <v>0.56999999999999995</v>
      </c>
      <c r="E64" s="319">
        <f>MCF!R63</f>
        <v>0.8</v>
      </c>
      <c r="F64" s="87">
        <f t="shared" si="12"/>
        <v>0</v>
      </c>
      <c r="G64" s="87">
        <f t="shared" si="1"/>
        <v>0</v>
      </c>
      <c r="H64" s="87">
        <f t="shared" si="2"/>
        <v>0</v>
      </c>
      <c r="I64" s="87">
        <f t="shared" si="3"/>
        <v>0</v>
      </c>
      <c r="J64" s="87">
        <f t="shared" si="4"/>
        <v>0</v>
      </c>
      <c r="K64" s="120">
        <f t="shared" si="6"/>
        <v>0</v>
      </c>
      <c r="O64" s="116">
        <f>Amnt_Deposited!B59</f>
        <v>2045</v>
      </c>
      <c r="P64" s="119">
        <f>Amnt_Deposited!F59</f>
        <v>0</v>
      </c>
      <c r="Q64" s="319">
        <f>MCF!R63</f>
        <v>0.8</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Dry_Matter_Content!F52</f>
        <v>0.56999999999999995</v>
      </c>
      <c r="E65" s="319">
        <f>MCF!R64</f>
        <v>0.8</v>
      </c>
      <c r="F65" s="87">
        <f t="shared" si="12"/>
        <v>0</v>
      </c>
      <c r="G65" s="87">
        <f t="shared" si="1"/>
        <v>0</v>
      </c>
      <c r="H65" s="87">
        <f t="shared" si="2"/>
        <v>0</v>
      </c>
      <c r="I65" s="87">
        <f t="shared" si="3"/>
        <v>0</v>
      </c>
      <c r="J65" s="87">
        <f t="shared" si="4"/>
        <v>0</v>
      </c>
      <c r="K65" s="120">
        <f t="shared" si="6"/>
        <v>0</v>
      </c>
      <c r="O65" s="116">
        <f>Amnt_Deposited!B60</f>
        <v>2046</v>
      </c>
      <c r="P65" s="119">
        <f>Amnt_Deposited!F60</f>
        <v>0</v>
      </c>
      <c r="Q65" s="319">
        <f>MCF!R64</f>
        <v>0.8</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Dry_Matter_Content!F53</f>
        <v>0.56999999999999995</v>
      </c>
      <c r="E66" s="319">
        <f>MCF!R65</f>
        <v>0.8</v>
      </c>
      <c r="F66" s="87">
        <f t="shared" si="12"/>
        <v>0</v>
      </c>
      <c r="G66" s="87">
        <f t="shared" si="1"/>
        <v>0</v>
      </c>
      <c r="H66" s="87">
        <f t="shared" si="2"/>
        <v>0</v>
      </c>
      <c r="I66" s="87">
        <f t="shared" si="3"/>
        <v>0</v>
      </c>
      <c r="J66" s="87">
        <f t="shared" si="4"/>
        <v>0</v>
      </c>
      <c r="K66" s="120">
        <f t="shared" si="6"/>
        <v>0</v>
      </c>
      <c r="O66" s="116">
        <f>Amnt_Deposited!B61</f>
        <v>2047</v>
      </c>
      <c r="P66" s="119">
        <f>Amnt_Deposited!F61</f>
        <v>0</v>
      </c>
      <c r="Q66" s="319">
        <f>MCF!R65</f>
        <v>0.8</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Dry_Matter_Content!F54</f>
        <v>0.56999999999999995</v>
      </c>
      <c r="E67" s="319">
        <f>MCF!R66</f>
        <v>0.8</v>
      </c>
      <c r="F67" s="87">
        <f t="shared" si="12"/>
        <v>0</v>
      </c>
      <c r="G67" s="87">
        <f t="shared" si="1"/>
        <v>0</v>
      </c>
      <c r="H67" s="87">
        <f t="shared" si="2"/>
        <v>0</v>
      </c>
      <c r="I67" s="87">
        <f t="shared" si="3"/>
        <v>0</v>
      </c>
      <c r="J67" s="87">
        <f t="shared" si="4"/>
        <v>0</v>
      </c>
      <c r="K67" s="120">
        <f t="shared" si="6"/>
        <v>0</v>
      </c>
      <c r="O67" s="116">
        <f>Amnt_Deposited!B62</f>
        <v>2048</v>
      </c>
      <c r="P67" s="119">
        <f>Amnt_Deposited!F62</f>
        <v>0</v>
      </c>
      <c r="Q67" s="319">
        <f>MCF!R66</f>
        <v>0.8</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Dry_Matter_Content!F55</f>
        <v>0.56999999999999995</v>
      </c>
      <c r="E68" s="319">
        <f>MCF!R67</f>
        <v>0.8</v>
      </c>
      <c r="F68" s="87">
        <f t="shared" si="12"/>
        <v>0</v>
      </c>
      <c r="G68" s="87">
        <f t="shared" si="1"/>
        <v>0</v>
      </c>
      <c r="H68" s="87">
        <f t="shared" si="2"/>
        <v>0</v>
      </c>
      <c r="I68" s="87">
        <f t="shared" si="3"/>
        <v>0</v>
      </c>
      <c r="J68" s="87">
        <f t="shared" si="4"/>
        <v>0</v>
      </c>
      <c r="K68" s="120">
        <f t="shared" si="6"/>
        <v>0</v>
      </c>
      <c r="O68" s="116">
        <f>Amnt_Deposited!B63</f>
        <v>2049</v>
      </c>
      <c r="P68" s="119">
        <f>Amnt_Deposited!F63</f>
        <v>0</v>
      </c>
      <c r="Q68" s="319">
        <f>MCF!R67</f>
        <v>0.8</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Dry_Matter_Content!F56</f>
        <v>0.56999999999999995</v>
      </c>
      <c r="E69" s="319">
        <f>MCF!R68</f>
        <v>0.8</v>
      </c>
      <c r="F69" s="87">
        <f t="shared" si="12"/>
        <v>0</v>
      </c>
      <c r="G69" s="87">
        <f t="shared" si="1"/>
        <v>0</v>
      </c>
      <c r="H69" s="87">
        <f t="shared" si="2"/>
        <v>0</v>
      </c>
      <c r="I69" s="87">
        <f t="shared" si="3"/>
        <v>0</v>
      </c>
      <c r="J69" s="87">
        <f t="shared" si="4"/>
        <v>0</v>
      </c>
      <c r="K69" s="120">
        <f t="shared" si="6"/>
        <v>0</v>
      </c>
      <c r="O69" s="116">
        <f>Amnt_Deposited!B64</f>
        <v>2050</v>
      </c>
      <c r="P69" s="119">
        <f>Amnt_Deposited!F64</f>
        <v>0</v>
      </c>
      <c r="Q69" s="319">
        <f>MCF!R68</f>
        <v>0.8</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Dry_Matter_Content!F57</f>
        <v>0.56999999999999995</v>
      </c>
      <c r="E70" s="319">
        <f>MCF!R69</f>
        <v>0.8</v>
      </c>
      <c r="F70" s="87">
        <f t="shared" si="12"/>
        <v>0</v>
      </c>
      <c r="G70" s="87">
        <f t="shared" si="1"/>
        <v>0</v>
      </c>
      <c r="H70" s="87">
        <f t="shared" si="2"/>
        <v>0</v>
      </c>
      <c r="I70" s="87">
        <f t="shared" si="3"/>
        <v>0</v>
      </c>
      <c r="J70" s="87">
        <f t="shared" si="4"/>
        <v>0</v>
      </c>
      <c r="K70" s="120">
        <f t="shared" si="6"/>
        <v>0</v>
      </c>
      <c r="O70" s="116">
        <f>Amnt_Deposited!B65</f>
        <v>2051</v>
      </c>
      <c r="P70" s="119">
        <f>Amnt_Deposited!F65</f>
        <v>0</v>
      </c>
      <c r="Q70" s="319">
        <f>MCF!R69</f>
        <v>0.8</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Dry_Matter_Content!F58</f>
        <v>0.56999999999999995</v>
      </c>
      <c r="E71" s="319">
        <f>MCF!R70</f>
        <v>0.8</v>
      </c>
      <c r="F71" s="87">
        <f t="shared" si="12"/>
        <v>0</v>
      </c>
      <c r="G71" s="87">
        <f t="shared" si="1"/>
        <v>0</v>
      </c>
      <c r="H71" s="87">
        <f t="shared" si="2"/>
        <v>0</v>
      </c>
      <c r="I71" s="87">
        <f t="shared" si="3"/>
        <v>0</v>
      </c>
      <c r="J71" s="87">
        <f t="shared" si="4"/>
        <v>0</v>
      </c>
      <c r="K71" s="120">
        <f t="shared" si="6"/>
        <v>0</v>
      </c>
      <c r="O71" s="116">
        <f>Amnt_Deposited!B66</f>
        <v>2052</v>
      </c>
      <c r="P71" s="119">
        <f>Amnt_Deposited!F66</f>
        <v>0</v>
      </c>
      <c r="Q71" s="319">
        <f>MCF!R70</f>
        <v>0.8</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Dry_Matter_Content!F59</f>
        <v>0.56999999999999995</v>
      </c>
      <c r="E72" s="319">
        <f>MCF!R71</f>
        <v>0.8</v>
      </c>
      <c r="F72" s="87">
        <f t="shared" si="12"/>
        <v>0</v>
      </c>
      <c r="G72" s="87">
        <f t="shared" si="1"/>
        <v>0</v>
      </c>
      <c r="H72" s="87">
        <f t="shared" si="2"/>
        <v>0</v>
      </c>
      <c r="I72" s="87">
        <f t="shared" si="3"/>
        <v>0</v>
      </c>
      <c r="J72" s="87">
        <f t="shared" si="4"/>
        <v>0</v>
      </c>
      <c r="K72" s="120">
        <f t="shared" si="6"/>
        <v>0</v>
      </c>
      <c r="O72" s="116">
        <f>Amnt_Deposited!B67</f>
        <v>2053</v>
      </c>
      <c r="P72" s="119">
        <f>Amnt_Deposited!F67</f>
        <v>0</v>
      </c>
      <c r="Q72" s="319">
        <f>MCF!R71</f>
        <v>0.8</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Dry_Matter_Content!F60</f>
        <v>0.56999999999999995</v>
      </c>
      <c r="E73" s="319">
        <f>MCF!R72</f>
        <v>0.8</v>
      </c>
      <c r="F73" s="87">
        <f t="shared" si="12"/>
        <v>0</v>
      </c>
      <c r="G73" s="87">
        <f t="shared" si="1"/>
        <v>0</v>
      </c>
      <c r="H73" s="87">
        <f t="shared" si="2"/>
        <v>0</v>
      </c>
      <c r="I73" s="87">
        <f t="shared" si="3"/>
        <v>0</v>
      </c>
      <c r="J73" s="87">
        <f t="shared" si="4"/>
        <v>0</v>
      </c>
      <c r="K73" s="120">
        <f t="shared" si="6"/>
        <v>0</v>
      </c>
      <c r="O73" s="116">
        <f>Amnt_Deposited!B68</f>
        <v>2054</v>
      </c>
      <c r="P73" s="119">
        <f>Amnt_Deposited!F68</f>
        <v>0</v>
      </c>
      <c r="Q73" s="319">
        <f>MCF!R72</f>
        <v>0.8</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Dry_Matter_Content!F61</f>
        <v>0.56999999999999995</v>
      </c>
      <c r="E74" s="319">
        <f>MCF!R73</f>
        <v>0.8</v>
      </c>
      <c r="F74" s="87">
        <f t="shared" si="12"/>
        <v>0</v>
      </c>
      <c r="G74" s="87">
        <f t="shared" si="1"/>
        <v>0</v>
      </c>
      <c r="H74" s="87">
        <f t="shared" si="2"/>
        <v>0</v>
      </c>
      <c r="I74" s="87">
        <f t="shared" si="3"/>
        <v>0</v>
      </c>
      <c r="J74" s="87">
        <f t="shared" si="4"/>
        <v>0</v>
      </c>
      <c r="K74" s="120">
        <f t="shared" si="6"/>
        <v>0</v>
      </c>
      <c r="O74" s="116">
        <f>Amnt_Deposited!B69</f>
        <v>2055</v>
      </c>
      <c r="P74" s="119">
        <f>Amnt_Deposited!F69</f>
        <v>0</v>
      </c>
      <c r="Q74" s="319">
        <f>MCF!R73</f>
        <v>0.8</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Dry_Matter_Content!F62</f>
        <v>0.56999999999999995</v>
      </c>
      <c r="E75" s="319">
        <f>MCF!R74</f>
        <v>0.8</v>
      </c>
      <c r="F75" s="87">
        <f t="shared" si="12"/>
        <v>0</v>
      </c>
      <c r="G75" s="87">
        <f t="shared" si="1"/>
        <v>0</v>
      </c>
      <c r="H75" s="87">
        <f t="shared" si="2"/>
        <v>0</v>
      </c>
      <c r="I75" s="87">
        <f t="shared" si="3"/>
        <v>0</v>
      </c>
      <c r="J75" s="87">
        <f t="shared" si="4"/>
        <v>0</v>
      </c>
      <c r="K75" s="120">
        <f t="shared" si="6"/>
        <v>0</v>
      </c>
      <c r="O75" s="116">
        <f>Amnt_Deposited!B70</f>
        <v>2056</v>
      </c>
      <c r="P75" s="119">
        <f>Amnt_Deposited!F70</f>
        <v>0</v>
      </c>
      <c r="Q75" s="319">
        <f>MCF!R74</f>
        <v>0.8</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Dry_Matter_Content!F63</f>
        <v>0.56999999999999995</v>
      </c>
      <c r="E76" s="319">
        <f>MCF!R75</f>
        <v>0.8</v>
      </c>
      <c r="F76" s="87">
        <f t="shared" si="12"/>
        <v>0</v>
      </c>
      <c r="G76" s="87">
        <f t="shared" si="1"/>
        <v>0</v>
      </c>
      <c r="H76" s="87">
        <f t="shared" si="2"/>
        <v>0</v>
      </c>
      <c r="I76" s="87">
        <f t="shared" si="3"/>
        <v>0</v>
      </c>
      <c r="J76" s="87">
        <f t="shared" si="4"/>
        <v>0</v>
      </c>
      <c r="K76" s="120">
        <f t="shared" si="6"/>
        <v>0</v>
      </c>
      <c r="O76" s="116">
        <f>Amnt_Deposited!B71</f>
        <v>2057</v>
      </c>
      <c r="P76" s="119">
        <f>Amnt_Deposited!F71</f>
        <v>0</v>
      </c>
      <c r="Q76" s="319">
        <f>MCF!R75</f>
        <v>0.8</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Dry_Matter_Content!F64</f>
        <v>0.56999999999999995</v>
      </c>
      <c r="E77" s="319">
        <f>MCF!R76</f>
        <v>0.8</v>
      </c>
      <c r="F77" s="87">
        <f t="shared" si="12"/>
        <v>0</v>
      </c>
      <c r="G77" s="87">
        <f t="shared" si="1"/>
        <v>0</v>
      </c>
      <c r="H77" s="87">
        <f t="shared" si="2"/>
        <v>0</v>
      </c>
      <c r="I77" s="87">
        <f t="shared" si="3"/>
        <v>0</v>
      </c>
      <c r="J77" s="87">
        <f t="shared" si="4"/>
        <v>0</v>
      </c>
      <c r="K77" s="120">
        <f t="shared" si="6"/>
        <v>0</v>
      </c>
      <c r="O77" s="116">
        <f>Amnt_Deposited!B72</f>
        <v>2058</v>
      </c>
      <c r="P77" s="119">
        <f>Amnt_Deposited!F72</f>
        <v>0</v>
      </c>
      <c r="Q77" s="319">
        <f>MCF!R76</f>
        <v>0.8</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Dry_Matter_Content!F65</f>
        <v>0.56999999999999995</v>
      </c>
      <c r="E78" s="319">
        <f>MCF!R77</f>
        <v>0.8</v>
      </c>
      <c r="F78" s="87">
        <f t="shared" si="12"/>
        <v>0</v>
      </c>
      <c r="G78" s="87">
        <f t="shared" si="1"/>
        <v>0</v>
      </c>
      <c r="H78" s="87">
        <f t="shared" si="2"/>
        <v>0</v>
      </c>
      <c r="I78" s="87">
        <f t="shared" si="3"/>
        <v>0</v>
      </c>
      <c r="J78" s="87">
        <f t="shared" si="4"/>
        <v>0</v>
      </c>
      <c r="K78" s="120">
        <f t="shared" si="6"/>
        <v>0</v>
      </c>
      <c r="O78" s="116">
        <f>Amnt_Deposited!B73</f>
        <v>2059</v>
      </c>
      <c r="P78" s="119">
        <f>Amnt_Deposited!F73</f>
        <v>0</v>
      </c>
      <c r="Q78" s="319">
        <f>MCF!R77</f>
        <v>0.8</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Dry_Matter_Content!F66</f>
        <v>0.56999999999999995</v>
      </c>
      <c r="E79" s="319">
        <f>MCF!R78</f>
        <v>0.8</v>
      </c>
      <c r="F79" s="87">
        <f t="shared" si="12"/>
        <v>0</v>
      </c>
      <c r="G79" s="87">
        <f t="shared" si="1"/>
        <v>0</v>
      </c>
      <c r="H79" s="87">
        <f t="shared" si="2"/>
        <v>0</v>
      </c>
      <c r="I79" s="87">
        <f t="shared" si="3"/>
        <v>0</v>
      </c>
      <c r="J79" s="87">
        <f t="shared" si="4"/>
        <v>0</v>
      </c>
      <c r="K79" s="120">
        <f t="shared" si="6"/>
        <v>0</v>
      </c>
      <c r="O79" s="116">
        <f>Amnt_Deposited!B74</f>
        <v>2060</v>
      </c>
      <c r="P79" s="119">
        <f>Amnt_Deposited!F74</f>
        <v>0</v>
      </c>
      <c r="Q79" s="319">
        <f>MCF!R78</f>
        <v>0.8</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Dry_Matter_Content!F67</f>
        <v>0.56999999999999995</v>
      </c>
      <c r="E80" s="319">
        <f>MCF!R79</f>
        <v>0.8</v>
      </c>
      <c r="F80" s="87">
        <f t="shared" si="12"/>
        <v>0</v>
      </c>
      <c r="G80" s="87">
        <f t="shared" si="1"/>
        <v>0</v>
      </c>
      <c r="H80" s="87">
        <f t="shared" si="2"/>
        <v>0</v>
      </c>
      <c r="I80" s="87">
        <f t="shared" si="3"/>
        <v>0</v>
      </c>
      <c r="J80" s="87">
        <f t="shared" si="4"/>
        <v>0</v>
      </c>
      <c r="K80" s="120">
        <f t="shared" si="6"/>
        <v>0</v>
      </c>
      <c r="O80" s="116">
        <f>Amnt_Deposited!B75</f>
        <v>2061</v>
      </c>
      <c r="P80" s="119">
        <f>Amnt_Deposited!F75</f>
        <v>0</v>
      </c>
      <c r="Q80" s="319">
        <f>MCF!R79</f>
        <v>0.8</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Dry_Matter_Content!F68</f>
        <v>0.56999999999999995</v>
      </c>
      <c r="E81" s="319">
        <f>MCF!R80</f>
        <v>0.8</v>
      </c>
      <c r="F81" s="87">
        <f t="shared" si="12"/>
        <v>0</v>
      </c>
      <c r="G81" s="87">
        <f t="shared" si="1"/>
        <v>0</v>
      </c>
      <c r="H81" s="87">
        <f t="shared" si="2"/>
        <v>0</v>
      </c>
      <c r="I81" s="87">
        <f t="shared" si="3"/>
        <v>0</v>
      </c>
      <c r="J81" s="87">
        <f t="shared" si="4"/>
        <v>0</v>
      </c>
      <c r="K81" s="120">
        <f t="shared" si="6"/>
        <v>0</v>
      </c>
      <c r="O81" s="116">
        <f>Amnt_Deposited!B76</f>
        <v>2062</v>
      </c>
      <c r="P81" s="119">
        <f>Amnt_Deposited!F76</f>
        <v>0</v>
      </c>
      <c r="Q81" s="319">
        <f>MCF!R80</f>
        <v>0.8</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Dry_Matter_Content!F69</f>
        <v>0.56999999999999995</v>
      </c>
      <c r="E82" s="319">
        <f>MCF!R81</f>
        <v>0.8</v>
      </c>
      <c r="F82" s="87">
        <f t="shared" si="12"/>
        <v>0</v>
      </c>
      <c r="G82" s="87">
        <f t="shared" si="1"/>
        <v>0</v>
      </c>
      <c r="H82" s="87">
        <f t="shared" si="2"/>
        <v>0</v>
      </c>
      <c r="I82" s="87">
        <f t="shared" si="3"/>
        <v>0</v>
      </c>
      <c r="J82" s="87">
        <f t="shared" si="4"/>
        <v>0</v>
      </c>
      <c r="K82" s="120">
        <f t="shared" si="6"/>
        <v>0</v>
      </c>
      <c r="O82" s="116">
        <f>Amnt_Deposited!B77</f>
        <v>2063</v>
      </c>
      <c r="P82" s="119">
        <f>Amnt_Deposited!F77</f>
        <v>0</v>
      </c>
      <c r="Q82" s="319">
        <f>MCF!R81</f>
        <v>0.8</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Dry_Matter_Content!F70</f>
        <v>0.56999999999999995</v>
      </c>
      <c r="E83" s="319">
        <f>MCF!R82</f>
        <v>0.8</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Amnt_Deposited!F78</f>
        <v>0</v>
      </c>
      <c r="Q83" s="319">
        <f>MCF!R82</f>
        <v>0.8</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Dry_Matter_Content!F71</f>
        <v>0.56999999999999995</v>
      </c>
      <c r="E84" s="319">
        <f>MCF!R83</f>
        <v>0.8</v>
      </c>
      <c r="F84" s="87">
        <f t="shared" si="14"/>
        <v>0</v>
      </c>
      <c r="G84" s="87">
        <f t="shared" si="15"/>
        <v>0</v>
      </c>
      <c r="H84" s="87">
        <f t="shared" si="16"/>
        <v>0</v>
      </c>
      <c r="I84" s="87">
        <f t="shared" si="17"/>
        <v>0</v>
      </c>
      <c r="J84" s="87">
        <f t="shared" si="18"/>
        <v>0</v>
      </c>
      <c r="K84" s="120">
        <f t="shared" si="6"/>
        <v>0</v>
      </c>
      <c r="O84" s="116">
        <f>Amnt_Deposited!B79</f>
        <v>2065</v>
      </c>
      <c r="P84" s="119">
        <f>Amnt_Deposited!F79</f>
        <v>0</v>
      </c>
      <c r="Q84" s="319">
        <f>MCF!R83</f>
        <v>0.8</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Dry_Matter_Content!F72</f>
        <v>0.56999999999999995</v>
      </c>
      <c r="E85" s="319">
        <f>MCF!R84</f>
        <v>0.8</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Amnt_Deposited!F80</f>
        <v>0</v>
      </c>
      <c r="Q85" s="319">
        <f>MCF!R84</f>
        <v>0.8</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Amnt_Deposited!F81</f>
        <v>0</v>
      </c>
      <c r="D86" s="453">
        <f>Dry_Matter_Content!F73</f>
        <v>0.56999999999999995</v>
      </c>
      <c r="E86" s="319">
        <f>MCF!R85</f>
        <v>0.8</v>
      </c>
      <c r="F86" s="87">
        <f t="shared" si="14"/>
        <v>0</v>
      </c>
      <c r="G86" s="87">
        <f t="shared" si="15"/>
        <v>0</v>
      </c>
      <c r="H86" s="87">
        <f t="shared" si="16"/>
        <v>0</v>
      </c>
      <c r="I86" s="87">
        <f t="shared" si="17"/>
        <v>0</v>
      </c>
      <c r="J86" s="87">
        <f t="shared" si="18"/>
        <v>0</v>
      </c>
      <c r="K86" s="120">
        <f t="shared" si="20"/>
        <v>0</v>
      </c>
      <c r="O86" s="116">
        <f>Amnt_Deposited!B81</f>
        <v>2067</v>
      </c>
      <c r="P86" s="119">
        <f>Amnt_Deposited!F81</f>
        <v>0</v>
      </c>
      <c r="Q86" s="319">
        <f>MCF!R85</f>
        <v>0.8</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Amnt_Deposited!F82</f>
        <v>0</v>
      </c>
      <c r="D87" s="453">
        <f>Dry_Matter_Content!F74</f>
        <v>0.56999999999999995</v>
      </c>
      <c r="E87" s="319">
        <f>MCF!R86</f>
        <v>0.8</v>
      </c>
      <c r="F87" s="87">
        <f t="shared" si="14"/>
        <v>0</v>
      </c>
      <c r="G87" s="87">
        <f t="shared" si="15"/>
        <v>0</v>
      </c>
      <c r="H87" s="87">
        <f t="shared" si="16"/>
        <v>0</v>
      </c>
      <c r="I87" s="87">
        <f t="shared" si="17"/>
        <v>0</v>
      </c>
      <c r="J87" s="87">
        <f t="shared" si="18"/>
        <v>0</v>
      </c>
      <c r="K87" s="120">
        <f t="shared" si="20"/>
        <v>0</v>
      </c>
      <c r="O87" s="116">
        <f>Amnt_Deposited!B82</f>
        <v>2068</v>
      </c>
      <c r="P87" s="119">
        <f>Amnt_Deposited!F82</f>
        <v>0</v>
      </c>
      <c r="Q87" s="319">
        <f>MCF!R86</f>
        <v>0.8</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Amnt_Deposited!F83</f>
        <v>0</v>
      </c>
      <c r="D88" s="453">
        <f>Dry_Matter_Content!F75</f>
        <v>0.56999999999999995</v>
      </c>
      <c r="E88" s="319">
        <f>MCF!R87</f>
        <v>0.8</v>
      </c>
      <c r="F88" s="87">
        <f t="shared" si="14"/>
        <v>0</v>
      </c>
      <c r="G88" s="87">
        <f t="shared" si="15"/>
        <v>0</v>
      </c>
      <c r="H88" s="87">
        <f t="shared" si="16"/>
        <v>0</v>
      </c>
      <c r="I88" s="87">
        <f t="shared" si="17"/>
        <v>0</v>
      </c>
      <c r="J88" s="87">
        <f t="shared" si="18"/>
        <v>0</v>
      </c>
      <c r="K88" s="120">
        <f t="shared" si="20"/>
        <v>0</v>
      </c>
      <c r="O88" s="116">
        <f>Amnt_Deposited!B83</f>
        <v>2069</v>
      </c>
      <c r="P88" s="119">
        <f>Amnt_Deposited!F83</f>
        <v>0</v>
      </c>
      <c r="Q88" s="319">
        <f>MCF!R87</f>
        <v>0.8</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Amnt_Deposited!F84</f>
        <v>0</v>
      </c>
      <c r="D89" s="453">
        <f>Dry_Matter_Content!F76</f>
        <v>0.56999999999999995</v>
      </c>
      <c r="E89" s="319">
        <f>MCF!R88</f>
        <v>0.8</v>
      </c>
      <c r="F89" s="87">
        <f t="shared" si="14"/>
        <v>0</v>
      </c>
      <c r="G89" s="87">
        <f t="shared" si="15"/>
        <v>0</v>
      </c>
      <c r="H89" s="87">
        <f t="shared" si="16"/>
        <v>0</v>
      </c>
      <c r="I89" s="87">
        <f t="shared" si="17"/>
        <v>0</v>
      </c>
      <c r="J89" s="87">
        <f t="shared" si="18"/>
        <v>0</v>
      </c>
      <c r="K89" s="120">
        <f t="shared" si="20"/>
        <v>0</v>
      </c>
      <c r="O89" s="116">
        <f>Amnt_Deposited!B84</f>
        <v>2070</v>
      </c>
      <c r="P89" s="119">
        <f>Amnt_Deposited!F84</f>
        <v>0</v>
      </c>
      <c r="Q89" s="319">
        <f>MCF!R88</f>
        <v>0.8</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Amnt_Deposited!F85</f>
        <v>0</v>
      </c>
      <c r="D90" s="453">
        <f>Dry_Matter_Content!F77</f>
        <v>0.56999999999999995</v>
      </c>
      <c r="E90" s="319">
        <f>MCF!R89</f>
        <v>0.8</v>
      </c>
      <c r="F90" s="87">
        <f t="shared" si="14"/>
        <v>0</v>
      </c>
      <c r="G90" s="87">
        <f t="shared" si="15"/>
        <v>0</v>
      </c>
      <c r="H90" s="87">
        <f t="shared" si="16"/>
        <v>0</v>
      </c>
      <c r="I90" s="87">
        <f t="shared" si="17"/>
        <v>0</v>
      </c>
      <c r="J90" s="87">
        <f t="shared" si="18"/>
        <v>0</v>
      </c>
      <c r="K90" s="120">
        <f t="shared" si="20"/>
        <v>0</v>
      </c>
      <c r="O90" s="116">
        <f>Amnt_Deposited!B85</f>
        <v>2071</v>
      </c>
      <c r="P90" s="119">
        <f>Amnt_Deposited!F85</f>
        <v>0</v>
      </c>
      <c r="Q90" s="319">
        <f>MCF!R89</f>
        <v>0.8</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Amnt_Deposited!F86</f>
        <v>0</v>
      </c>
      <c r="D91" s="453">
        <f>Dry_Matter_Content!F78</f>
        <v>0.56999999999999995</v>
      </c>
      <c r="E91" s="319">
        <f>MCF!R90</f>
        <v>0.8</v>
      </c>
      <c r="F91" s="87">
        <f t="shared" si="14"/>
        <v>0</v>
      </c>
      <c r="G91" s="87">
        <f t="shared" si="15"/>
        <v>0</v>
      </c>
      <c r="H91" s="87">
        <f t="shared" si="16"/>
        <v>0</v>
      </c>
      <c r="I91" s="87">
        <f t="shared" si="17"/>
        <v>0</v>
      </c>
      <c r="J91" s="87">
        <f t="shared" si="18"/>
        <v>0</v>
      </c>
      <c r="K91" s="120">
        <f t="shared" si="20"/>
        <v>0</v>
      </c>
      <c r="O91" s="116">
        <f>Amnt_Deposited!B86</f>
        <v>2072</v>
      </c>
      <c r="P91" s="119">
        <f>Amnt_Deposited!F86</f>
        <v>0</v>
      </c>
      <c r="Q91" s="319">
        <f>MCF!R90</f>
        <v>0.8</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Amnt_Deposited!F87</f>
        <v>0</v>
      </c>
      <c r="D92" s="453">
        <f>Dry_Matter_Content!F79</f>
        <v>0.56999999999999995</v>
      </c>
      <c r="E92" s="319">
        <f>MCF!R91</f>
        <v>0.8</v>
      </c>
      <c r="F92" s="87">
        <f t="shared" si="14"/>
        <v>0</v>
      </c>
      <c r="G92" s="87">
        <f t="shared" si="15"/>
        <v>0</v>
      </c>
      <c r="H92" s="87">
        <f t="shared" si="16"/>
        <v>0</v>
      </c>
      <c r="I92" s="87">
        <f t="shared" si="17"/>
        <v>0</v>
      </c>
      <c r="J92" s="87">
        <f t="shared" si="18"/>
        <v>0</v>
      </c>
      <c r="K92" s="120">
        <f t="shared" si="20"/>
        <v>0</v>
      </c>
      <c r="O92" s="116">
        <f>Amnt_Deposited!B87</f>
        <v>2073</v>
      </c>
      <c r="P92" s="119">
        <f>Amnt_Deposited!F87</f>
        <v>0</v>
      </c>
      <c r="Q92" s="319">
        <f>MCF!R91</f>
        <v>0.8</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Amnt_Deposited!F88</f>
        <v>0</v>
      </c>
      <c r="D93" s="453">
        <f>Dry_Matter_Content!F80</f>
        <v>0.56999999999999995</v>
      </c>
      <c r="E93" s="319">
        <f>MCF!R92</f>
        <v>0.8</v>
      </c>
      <c r="F93" s="87">
        <f t="shared" si="14"/>
        <v>0</v>
      </c>
      <c r="G93" s="87">
        <f t="shared" si="15"/>
        <v>0</v>
      </c>
      <c r="H93" s="87">
        <f t="shared" si="16"/>
        <v>0</v>
      </c>
      <c r="I93" s="87">
        <f t="shared" si="17"/>
        <v>0</v>
      </c>
      <c r="J93" s="87">
        <f t="shared" si="18"/>
        <v>0</v>
      </c>
      <c r="K93" s="120">
        <f t="shared" si="20"/>
        <v>0</v>
      </c>
      <c r="O93" s="116">
        <f>Amnt_Deposited!B88</f>
        <v>2074</v>
      </c>
      <c r="P93" s="119">
        <f>Amnt_Deposited!F88</f>
        <v>0</v>
      </c>
      <c r="Q93" s="319">
        <f>MCF!R92</f>
        <v>0.8</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Amnt_Deposited!F89</f>
        <v>0</v>
      </c>
      <c r="D94" s="453">
        <f>Dry_Matter_Content!F81</f>
        <v>0.56999999999999995</v>
      </c>
      <c r="E94" s="319">
        <f>MCF!R93</f>
        <v>0.8</v>
      </c>
      <c r="F94" s="87">
        <f t="shared" si="14"/>
        <v>0</v>
      </c>
      <c r="G94" s="87">
        <f t="shared" si="15"/>
        <v>0</v>
      </c>
      <c r="H94" s="87">
        <f t="shared" si="16"/>
        <v>0</v>
      </c>
      <c r="I94" s="87">
        <f t="shared" si="17"/>
        <v>0</v>
      </c>
      <c r="J94" s="87">
        <f t="shared" si="18"/>
        <v>0</v>
      </c>
      <c r="K94" s="120">
        <f t="shared" si="20"/>
        <v>0</v>
      </c>
      <c r="O94" s="116">
        <f>Amnt_Deposited!B89</f>
        <v>2075</v>
      </c>
      <c r="P94" s="119">
        <f>Amnt_Deposited!F89</f>
        <v>0</v>
      </c>
      <c r="Q94" s="319">
        <f>MCF!R93</f>
        <v>0.8</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Amnt_Deposited!F90</f>
        <v>0</v>
      </c>
      <c r="D95" s="453">
        <f>Dry_Matter_Content!F82</f>
        <v>0.56999999999999995</v>
      </c>
      <c r="E95" s="319">
        <f>MCF!R94</f>
        <v>0.8</v>
      </c>
      <c r="F95" s="87">
        <f t="shared" si="14"/>
        <v>0</v>
      </c>
      <c r="G95" s="87">
        <f t="shared" si="15"/>
        <v>0</v>
      </c>
      <c r="H95" s="87">
        <f t="shared" si="16"/>
        <v>0</v>
      </c>
      <c r="I95" s="87">
        <f t="shared" si="17"/>
        <v>0</v>
      </c>
      <c r="J95" s="87">
        <f t="shared" si="18"/>
        <v>0</v>
      </c>
      <c r="K95" s="120">
        <f t="shared" si="20"/>
        <v>0</v>
      </c>
      <c r="O95" s="116">
        <f>Amnt_Deposited!B90</f>
        <v>2076</v>
      </c>
      <c r="P95" s="119">
        <f>Amnt_Deposited!F90</f>
        <v>0</v>
      </c>
      <c r="Q95" s="319">
        <f>MCF!R94</f>
        <v>0.8</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Amnt_Deposited!F91</f>
        <v>0</v>
      </c>
      <c r="D96" s="453">
        <f>Dry_Matter_Content!F83</f>
        <v>0.56999999999999995</v>
      </c>
      <c r="E96" s="319">
        <f>MCF!R95</f>
        <v>0.8</v>
      </c>
      <c r="F96" s="87">
        <f t="shared" si="14"/>
        <v>0</v>
      </c>
      <c r="G96" s="87">
        <f t="shared" si="15"/>
        <v>0</v>
      </c>
      <c r="H96" s="87">
        <f t="shared" si="16"/>
        <v>0</v>
      </c>
      <c r="I96" s="87">
        <f t="shared" si="17"/>
        <v>0</v>
      </c>
      <c r="J96" s="87">
        <f t="shared" si="18"/>
        <v>0</v>
      </c>
      <c r="K96" s="120">
        <f t="shared" si="20"/>
        <v>0</v>
      </c>
      <c r="O96" s="116">
        <f>Amnt_Deposited!B91</f>
        <v>2077</v>
      </c>
      <c r="P96" s="119">
        <f>Amnt_Deposited!F91</f>
        <v>0</v>
      </c>
      <c r="Q96" s="319">
        <f>MCF!R95</f>
        <v>0.8</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Amnt_Deposited!F92</f>
        <v>0</v>
      </c>
      <c r="D97" s="453">
        <f>Dry_Matter_Content!F84</f>
        <v>0.56999999999999995</v>
      </c>
      <c r="E97" s="319">
        <f>MCF!R96</f>
        <v>0.8</v>
      </c>
      <c r="F97" s="87">
        <f t="shared" si="14"/>
        <v>0</v>
      </c>
      <c r="G97" s="87">
        <f t="shared" si="15"/>
        <v>0</v>
      </c>
      <c r="H97" s="87">
        <f t="shared" si="16"/>
        <v>0</v>
      </c>
      <c r="I97" s="87">
        <f t="shared" si="17"/>
        <v>0</v>
      </c>
      <c r="J97" s="87">
        <f t="shared" si="18"/>
        <v>0</v>
      </c>
      <c r="K97" s="120">
        <f t="shared" si="20"/>
        <v>0</v>
      </c>
      <c r="O97" s="116">
        <f>Amnt_Deposited!B92</f>
        <v>2078</v>
      </c>
      <c r="P97" s="119">
        <f>Amnt_Deposited!F92</f>
        <v>0</v>
      </c>
      <c r="Q97" s="319">
        <f>MCF!R96</f>
        <v>0.8</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Amnt_Deposited!F93</f>
        <v>0</v>
      </c>
      <c r="D98" s="453">
        <f>Dry_Matter_Content!F85</f>
        <v>0.56999999999999995</v>
      </c>
      <c r="E98" s="319">
        <f>MCF!R97</f>
        <v>0.8</v>
      </c>
      <c r="F98" s="87">
        <f t="shared" si="14"/>
        <v>0</v>
      </c>
      <c r="G98" s="87">
        <f t="shared" si="15"/>
        <v>0</v>
      </c>
      <c r="H98" s="87">
        <f t="shared" si="16"/>
        <v>0</v>
      </c>
      <c r="I98" s="87">
        <f t="shared" si="17"/>
        <v>0</v>
      </c>
      <c r="J98" s="87">
        <f t="shared" si="18"/>
        <v>0</v>
      </c>
      <c r="K98" s="120">
        <f t="shared" si="20"/>
        <v>0</v>
      </c>
      <c r="O98" s="116">
        <f>Amnt_Deposited!B93</f>
        <v>2079</v>
      </c>
      <c r="P98" s="119">
        <f>Amnt_Deposited!F93</f>
        <v>0</v>
      </c>
      <c r="Q98" s="319">
        <f>MCF!R97</f>
        <v>0.8</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Amnt_Deposited!F94</f>
        <v>0</v>
      </c>
      <c r="D99" s="454">
        <f>Dry_Matter_Content!F86</f>
        <v>0.56999999999999995</v>
      </c>
      <c r="E99" s="320">
        <f>MCF!R98</f>
        <v>0.8</v>
      </c>
      <c r="F99" s="88">
        <f t="shared" si="14"/>
        <v>0</v>
      </c>
      <c r="G99" s="88">
        <f t="shared" si="15"/>
        <v>0</v>
      </c>
      <c r="H99" s="88">
        <f t="shared" si="16"/>
        <v>0</v>
      </c>
      <c r="I99" s="88">
        <f t="shared" si="17"/>
        <v>0</v>
      </c>
      <c r="J99" s="88">
        <f t="shared" si="18"/>
        <v>0</v>
      </c>
      <c r="K99" s="122">
        <f t="shared" si="20"/>
        <v>0</v>
      </c>
      <c r="O99" s="117">
        <f>Amnt_Deposited!B94</f>
        <v>2080</v>
      </c>
      <c r="P99" s="121">
        <f>Amnt_Deposited!F94</f>
        <v>0</v>
      </c>
      <c r="Q99" s="320">
        <f>MCF!R98</f>
        <v>0.8</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311</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450">
        <f>Parameters!O20</f>
        <v>0.5</v>
      </c>
      <c r="O6" s="257"/>
      <c r="P6" s="258"/>
      <c r="Q6" s="249"/>
      <c r="R6" s="128" t="s">
        <v>9</v>
      </c>
      <c r="S6" s="129"/>
      <c r="T6" s="129"/>
      <c r="U6" s="133"/>
      <c r="V6" s="140" t="s">
        <v>9</v>
      </c>
      <c r="W6" s="293">
        <f>Parameters!R20</f>
        <v>0.43</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Parameters!O39</f>
        <v>3.5000000000000003E-2</v>
      </c>
      <c r="O8" s="67"/>
      <c r="P8" s="67"/>
      <c r="Q8" s="249"/>
      <c r="R8" s="128" t="s">
        <v>192</v>
      </c>
      <c r="S8" s="129"/>
      <c r="T8" s="129"/>
      <c r="U8" s="133"/>
      <c r="V8" s="140" t="s">
        <v>188</v>
      </c>
      <c r="W8" s="134">
        <f>Parameters!O39</f>
        <v>3.5000000000000003E-2</v>
      </c>
    </row>
    <row r="9" spans="1:23" ht="15.75">
      <c r="F9" s="279" t="s">
        <v>190</v>
      </c>
      <c r="G9" s="280"/>
      <c r="H9" s="280"/>
      <c r="I9" s="281"/>
      <c r="J9" s="282" t="s">
        <v>189</v>
      </c>
      <c r="K9" s="288">
        <f>LN(2)/$K$8</f>
        <v>19.804205158855577</v>
      </c>
      <c r="O9" s="67"/>
      <c r="P9" s="67"/>
      <c r="Q9" s="249"/>
      <c r="R9" s="279" t="s">
        <v>190</v>
      </c>
      <c r="S9" s="280"/>
      <c r="T9" s="280"/>
      <c r="U9" s="281"/>
      <c r="V9" s="282" t="s">
        <v>189</v>
      </c>
      <c r="W9" s="288">
        <f>LN(2)/$W$8</f>
        <v>19.804205158855577</v>
      </c>
    </row>
    <row r="10" spans="1:23">
      <c r="F10" s="130" t="s">
        <v>84</v>
      </c>
      <c r="G10" s="131"/>
      <c r="H10" s="131"/>
      <c r="I10" s="132"/>
      <c r="J10" s="141" t="s">
        <v>148</v>
      </c>
      <c r="K10" s="69">
        <f>EXP(-$K$8)</f>
        <v>0.96560541625756646</v>
      </c>
      <c r="O10" s="67"/>
      <c r="P10" s="67"/>
      <c r="Q10" s="249"/>
      <c r="R10" s="130" t="s">
        <v>84</v>
      </c>
      <c r="S10" s="131"/>
      <c r="T10" s="131"/>
      <c r="U10" s="132"/>
      <c r="V10" s="141" t="s">
        <v>148</v>
      </c>
      <c r="W10" s="69">
        <f>EXP(-$W$8)</f>
        <v>0.96560541625756646</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Dry_Matter_Content!G6</f>
        <v>0.56999999999999995</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Amnt_Deposited!G14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Dry_Matter_Content!G7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Amnt_Deposited!G15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Dry_Matter_Content!G8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Amnt_Deposited!G16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Dry_Matter_Content!G9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Amnt_Deposited!G17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Dry_Matter_Content!G10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Amnt_Deposited!G18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Dry_Matter_Content!G11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Amnt_Deposited!G19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Dry_Matter_Content!G12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Amnt_Deposited!G20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Dry_Matter_Content!G13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Amnt_Deposited!G21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Dry_Matter_Content!G14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Amnt_Deposited!G22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Dry_Matter_Content!G15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Amnt_Deposited!G23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Dry_Matter_Content!G16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Amnt_Deposited!G24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Dry_Matter_Content!G17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Amnt_Deposited!G25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Dry_Matter_Content!G18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Amnt_Deposited!G26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Dry_Matter_Content!G19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Amnt_Deposited!G27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Dry_Matter_Content!G20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Amnt_Deposited!G28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Dry_Matter_Content!G21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Amnt_Deposited!G29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Dry_Matter_Content!G22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Amnt_Deposited!G30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Dry_Matter_Content!G23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Amnt_Deposited!G31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Dry_Matter_Content!G24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Amnt_Deposited!G32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Dry_Matter_Content!G25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Amnt_Deposited!G33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Dry_Matter_Content!G26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Amnt_Deposited!G34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Dry_Matter_Content!G27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Amnt_Deposited!G35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Dry_Matter_Content!G28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Amnt_Deposited!G36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Dry_Matter_Content!G29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Amnt_Deposited!G37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Dry_Matter_Content!G30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Amnt_Deposited!G38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Dry_Matter_Content!G31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Amnt_Deposited!G39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Dry_Matter_Content!G32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Amnt_Deposited!G40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Dry_Matter_Content!G33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Amnt_Deposited!G41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Dry_Matter_Content!G34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Amnt_Deposited!G42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Dry_Matter_Content!G35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Amnt_Deposited!G43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Dry_Matter_Content!G36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Amnt_Deposited!G44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Dry_Matter_Content!G37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Amnt_Deposited!G45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Dry_Matter_Content!G38</f>
        <v>0.56999999999999995</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Amnt_Deposited!G46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Dry_Matter_Content!G39</f>
        <v>0.56999999999999995</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Amnt_Deposited!G47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Dry_Matter_Content!G40</f>
        <v>0.56999999999999995</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Amnt_Deposited!G48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Dry_Matter_Content!G41</f>
        <v>0.56999999999999995</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Amnt_Deposited!G49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Dry_Matter_Content!G42</f>
        <v>0.56999999999999995</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Amnt_Deposited!G50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Dry_Matter_Content!G43</f>
        <v>0.56999999999999995</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Amnt_Deposited!G51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Dry_Matter_Content!G44</f>
        <v>0.56999999999999995</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Amnt_Deposited!G52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Dry_Matter_Content!G45</f>
        <v>0.56999999999999995</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Amnt_Deposited!G53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Dry_Matter_Content!G46</f>
        <v>0.56999999999999995</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Amnt_Deposited!G54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Dry_Matter_Content!G47</f>
        <v>0.56999999999999995</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Amnt_Deposited!G55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Dry_Matter_Content!G48</f>
        <v>0.56999999999999995</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Amnt_Deposited!G56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Dry_Matter_Content!G49</f>
        <v>0.56999999999999995</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Amnt_Deposited!G57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Dry_Matter_Content!G50</f>
        <v>0.56999999999999995</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Amnt_Deposited!G58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Dry_Matter_Content!G51</f>
        <v>0.56999999999999995</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Amnt_Deposited!G59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Dry_Matter_Content!G52</f>
        <v>0.56999999999999995</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Amnt_Deposited!G60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Dry_Matter_Content!G53</f>
        <v>0.56999999999999995</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Amnt_Deposited!G61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Dry_Matter_Content!G54</f>
        <v>0.56999999999999995</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Amnt_Deposited!G62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Dry_Matter_Content!G55</f>
        <v>0.56999999999999995</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Amnt_Deposited!G63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Dry_Matter_Content!G56</f>
        <v>0.56999999999999995</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Amnt_Deposited!G64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Dry_Matter_Content!G57</f>
        <v>0.56999999999999995</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Amnt_Deposited!G65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Dry_Matter_Content!G58</f>
        <v>0.56999999999999995</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Amnt_Deposited!G66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Dry_Matter_Content!G59</f>
        <v>0.56999999999999995</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Amnt_Deposited!G67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Dry_Matter_Content!G60</f>
        <v>0.56999999999999995</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Amnt_Deposited!G68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Dry_Matter_Content!G61</f>
        <v>0.56999999999999995</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Amnt_Deposited!G69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Dry_Matter_Content!G62</f>
        <v>0.56999999999999995</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Amnt_Deposited!G70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Dry_Matter_Content!G63</f>
        <v>0.56999999999999995</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Amnt_Deposited!G71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Dry_Matter_Content!G64</f>
        <v>0.56999999999999995</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Amnt_Deposited!G72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Dry_Matter_Content!G65</f>
        <v>0.56999999999999995</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Amnt_Deposited!G73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Dry_Matter_Content!G66</f>
        <v>0.56999999999999995</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Amnt_Deposited!G74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Dry_Matter_Content!G67</f>
        <v>0.56999999999999995</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Amnt_Deposited!G75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Dry_Matter_Content!G68</f>
        <v>0.56999999999999995</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Amnt_Deposited!G76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Dry_Matter_Content!G69</f>
        <v>0.56999999999999995</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Amnt_Deposited!G77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Dry_Matter_Content!G70</f>
        <v>0.56999999999999995</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Amnt_Deposited!G78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Dry_Matter_Content!G71</f>
        <v>0.56999999999999995</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Amnt_Deposited!G79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Dry_Matter_Content!G72</f>
        <v>0.56999999999999995</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Amnt_Deposited!G80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Amnt_Deposited!F81</f>
        <v>0</v>
      </c>
      <c r="D86" s="453">
        <f>Dry_Matter_Content!G73</f>
        <v>0.56999999999999995</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Amnt_Deposited!G81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Amnt_Deposited!F82</f>
        <v>0</v>
      </c>
      <c r="D87" s="453">
        <f>Dry_Matter_Content!G74</f>
        <v>0.56999999999999995</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Amnt_Deposited!G82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Amnt_Deposited!F83</f>
        <v>0</v>
      </c>
      <c r="D88" s="453">
        <f>Dry_Matter_Content!G75</f>
        <v>0.56999999999999995</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Amnt_Deposited!G83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Amnt_Deposited!F84</f>
        <v>0</v>
      </c>
      <c r="D89" s="453">
        <f>Dry_Matter_Content!G76</f>
        <v>0.56999999999999995</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Amnt_Deposited!G84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Amnt_Deposited!F85</f>
        <v>0</v>
      </c>
      <c r="D90" s="453">
        <f>Dry_Matter_Content!G77</f>
        <v>0.56999999999999995</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Amnt_Deposited!G85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Amnt_Deposited!F86</f>
        <v>0</v>
      </c>
      <c r="D91" s="453">
        <f>Dry_Matter_Content!G78</f>
        <v>0.56999999999999995</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Amnt_Deposited!G86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Amnt_Deposited!F87</f>
        <v>0</v>
      </c>
      <c r="D92" s="453">
        <f>Dry_Matter_Content!G79</f>
        <v>0.56999999999999995</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Amnt_Deposited!G87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Amnt_Deposited!F88</f>
        <v>0</v>
      </c>
      <c r="D93" s="453">
        <f>Dry_Matter_Content!G80</f>
        <v>0.56999999999999995</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Amnt_Deposited!G88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Amnt_Deposited!F89</f>
        <v>0</v>
      </c>
      <c r="D94" s="453">
        <f>Dry_Matter_Content!G81</f>
        <v>0.56999999999999995</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Amnt_Deposited!G89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Amnt_Deposited!F90</f>
        <v>0</v>
      </c>
      <c r="D95" s="453">
        <f>Dry_Matter_Content!G82</f>
        <v>0.56999999999999995</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Amnt_Deposited!G90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Amnt_Deposited!F91</f>
        <v>0</v>
      </c>
      <c r="D96" s="453">
        <f>Dry_Matter_Content!G83</f>
        <v>0.56999999999999995</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Amnt_Deposited!G91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Amnt_Deposited!F92</f>
        <v>0</v>
      </c>
      <c r="D97" s="453">
        <f>Dry_Matter_Content!G84</f>
        <v>0.56999999999999995</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Amnt_Deposited!G92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Amnt_Deposited!F93</f>
        <v>0</v>
      </c>
      <c r="D98" s="453">
        <f>Dry_Matter_Content!G85</f>
        <v>0.56999999999999995</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Amnt_Deposited!G93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Amnt_Deposited!F94</f>
        <v>0</v>
      </c>
      <c r="D99" s="453">
        <f>Dry_Matter_Content!G86</f>
        <v>0.56999999999999995</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Amnt_Deposited!G94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153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Parameters!O18</f>
        <v>0.3</v>
      </c>
      <c r="O6" s="257"/>
      <c r="P6" s="258"/>
      <c r="Q6" s="249"/>
      <c r="R6" s="128" t="s">
        <v>9</v>
      </c>
      <c r="S6" s="129"/>
      <c r="T6" s="129"/>
      <c r="U6" s="133"/>
      <c r="V6" s="140" t="s">
        <v>9</v>
      </c>
      <c r="W6" s="293">
        <f>Parameters!R18</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Parameters!O37</f>
        <v>7.0000000000000007E-2</v>
      </c>
      <c r="O8" s="67"/>
      <c r="P8" s="67"/>
      <c r="Q8" s="249"/>
      <c r="R8" s="128" t="s">
        <v>192</v>
      </c>
      <c r="S8" s="129"/>
      <c r="T8" s="129"/>
      <c r="U8" s="133"/>
      <c r="V8" s="140" t="s">
        <v>188</v>
      </c>
      <c r="W8" s="134">
        <f>Parameters!O37</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Amnt_Deposited!H14</f>
        <v>0.26037902242439998</v>
      </c>
      <c r="D19" s="451">
        <f>Dry_Matter_Content!H6</f>
        <v>0.73</v>
      </c>
      <c r="E19" s="318">
        <f>MCF!R18</f>
        <v>0.8</v>
      </c>
      <c r="F19" s="150">
        <f t="shared" ref="F19:F50" si="0">C19*D19*$K$6*DOCF*E19</f>
        <v>2.2809202364377439E-2</v>
      </c>
      <c r="G19" s="85">
        <f t="shared" ref="G19:G82" si="1">F19*$K$12</f>
        <v>2.2809202364377439E-2</v>
      </c>
      <c r="H19" s="85">
        <f t="shared" ref="H19:H82" si="2">F19*(1-$K$12)</f>
        <v>0</v>
      </c>
      <c r="I19" s="85">
        <f t="shared" ref="I19:I82" si="3">G19+I18*$K$10</f>
        <v>2.2809202364377439E-2</v>
      </c>
      <c r="J19" s="85">
        <f t="shared" ref="J19:J82" si="4">I18*(1-$K$10)+H19</f>
        <v>0</v>
      </c>
      <c r="K19" s="86">
        <f>J19*CH4_fraction*conv</f>
        <v>0</v>
      </c>
      <c r="O19" s="115">
        <f>Amnt_Deposited!B14</f>
        <v>2000</v>
      </c>
      <c r="P19" s="118">
        <f>Amnt_Deposited!H14</f>
        <v>0.26037902242439998</v>
      </c>
      <c r="Q19" s="318">
        <f>MCF!R18</f>
        <v>0.8</v>
      </c>
      <c r="R19" s="150">
        <f t="shared" ref="R19:R50" si="5">P19*$W$6*DOCF*Q19</f>
        <v>2.4996386152742398E-2</v>
      </c>
      <c r="S19" s="85">
        <f>R19*$W$12</f>
        <v>2.4996386152742398E-2</v>
      </c>
      <c r="T19" s="85">
        <f>R19*(1-$W$12)</f>
        <v>0</v>
      </c>
      <c r="U19" s="85">
        <f>S19+U18*$W$10</f>
        <v>2.4996386152742398E-2</v>
      </c>
      <c r="V19" s="85">
        <f>U18*(1-$W$10)+T19</f>
        <v>0</v>
      </c>
      <c r="W19" s="86">
        <f>V19*CH4_fraction*conv</f>
        <v>0</v>
      </c>
    </row>
    <row r="20" spans="2:23">
      <c r="B20" s="116">
        <f>Amnt_Deposited!B15</f>
        <v>2001</v>
      </c>
      <c r="C20" s="119">
        <f>Amnt_Deposited!H15</f>
        <v>0.26559238495679999</v>
      </c>
      <c r="D20" s="453">
        <f>Dry_Matter_Content!H7</f>
        <v>0.73</v>
      </c>
      <c r="E20" s="319">
        <f>MCF!R19</f>
        <v>0.8</v>
      </c>
      <c r="F20" s="87">
        <f t="shared" si="0"/>
        <v>2.3265892922215679E-2</v>
      </c>
      <c r="G20" s="87">
        <f t="shared" si="1"/>
        <v>2.3265892922215679E-2</v>
      </c>
      <c r="H20" s="87">
        <f t="shared" si="2"/>
        <v>0</v>
      </c>
      <c r="I20" s="87">
        <f t="shared" si="3"/>
        <v>4.4533052243745347E-2</v>
      </c>
      <c r="J20" s="87">
        <f t="shared" si="4"/>
        <v>1.5420430428477717E-3</v>
      </c>
      <c r="K20" s="120">
        <f>J20*CH4_fraction*conv</f>
        <v>1.0280286952318476E-3</v>
      </c>
      <c r="M20" s="428"/>
      <c r="O20" s="116">
        <f>Amnt_Deposited!B15</f>
        <v>2001</v>
      </c>
      <c r="P20" s="119">
        <f>Amnt_Deposited!H15</f>
        <v>0.26559238495679999</v>
      </c>
      <c r="Q20" s="319">
        <f>MCF!R19</f>
        <v>0.8</v>
      </c>
      <c r="R20" s="87">
        <f t="shared" si="5"/>
        <v>2.5496868955852799E-2</v>
      </c>
      <c r="S20" s="87">
        <f>R20*$W$12</f>
        <v>2.5496868955852799E-2</v>
      </c>
      <c r="T20" s="87">
        <f>R20*(1-$W$12)</f>
        <v>0</v>
      </c>
      <c r="U20" s="87">
        <f>S20+U19*$W$10</f>
        <v>4.8803344924652436E-2</v>
      </c>
      <c r="V20" s="87">
        <f>U19*(1-$W$10)+T20</f>
        <v>1.6899101839427633E-3</v>
      </c>
      <c r="W20" s="120">
        <f>V20*CH4_fraction*conv</f>
        <v>1.1266067892951755E-3</v>
      </c>
    </row>
    <row r="21" spans="2:23">
      <c r="B21" s="116">
        <f>Amnt_Deposited!B16</f>
        <v>2002</v>
      </c>
      <c r="C21" s="119">
        <f>Amnt_Deposited!H16</f>
        <v>0.27165009152160002</v>
      </c>
      <c r="D21" s="453">
        <f>Dry_Matter_Content!H8</f>
        <v>0.73</v>
      </c>
      <c r="E21" s="319">
        <f>MCF!R20</f>
        <v>0.8</v>
      </c>
      <c r="F21" s="87">
        <f t="shared" si="0"/>
        <v>2.3796548017292165E-2</v>
      </c>
      <c r="G21" s="87">
        <f t="shared" si="1"/>
        <v>2.3796548017292165E-2</v>
      </c>
      <c r="H21" s="87">
        <f t="shared" si="2"/>
        <v>0</v>
      </c>
      <c r="I21" s="87">
        <f t="shared" si="3"/>
        <v>6.5318890710909044E-2</v>
      </c>
      <c r="J21" s="87">
        <f t="shared" si="4"/>
        <v>3.0107095501284622E-3</v>
      </c>
      <c r="K21" s="120">
        <f t="shared" ref="K21:K84" si="6">J21*CH4_fraction*conv</f>
        <v>2.0071397000856412E-3</v>
      </c>
      <c r="O21" s="116">
        <f>Amnt_Deposited!B16</f>
        <v>2002</v>
      </c>
      <c r="P21" s="119">
        <f>Amnt_Deposited!H16</f>
        <v>0.27165009152160002</v>
      </c>
      <c r="Q21" s="319">
        <f>MCF!R20</f>
        <v>0.8</v>
      </c>
      <c r="R21" s="87">
        <f t="shared" si="5"/>
        <v>2.6078408786073606E-2</v>
      </c>
      <c r="S21" s="87">
        <f t="shared" ref="S21:S84" si="7">R21*$W$12</f>
        <v>2.6078408786073606E-2</v>
      </c>
      <c r="T21" s="87">
        <f t="shared" ref="T21:T84" si="8">R21*(1-$W$12)</f>
        <v>0</v>
      </c>
      <c r="U21" s="87">
        <f t="shared" ref="U21:U84" si="9">S21+U20*$W$10</f>
        <v>7.1582345984557871E-2</v>
      </c>
      <c r="V21" s="87">
        <f t="shared" ref="V21:V84" si="10">U20*(1-$W$10)+T21</f>
        <v>3.299407726168178E-3</v>
      </c>
      <c r="W21" s="120">
        <f t="shared" ref="W21:W84" si="11">V21*CH4_fraction*conv</f>
        <v>2.1996051507787852E-3</v>
      </c>
    </row>
    <row r="22" spans="2:23">
      <c r="B22" s="116">
        <f>Amnt_Deposited!B17</f>
        <v>2003</v>
      </c>
      <c r="C22" s="119">
        <f>Amnt_Deposited!H17</f>
        <v>0.28035167842439995</v>
      </c>
      <c r="D22" s="453">
        <f>Dry_Matter_Content!H9</f>
        <v>0.73</v>
      </c>
      <c r="E22" s="319">
        <f>MCF!R21</f>
        <v>0.8</v>
      </c>
      <c r="F22" s="87">
        <f t="shared" si="0"/>
        <v>2.4558807029977436E-2</v>
      </c>
      <c r="G22" s="87">
        <f t="shared" si="1"/>
        <v>2.4558807029977436E-2</v>
      </c>
      <c r="H22" s="87">
        <f t="shared" si="2"/>
        <v>0</v>
      </c>
      <c r="I22" s="87">
        <f t="shared" si="3"/>
        <v>8.5461737051941086E-2</v>
      </c>
      <c r="J22" s="87">
        <f t="shared" si="4"/>
        <v>4.415960688945399E-3</v>
      </c>
      <c r="K22" s="120">
        <f t="shared" si="6"/>
        <v>2.943973792630266E-3</v>
      </c>
      <c r="N22" s="290"/>
      <c r="O22" s="116">
        <f>Amnt_Deposited!B17</f>
        <v>2003</v>
      </c>
      <c r="P22" s="119">
        <f>Amnt_Deposited!H17</f>
        <v>0.28035167842439995</v>
      </c>
      <c r="Q22" s="319">
        <f>MCF!R21</f>
        <v>0.8</v>
      </c>
      <c r="R22" s="87">
        <f t="shared" si="5"/>
        <v>2.69137611287424E-2</v>
      </c>
      <c r="S22" s="87">
        <f t="shared" si="7"/>
        <v>2.69137611287424E-2</v>
      </c>
      <c r="T22" s="87">
        <f t="shared" si="8"/>
        <v>0</v>
      </c>
      <c r="U22" s="87">
        <f t="shared" si="9"/>
        <v>9.3656698139113537E-2</v>
      </c>
      <c r="V22" s="87">
        <f t="shared" si="10"/>
        <v>4.8394089741867399E-3</v>
      </c>
      <c r="W22" s="120">
        <f t="shared" si="11"/>
        <v>3.2262726494578266E-3</v>
      </c>
    </row>
    <row r="23" spans="2:23">
      <c r="B23" s="116">
        <f>Amnt_Deposited!B18</f>
        <v>2004</v>
      </c>
      <c r="C23" s="119">
        <f>Amnt_Deposited!H18</f>
        <v>0.28361021725079999</v>
      </c>
      <c r="D23" s="453">
        <f>Dry_Matter_Content!H10</f>
        <v>0.73</v>
      </c>
      <c r="E23" s="319">
        <f>MCF!R22</f>
        <v>0.8</v>
      </c>
      <c r="F23" s="87">
        <f t="shared" si="0"/>
        <v>2.4844255031170076E-2</v>
      </c>
      <c r="G23" s="87">
        <f t="shared" si="1"/>
        <v>2.4844255031170076E-2</v>
      </c>
      <c r="H23" s="87">
        <f t="shared" si="2"/>
        <v>0</v>
      </c>
      <c r="I23" s="87">
        <f t="shared" si="3"/>
        <v>0.10452825049682714</v>
      </c>
      <c r="J23" s="87">
        <f t="shared" si="4"/>
        <v>5.7777415862840225E-3</v>
      </c>
      <c r="K23" s="120">
        <f t="shared" si="6"/>
        <v>3.8518277241893482E-3</v>
      </c>
      <c r="N23" s="290"/>
      <c r="O23" s="116">
        <f>Amnt_Deposited!B18</f>
        <v>2004</v>
      </c>
      <c r="P23" s="119">
        <f>Amnt_Deposited!H18</f>
        <v>0.28361021725079999</v>
      </c>
      <c r="Q23" s="319">
        <f>MCF!R22</f>
        <v>0.8</v>
      </c>
      <c r="R23" s="87">
        <f t="shared" si="5"/>
        <v>2.72265808560768E-2</v>
      </c>
      <c r="S23" s="87">
        <f t="shared" si="7"/>
        <v>2.72265808560768E-2</v>
      </c>
      <c r="T23" s="87">
        <f t="shared" si="8"/>
        <v>0</v>
      </c>
      <c r="U23" s="87">
        <f t="shared" si="9"/>
        <v>0.1145515073937832</v>
      </c>
      <c r="V23" s="87">
        <f t="shared" si="10"/>
        <v>6.3317716014071488E-3</v>
      </c>
      <c r="W23" s="120">
        <f t="shared" si="11"/>
        <v>4.2211810676047656E-3</v>
      </c>
    </row>
    <row r="24" spans="2:23">
      <c r="B24" s="116">
        <f>Amnt_Deposited!B19</f>
        <v>2005</v>
      </c>
      <c r="C24" s="119">
        <f>Amnt_Deposited!H19</f>
        <v>0.29149392389039996</v>
      </c>
      <c r="D24" s="453">
        <f>Dry_Matter_Content!H11</f>
        <v>0.73</v>
      </c>
      <c r="E24" s="319">
        <f>MCF!R23</f>
        <v>0.8</v>
      </c>
      <c r="F24" s="87">
        <f t="shared" si="0"/>
        <v>2.5534867732799039E-2</v>
      </c>
      <c r="G24" s="87">
        <f t="shared" si="1"/>
        <v>2.5534867732799039E-2</v>
      </c>
      <c r="H24" s="87">
        <f t="shared" si="2"/>
        <v>0</v>
      </c>
      <c r="I24" s="87">
        <f t="shared" si="3"/>
        <v>0.12299636250162152</v>
      </c>
      <c r="J24" s="87">
        <f t="shared" si="4"/>
        <v>7.0667557280046471E-3</v>
      </c>
      <c r="K24" s="120">
        <f t="shared" si="6"/>
        <v>4.7111704853364314E-3</v>
      </c>
      <c r="N24" s="290"/>
      <c r="O24" s="116">
        <f>Amnt_Deposited!B19</f>
        <v>2005</v>
      </c>
      <c r="P24" s="119">
        <f>Amnt_Deposited!H19</f>
        <v>0.29149392389039996</v>
      </c>
      <c r="Q24" s="319">
        <f>MCF!R23</f>
        <v>0.8</v>
      </c>
      <c r="R24" s="87">
        <f t="shared" si="5"/>
        <v>2.7983416693478397E-2</v>
      </c>
      <c r="S24" s="87">
        <f t="shared" si="7"/>
        <v>2.7983416693478397E-2</v>
      </c>
      <c r="T24" s="87">
        <f t="shared" si="8"/>
        <v>0</v>
      </c>
      <c r="U24" s="87">
        <f t="shared" si="9"/>
        <v>0.13479053424835238</v>
      </c>
      <c r="V24" s="87">
        <f t="shared" si="10"/>
        <v>7.7443898389092051E-3</v>
      </c>
      <c r="W24" s="120">
        <f t="shared" si="11"/>
        <v>5.1629265592728034E-3</v>
      </c>
    </row>
    <row r="25" spans="2:23">
      <c r="B25" s="116">
        <f>Amnt_Deposited!B20</f>
        <v>2006</v>
      </c>
      <c r="C25" s="119">
        <f>Amnt_Deposited!H20</f>
        <v>0.29485582121160003</v>
      </c>
      <c r="D25" s="453">
        <f>Dry_Matter_Content!H12</f>
        <v>0.73</v>
      </c>
      <c r="E25" s="319">
        <f>MCF!R24</f>
        <v>0.8</v>
      </c>
      <c r="F25" s="87">
        <f t="shared" si="0"/>
        <v>2.582936993813616E-2</v>
      </c>
      <c r="G25" s="87">
        <f t="shared" si="1"/>
        <v>2.582936993813616E-2</v>
      </c>
      <c r="H25" s="87">
        <f t="shared" si="2"/>
        <v>0</v>
      </c>
      <c r="I25" s="87">
        <f t="shared" si="3"/>
        <v>0.14051041820555979</v>
      </c>
      <c r="J25" s="87">
        <f t="shared" si="4"/>
        <v>8.3153142341978944E-3</v>
      </c>
      <c r="K25" s="120">
        <f t="shared" si="6"/>
        <v>5.543542822798596E-3</v>
      </c>
      <c r="N25" s="290"/>
      <c r="O25" s="116">
        <f>Amnt_Deposited!B20</f>
        <v>2006</v>
      </c>
      <c r="P25" s="119">
        <f>Amnt_Deposited!H20</f>
        <v>0.29485582121160003</v>
      </c>
      <c r="Q25" s="319">
        <f>MCF!R24</f>
        <v>0.8</v>
      </c>
      <c r="R25" s="87">
        <f t="shared" si="5"/>
        <v>2.83061588363136E-2</v>
      </c>
      <c r="S25" s="87">
        <f t="shared" si="7"/>
        <v>2.83061588363136E-2</v>
      </c>
      <c r="T25" s="87">
        <f t="shared" si="8"/>
        <v>0</v>
      </c>
      <c r="U25" s="87">
        <f t="shared" si="9"/>
        <v>0.15398401995129843</v>
      </c>
      <c r="V25" s="87">
        <f t="shared" si="10"/>
        <v>9.1126731333675583E-3</v>
      </c>
      <c r="W25" s="120">
        <f t="shared" si="11"/>
        <v>6.0751154222450383E-3</v>
      </c>
    </row>
    <row r="26" spans="2:23">
      <c r="B26" s="116">
        <f>Amnt_Deposited!B21</f>
        <v>2007</v>
      </c>
      <c r="C26" s="119">
        <f>Amnt_Deposited!H21</f>
        <v>0.29812933953000004</v>
      </c>
      <c r="D26" s="453">
        <f>Dry_Matter_Content!H13</f>
        <v>0.73</v>
      </c>
      <c r="E26" s="319">
        <f>MCF!R25</f>
        <v>0.8</v>
      </c>
      <c r="F26" s="87">
        <f t="shared" si="0"/>
        <v>2.6116130142828004E-2</v>
      </c>
      <c r="G26" s="87">
        <f t="shared" si="1"/>
        <v>2.6116130142828004E-2</v>
      </c>
      <c r="H26" s="87">
        <f t="shared" si="2"/>
        <v>0</v>
      </c>
      <c r="I26" s="87">
        <f t="shared" si="3"/>
        <v>0.15712717571009222</v>
      </c>
      <c r="J26" s="87">
        <f t="shared" si="4"/>
        <v>9.4993726382955994E-3</v>
      </c>
      <c r="K26" s="120">
        <f t="shared" si="6"/>
        <v>6.3329150921970657E-3</v>
      </c>
      <c r="N26" s="290"/>
      <c r="O26" s="116">
        <f>Amnt_Deposited!B21</f>
        <v>2007</v>
      </c>
      <c r="P26" s="119">
        <f>Amnt_Deposited!H21</f>
        <v>0.29812933953000004</v>
      </c>
      <c r="Q26" s="319">
        <f>MCF!R25</f>
        <v>0.8</v>
      </c>
      <c r="R26" s="87">
        <f t="shared" si="5"/>
        <v>2.8620416594880006E-2</v>
      </c>
      <c r="S26" s="87">
        <f t="shared" si="7"/>
        <v>2.8620416594880006E-2</v>
      </c>
      <c r="T26" s="87">
        <f t="shared" si="8"/>
        <v>0</v>
      </c>
      <c r="U26" s="87">
        <f t="shared" si="9"/>
        <v>0.17219416516174491</v>
      </c>
      <c r="V26" s="87">
        <f t="shared" si="10"/>
        <v>1.0410271384433536E-2</v>
      </c>
      <c r="W26" s="120">
        <f t="shared" si="11"/>
        <v>6.94018092295569E-3</v>
      </c>
    </row>
    <row r="27" spans="2:23">
      <c r="B27" s="116">
        <f>Amnt_Deposited!B22</f>
        <v>2008</v>
      </c>
      <c r="C27" s="119">
        <f>Amnt_Deposited!H22</f>
        <v>0.30128202327959996</v>
      </c>
      <c r="D27" s="453">
        <f>Dry_Matter_Content!H14</f>
        <v>0.73</v>
      </c>
      <c r="E27" s="319">
        <f>MCF!R26</f>
        <v>0.8</v>
      </c>
      <c r="F27" s="87">
        <f t="shared" si="0"/>
        <v>2.6392305239292958E-2</v>
      </c>
      <c r="G27" s="87">
        <f t="shared" si="1"/>
        <v>2.6392305239292958E-2</v>
      </c>
      <c r="H27" s="87">
        <f t="shared" si="2"/>
        <v>0</v>
      </c>
      <c r="I27" s="87">
        <f t="shared" si="3"/>
        <v>0.17289671281065896</v>
      </c>
      <c r="J27" s="87">
        <f t="shared" si="4"/>
        <v>1.0622768138726204E-2</v>
      </c>
      <c r="K27" s="120">
        <f t="shared" si="6"/>
        <v>7.0818454258174688E-3</v>
      </c>
      <c r="N27" s="290"/>
      <c r="O27" s="116">
        <f>Amnt_Deposited!B22</f>
        <v>2008</v>
      </c>
      <c r="P27" s="119">
        <f>Amnt_Deposited!H22</f>
        <v>0.30128202327959996</v>
      </c>
      <c r="Q27" s="319">
        <f>MCF!R26</f>
        <v>0.8</v>
      </c>
      <c r="R27" s="87">
        <f t="shared" si="5"/>
        <v>2.8923074234841598E-2</v>
      </c>
      <c r="S27" s="87">
        <f t="shared" si="7"/>
        <v>2.8923074234841598E-2</v>
      </c>
      <c r="T27" s="87">
        <f t="shared" si="8"/>
        <v>0</v>
      </c>
      <c r="U27" s="87">
        <f t="shared" si="9"/>
        <v>0.18947584965551667</v>
      </c>
      <c r="V27" s="87">
        <f t="shared" si="10"/>
        <v>1.1641389741069813E-2</v>
      </c>
      <c r="W27" s="120">
        <f t="shared" si="11"/>
        <v>7.760926494046542E-3</v>
      </c>
    </row>
    <row r="28" spans="2:23">
      <c r="B28" s="116">
        <f>Amnt_Deposited!B23</f>
        <v>2009</v>
      </c>
      <c r="C28" s="119">
        <f>Amnt_Deposited!H23</f>
        <v>0.30427342783200001</v>
      </c>
      <c r="D28" s="453">
        <f>Dry_Matter_Content!H15</f>
        <v>0.73</v>
      </c>
      <c r="E28" s="319">
        <f>MCF!R27</f>
        <v>0.8</v>
      </c>
      <c r="F28" s="87">
        <f t="shared" si="0"/>
        <v>2.6654352278083202E-2</v>
      </c>
      <c r="G28" s="87">
        <f t="shared" si="1"/>
        <v>2.6654352278083202E-2</v>
      </c>
      <c r="H28" s="87">
        <f t="shared" si="2"/>
        <v>0</v>
      </c>
      <c r="I28" s="87">
        <f t="shared" si="3"/>
        <v>0.18786217878479522</v>
      </c>
      <c r="J28" s="87">
        <f t="shared" si="4"/>
        <v>1.168888630394695E-2</v>
      </c>
      <c r="K28" s="120">
        <f t="shared" si="6"/>
        <v>7.7925908692979664E-3</v>
      </c>
      <c r="N28" s="290"/>
      <c r="O28" s="116">
        <f>Amnt_Deposited!B23</f>
        <v>2009</v>
      </c>
      <c r="P28" s="119">
        <f>Amnt_Deposited!H23</f>
        <v>0.30427342783200001</v>
      </c>
      <c r="Q28" s="319">
        <f>MCF!R27</f>
        <v>0.8</v>
      </c>
      <c r="R28" s="87">
        <f t="shared" si="5"/>
        <v>2.9210249071872002E-2</v>
      </c>
      <c r="S28" s="87">
        <f t="shared" si="7"/>
        <v>2.9210249071872002E-2</v>
      </c>
      <c r="T28" s="87">
        <f t="shared" si="8"/>
        <v>0</v>
      </c>
      <c r="U28" s="87">
        <f t="shared" si="9"/>
        <v>0.20587636031210435</v>
      </c>
      <c r="V28" s="87">
        <f t="shared" si="10"/>
        <v>1.2809738415284329E-2</v>
      </c>
      <c r="W28" s="120">
        <f t="shared" si="11"/>
        <v>8.5398256101895526E-3</v>
      </c>
    </row>
    <row r="29" spans="2:23">
      <c r="B29" s="116">
        <f>Amnt_Deposited!B24</f>
        <v>2010</v>
      </c>
      <c r="C29" s="119">
        <f>Amnt_Deposited!H24</f>
        <v>0.36325268100000002</v>
      </c>
      <c r="D29" s="453">
        <f>Dry_Matter_Content!H16</f>
        <v>0.73</v>
      </c>
      <c r="E29" s="319">
        <f>MCF!R28</f>
        <v>0.8</v>
      </c>
      <c r="F29" s="87">
        <f t="shared" si="0"/>
        <v>3.1820934855599996E-2</v>
      </c>
      <c r="G29" s="87">
        <f t="shared" si="1"/>
        <v>3.1820934855599996E-2</v>
      </c>
      <c r="H29" s="87">
        <f t="shared" si="2"/>
        <v>0</v>
      </c>
      <c r="I29" s="87">
        <f t="shared" si="3"/>
        <v>0.20698246934860942</v>
      </c>
      <c r="J29" s="87">
        <f t="shared" si="4"/>
        <v>1.270064429178581E-2</v>
      </c>
      <c r="K29" s="120">
        <f t="shared" si="6"/>
        <v>8.467096194523873E-3</v>
      </c>
      <c r="O29" s="116">
        <f>Amnt_Deposited!B24</f>
        <v>2010</v>
      </c>
      <c r="P29" s="119">
        <f>Amnt_Deposited!H24</f>
        <v>0.36325268100000002</v>
      </c>
      <c r="Q29" s="319">
        <f>MCF!R28</f>
        <v>0.8</v>
      </c>
      <c r="R29" s="87">
        <f t="shared" si="5"/>
        <v>3.4872257375999999E-2</v>
      </c>
      <c r="S29" s="87">
        <f t="shared" si="7"/>
        <v>3.4872257375999999E-2</v>
      </c>
      <c r="T29" s="87">
        <f t="shared" si="8"/>
        <v>0</v>
      </c>
      <c r="U29" s="87">
        <f t="shared" si="9"/>
        <v>0.22683010339573634</v>
      </c>
      <c r="V29" s="87">
        <f t="shared" si="10"/>
        <v>1.391851429236801E-2</v>
      </c>
      <c r="W29" s="120">
        <f t="shared" si="11"/>
        <v>9.2790095282453394E-3</v>
      </c>
    </row>
    <row r="30" spans="2:23">
      <c r="B30" s="116">
        <f>Amnt_Deposited!B25</f>
        <v>2011</v>
      </c>
      <c r="C30" s="119">
        <f>Amnt_Deposited!H25</f>
        <v>0</v>
      </c>
      <c r="D30" s="453">
        <f>Dry_Matter_Content!H17</f>
        <v>0.73</v>
      </c>
      <c r="E30" s="319">
        <f>MCF!R29</f>
        <v>0.8</v>
      </c>
      <c r="F30" s="87">
        <f t="shared" si="0"/>
        <v>0</v>
      </c>
      <c r="G30" s="87">
        <f t="shared" si="1"/>
        <v>0</v>
      </c>
      <c r="H30" s="87">
        <f t="shared" si="2"/>
        <v>0</v>
      </c>
      <c r="I30" s="87">
        <f t="shared" si="3"/>
        <v>0.19298917524951578</v>
      </c>
      <c r="J30" s="87">
        <f t="shared" si="4"/>
        <v>1.3993294099093631E-2</v>
      </c>
      <c r="K30" s="120">
        <f t="shared" si="6"/>
        <v>9.328862732729086E-3</v>
      </c>
      <c r="O30" s="116">
        <f>Amnt_Deposited!B25</f>
        <v>2011</v>
      </c>
      <c r="P30" s="119">
        <f>Amnt_Deposited!H25</f>
        <v>0</v>
      </c>
      <c r="Q30" s="319">
        <f>MCF!R29</f>
        <v>0.8</v>
      </c>
      <c r="R30" s="87">
        <f t="shared" si="5"/>
        <v>0</v>
      </c>
      <c r="S30" s="87">
        <f t="shared" si="7"/>
        <v>0</v>
      </c>
      <c r="T30" s="87">
        <f t="shared" si="8"/>
        <v>0</v>
      </c>
      <c r="U30" s="87">
        <f t="shared" si="9"/>
        <v>0.21149498657481181</v>
      </c>
      <c r="V30" s="87">
        <f t="shared" si="10"/>
        <v>1.5335116820924526E-2</v>
      </c>
      <c r="W30" s="120">
        <f t="shared" si="11"/>
        <v>1.0223411213949683E-2</v>
      </c>
    </row>
    <row r="31" spans="2:23">
      <c r="B31" s="116">
        <f>Amnt_Deposited!B26</f>
        <v>2012</v>
      </c>
      <c r="C31" s="119">
        <f>Amnt_Deposited!H26</f>
        <v>0</v>
      </c>
      <c r="D31" s="453">
        <f>Dry_Matter_Content!H18</f>
        <v>0.73</v>
      </c>
      <c r="E31" s="319">
        <f>MCF!R30</f>
        <v>0.8</v>
      </c>
      <c r="F31" s="87">
        <f t="shared" si="0"/>
        <v>0</v>
      </c>
      <c r="G31" s="87">
        <f t="shared" si="1"/>
        <v>0</v>
      </c>
      <c r="H31" s="87">
        <f t="shared" si="2"/>
        <v>0</v>
      </c>
      <c r="I31" s="87">
        <f t="shared" si="3"/>
        <v>0.1799419143113945</v>
      </c>
      <c r="J31" s="87">
        <f t="shared" si="4"/>
        <v>1.3047260938121275E-2</v>
      </c>
      <c r="K31" s="120">
        <f t="shared" si="6"/>
        <v>8.6981739587475154E-3</v>
      </c>
      <c r="O31" s="116">
        <f>Amnt_Deposited!B26</f>
        <v>2012</v>
      </c>
      <c r="P31" s="119">
        <f>Amnt_Deposited!H26</f>
        <v>0</v>
      </c>
      <c r="Q31" s="319">
        <f>MCF!R30</f>
        <v>0.8</v>
      </c>
      <c r="R31" s="87">
        <f t="shared" si="5"/>
        <v>0</v>
      </c>
      <c r="S31" s="87">
        <f t="shared" si="7"/>
        <v>0</v>
      </c>
      <c r="T31" s="87">
        <f t="shared" si="8"/>
        <v>0</v>
      </c>
      <c r="U31" s="87">
        <f t="shared" si="9"/>
        <v>0.19719661842344602</v>
      </c>
      <c r="V31" s="87">
        <f t="shared" si="10"/>
        <v>1.429836815136578E-2</v>
      </c>
      <c r="W31" s="120">
        <f t="shared" si="11"/>
        <v>9.5322454342438526E-3</v>
      </c>
    </row>
    <row r="32" spans="2:23">
      <c r="B32" s="116">
        <f>Amnt_Deposited!B27</f>
        <v>2013</v>
      </c>
      <c r="C32" s="119">
        <f>Amnt_Deposited!H27</f>
        <v>0</v>
      </c>
      <c r="D32" s="453">
        <f>Dry_Matter_Content!H19</f>
        <v>0.73</v>
      </c>
      <c r="E32" s="319">
        <f>MCF!R31</f>
        <v>0.8</v>
      </c>
      <c r="F32" s="87">
        <f t="shared" si="0"/>
        <v>0</v>
      </c>
      <c r="G32" s="87">
        <f t="shared" si="1"/>
        <v>0</v>
      </c>
      <c r="H32" s="87">
        <f t="shared" si="2"/>
        <v>0</v>
      </c>
      <c r="I32" s="87">
        <f t="shared" si="3"/>
        <v>0.16777672884598993</v>
      </c>
      <c r="J32" s="87">
        <f t="shared" si="4"/>
        <v>1.2165185465404561E-2</v>
      </c>
      <c r="K32" s="120">
        <f t="shared" si="6"/>
        <v>8.1101236436030393E-3</v>
      </c>
      <c r="O32" s="116">
        <f>Amnt_Deposited!B27</f>
        <v>2013</v>
      </c>
      <c r="P32" s="119">
        <f>Amnt_Deposited!H27</f>
        <v>0</v>
      </c>
      <c r="Q32" s="319">
        <f>MCF!R31</f>
        <v>0.8</v>
      </c>
      <c r="R32" s="87">
        <f t="shared" si="5"/>
        <v>0</v>
      </c>
      <c r="S32" s="87">
        <f t="shared" si="7"/>
        <v>0</v>
      </c>
      <c r="T32" s="87">
        <f t="shared" si="8"/>
        <v>0</v>
      </c>
      <c r="U32" s="87">
        <f t="shared" si="9"/>
        <v>0.18386490832437252</v>
      </c>
      <c r="V32" s="87">
        <f t="shared" si="10"/>
        <v>1.3331710099073491E-2</v>
      </c>
      <c r="W32" s="120">
        <f t="shared" si="11"/>
        <v>8.8878067327156605E-3</v>
      </c>
    </row>
    <row r="33" spans="2:23">
      <c r="B33" s="116">
        <f>Amnt_Deposited!B28</f>
        <v>2014</v>
      </c>
      <c r="C33" s="119">
        <f>Amnt_Deposited!H28</f>
        <v>0</v>
      </c>
      <c r="D33" s="453">
        <f>Dry_Matter_Content!H20</f>
        <v>0.73</v>
      </c>
      <c r="E33" s="319">
        <f>MCF!R32</f>
        <v>0.8</v>
      </c>
      <c r="F33" s="87">
        <f t="shared" si="0"/>
        <v>0</v>
      </c>
      <c r="G33" s="87">
        <f t="shared" si="1"/>
        <v>0</v>
      </c>
      <c r="H33" s="87">
        <f t="shared" si="2"/>
        <v>0</v>
      </c>
      <c r="I33" s="87">
        <f t="shared" si="3"/>
        <v>0.15643398510003706</v>
      </c>
      <c r="J33" s="87">
        <f t="shared" si="4"/>
        <v>1.1342743745952878E-2</v>
      </c>
      <c r="K33" s="120">
        <f t="shared" si="6"/>
        <v>7.5618291639685852E-3</v>
      </c>
      <c r="O33" s="116">
        <f>Amnt_Deposited!B28</f>
        <v>2014</v>
      </c>
      <c r="P33" s="119">
        <f>Amnt_Deposited!H28</f>
        <v>0</v>
      </c>
      <c r="Q33" s="319">
        <f>MCF!R32</f>
        <v>0.8</v>
      </c>
      <c r="R33" s="87">
        <f t="shared" si="5"/>
        <v>0</v>
      </c>
      <c r="S33" s="87">
        <f t="shared" si="7"/>
        <v>0</v>
      </c>
      <c r="T33" s="87">
        <f t="shared" si="8"/>
        <v>0</v>
      </c>
      <c r="U33" s="87">
        <f t="shared" si="9"/>
        <v>0.17143450421921869</v>
      </c>
      <c r="V33" s="87">
        <f t="shared" si="10"/>
        <v>1.243040410515384E-2</v>
      </c>
      <c r="W33" s="120">
        <f t="shared" si="11"/>
        <v>8.2869360701025591E-3</v>
      </c>
    </row>
    <row r="34" spans="2:23">
      <c r="B34" s="116">
        <f>Amnt_Deposited!B29</f>
        <v>2015</v>
      </c>
      <c r="C34" s="119">
        <f>Amnt_Deposited!H29</f>
        <v>0</v>
      </c>
      <c r="D34" s="453">
        <f>Dry_Matter_Content!H21</f>
        <v>0.73</v>
      </c>
      <c r="E34" s="319">
        <f>MCF!R33</f>
        <v>0.8</v>
      </c>
      <c r="F34" s="87">
        <f t="shared" si="0"/>
        <v>0</v>
      </c>
      <c r="G34" s="87">
        <f t="shared" si="1"/>
        <v>0</v>
      </c>
      <c r="H34" s="87">
        <f t="shared" si="2"/>
        <v>0</v>
      </c>
      <c r="I34" s="87">
        <f t="shared" si="3"/>
        <v>0.14585808093053376</v>
      </c>
      <c r="J34" s="87">
        <f t="shared" si="4"/>
        <v>1.057590416950331E-2</v>
      </c>
      <c r="K34" s="120">
        <f t="shared" si="6"/>
        <v>7.0506027796688724E-3</v>
      </c>
      <c r="O34" s="116">
        <f>Amnt_Deposited!B29</f>
        <v>2015</v>
      </c>
      <c r="P34" s="119">
        <f>Amnt_Deposited!H29</f>
        <v>0</v>
      </c>
      <c r="Q34" s="319">
        <f>MCF!R33</f>
        <v>0.8</v>
      </c>
      <c r="R34" s="87">
        <f t="shared" si="5"/>
        <v>0</v>
      </c>
      <c r="S34" s="87">
        <f t="shared" si="7"/>
        <v>0</v>
      </c>
      <c r="T34" s="87">
        <f t="shared" si="8"/>
        <v>0</v>
      </c>
      <c r="U34" s="87">
        <f t="shared" si="9"/>
        <v>0.15984447225263973</v>
      </c>
      <c r="V34" s="87">
        <f t="shared" si="10"/>
        <v>1.1590031966578969E-2</v>
      </c>
      <c r="W34" s="120">
        <f t="shared" si="11"/>
        <v>7.7266879777193121E-3</v>
      </c>
    </row>
    <row r="35" spans="2:23">
      <c r="B35" s="116">
        <f>Amnt_Deposited!B30</f>
        <v>2016</v>
      </c>
      <c r="C35" s="119">
        <f>Amnt_Deposited!H30</f>
        <v>0</v>
      </c>
      <c r="D35" s="453">
        <f>Dry_Matter_Content!H22</f>
        <v>0.73</v>
      </c>
      <c r="E35" s="319">
        <f>MCF!R34</f>
        <v>0.8</v>
      </c>
      <c r="F35" s="87">
        <f t="shared" si="0"/>
        <v>0</v>
      </c>
      <c r="G35" s="87">
        <f t="shared" si="1"/>
        <v>0</v>
      </c>
      <c r="H35" s="87">
        <f t="shared" si="2"/>
        <v>0</v>
      </c>
      <c r="I35" s="87">
        <f t="shared" si="3"/>
        <v>0.13599717324297134</v>
      </c>
      <c r="J35" s="87">
        <f t="shared" si="4"/>
        <v>9.8609076875624379E-3</v>
      </c>
      <c r="K35" s="120">
        <f t="shared" si="6"/>
        <v>6.5739384583749583E-3</v>
      </c>
      <c r="O35" s="116">
        <f>Amnt_Deposited!B30</f>
        <v>2016</v>
      </c>
      <c r="P35" s="119">
        <f>Amnt_Deposited!H30</f>
        <v>0</v>
      </c>
      <c r="Q35" s="319">
        <f>MCF!R34</f>
        <v>0.8</v>
      </c>
      <c r="R35" s="87">
        <f t="shared" si="5"/>
        <v>0</v>
      </c>
      <c r="S35" s="87">
        <f t="shared" si="7"/>
        <v>0</v>
      </c>
      <c r="T35" s="87">
        <f t="shared" si="8"/>
        <v>0</v>
      </c>
      <c r="U35" s="87">
        <f t="shared" si="9"/>
        <v>0.14903799807448911</v>
      </c>
      <c r="V35" s="87">
        <f t="shared" si="10"/>
        <v>1.0806474178150616E-2</v>
      </c>
      <c r="W35" s="120">
        <f t="shared" si="11"/>
        <v>7.2043161187670766E-3</v>
      </c>
    </row>
    <row r="36" spans="2:23">
      <c r="B36" s="116">
        <f>Amnt_Deposited!B31</f>
        <v>2017</v>
      </c>
      <c r="C36" s="119">
        <f>Amnt_Deposited!H31</f>
        <v>0</v>
      </c>
      <c r="D36" s="453">
        <f>Dry_Matter_Content!H23</f>
        <v>0.73</v>
      </c>
      <c r="E36" s="319">
        <f>MCF!R35</f>
        <v>0.8</v>
      </c>
      <c r="F36" s="87">
        <f t="shared" si="0"/>
        <v>0</v>
      </c>
      <c r="G36" s="87">
        <f t="shared" si="1"/>
        <v>0</v>
      </c>
      <c r="H36" s="87">
        <f t="shared" si="2"/>
        <v>0</v>
      </c>
      <c r="I36" s="87">
        <f t="shared" si="3"/>
        <v>0.12680292385642505</v>
      </c>
      <c r="J36" s="87">
        <f t="shared" si="4"/>
        <v>9.1942493865462722E-3</v>
      </c>
      <c r="K36" s="120">
        <f t="shared" si="6"/>
        <v>6.1294995910308476E-3</v>
      </c>
      <c r="O36" s="116">
        <f>Amnt_Deposited!B31</f>
        <v>2017</v>
      </c>
      <c r="P36" s="119">
        <f>Amnt_Deposited!H31</f>
        <v>0</v>
      </c>
      <c r="Q36" s="319">
        <f>MCF!R35</f>
        <v>0.8</v>
      </c>
      <c r="R36" s="87">
        <f t="shared" si="5"/>
        <v>0</v>
      </c>
      <c r="S36" s="87">
        <f t="shared" si="7"/>
        <v>0</v>
      </c>
      <c r="T36" s="87">
        <f t="shared" si="8"/>
        <v>0</v>
      </c>
      <c r="U36" s="87">
        <f t="shared" si="9"/>
        <v>0.13896210833580827</v>
      </c>
      <c r="V36" s="87">
        <f t="shared" si="10"/>
        <v>1.0075889738680845E-2</v>
      </c>
      <c r="W36" s="120">
        <f t="shared" si="11"/>
        <v>6.71725982578723E-3</v>
      </c>
    </row>
    <row r="37" spans="2:23">
      <c r="B37" s="116">
        <f>Amnt_Deposited!B32</f>
        <v>2018</v>
      </c>
      <c r="C37" s="119">
        <f>Amnt_Deposited!H32</f>
        <v>0</v>
      </c>
      <c r="D37" s="453">
        <f>Dry_Matter_Content!H24</f>
        <v>0.73</v>
      </c>
      <c r="E37" s="319">
        <f>MCF!R36</f>
        <v>0.8</v>
      </c>
      <c r="F37" s="87">
        <f t="shared" si="0"/>
        <v>0</v>
      </c>
      <c r="G37" s="87">
        <f t="shared" si="1"/>
        <v>0</v>
      </c>
      <c r="H37" s="87">
        <f t="shared" si="2"/>
        <v>0</v>
      </c>
      <c r="I37" s="87">
        <f t="shared" si="3"/>
        <v>0.11823026254973526</v>
      </c>
      <c r="J37" s="87">
        <f t="shared" si="4"/>
        <v>8.5726613066898008E-3</v>
      </c>
      <c r="K37" s="120">
        <f t="shared" si="6"/>
        <v>5.7151075377932002E-3</v>
      </c>
      <c r="O37" s="116">
        <f>Amnt_Deposited!B32</f>
        <v>2018</v>
      </c>
      <c r="P37" s="119">
        <f>Amnt_Deposited!H32</f>
        <v>0</v>
      </c>
      <c r="Q37" s="319">
        <f>MCF!R36</f>
        <v>0.8</v>
      </c>
      <c r="R37" s="87">
        <f t="shared" si="5"/>
        <v>0</v>
      </c>
      <c r="S37" s="87">
        <f t="shared" si="7"/>
        <v>0</v>
      </c>
      <c r="T37" s="87">
        <f t="shared" si="8"/>
        <v>0</v>
      </c>
      <c r="U37" s="87">
        <f t="shared" si="9"/>
        <v>0.12956741101340849</v>
      </c>
      <c r="V37" s="87">
        <f t="shared" si="10"/>
        <v>9.3946973223997809E-3</v>
      </c>
      <c r="W37" s="120">
        <f t="shared" si="11"/>
        <v>6.2631315482665206E-3</v>
      </c>
    </row>
    <row r="38" spans="2:23">
      <c r="B38" s="116">
        <f>Amnt_Deposited!B33</f>
        <v>2019</v>
      </c>
      <c r="C38" s="119">
        <f>Amnt_Deposited!H33</f>
        <v>0</v>
      </c>
      <c r="D38" s="453">
        <f>Dry_Matter_Content!H25</f>
        <v>0.73</v>
      </c>
      <c r="E38" s="319">
        <f>MCF!R37</f>
        <v>0.8</v>
      </c>
      <c r="F38" s="87">
        <f t="shared" si="0"/>
        <v>0</v>
      </c>
      <c r="G38" s="87">
        <f t="shared" si="1"/>
        <v>0</v>
      </c>
      <c r="H38" s="87">
        <f t="shared" si="2"/>
        <v>0</v>
      </c>
      <c r="I38" s="87">
        <f t="shared" si="3"/>
        <v>0.11023716612723083</v>
      </c>
      <c r="J38" s="87">
        <f t="shared" si="4"/>
        <v>7.993096422504422E-3</v>
      </c>
      <c r="K38" s="120">
        <f t="shared" si="6"/>
        <v>5.3287309483362813E-3</v>
      </c>
      <c r="O38" s="116">
        <f>Amnt_Deposited!B33</f>
        <v>2019</v>
      </c>
      <c r="P38" s="119">
        <f>Amnt_Deposited!H33</f>
        <v>0</v>
      </c>
      <c r="Q38" s="319">
        <f>MCF!R37</f>
        <v>0.8</v>
      </c>
      <c r="R38" s="87">
        <f t="shared" si="5"/>
        <v>0</v>
      </c>
      <c r="S38" s="87">
        <f t="shared" si="7"/>
        <v>0</v>
      </c>
      <c r="T38" s="87">
        <f t="shared" si="8"/>
        <v>0</v>
      </c>
      <c r="U38" s="87">
        <f t="shared" si="9"/>
        <v>0.12080785329011598</v>
      </c>
      <c r="V38" s="87">
        <f t="shared" si="10"/>
        <v>8.7595577232925156E-3</v>
      </c>
      <c r="W38" s="120">
        <f t="shared" si="11"/>
        <v>5.839705148861677E-3</v>
      </c>
    </row>
    <row r="39" spans="2:23">
      <c r="B39" s="116">
        <f>Amnt_Deposited!B34</f>
        <v>2020</v>
      </c>
      <c r="C39" s="119">
        <f>Amnt_Deposited!H34</f>
        <v>0</v>
      </c>
      <c r="D39" s="453">
        <f>Dry_Matter_Content!H26</f>
        <v>0.73</v>
      </c>
      <c r="E39" s="319">
        <f>MCF!R38</f>
        <v>0.8</v>
      </c>
      <c r="F39" s="87">
        <f t="shared" si="0"/>
        <v>0</v>
      </c>
      <c r="G39" s="87">
        <f t="shared" si="1"/>
        <v>0</v>
      </c>
      <c r="H39" s="87">
        <f t="shared" si="2"/>
        <v>0</v>
      </c>
      <c r="I39" s="87">
        <f t="shared" si="3"/>
        <v>0.10278445242097536</v>
      </c>
      <c r="J39" s="87">
        <f t="shared" si="4"/>
        <v>7.4527137062554661E-3</v>
      </c>
      <c r="K39" s="120">
        <f t="shared" si="6"/>
        <v>4.9684758041703102E-3</v>
      </c>
      <c r="O39" s="116">
        <f>Amnt_Deposited!B34</f>
        <v>2020</v>
      </c>
      <c r="P39" s="119">
        <f>Amnt_Deposited!H34</f>
        <v>0</v>
      </c>
      <c r="Q39" s="319">
        <f>MCF!R38</f>
        <v>0.8</v>
      </c>
      <c r="R39" s="87">
        <f t="shared" si="5"/>
        <v>0</v>
      </c>
      <c r="S39" s="87">
        <f t="shared" si="7"/>
        <v>0</v>
      </c>
      <c r="T39" s="87">
        <f t="shared" si="8"/>
        <v>0</v>
      </c>
      <c r="U39" s="87">
        <f t="shared" si="9"/>
        <v>0.11264049580380862</v>
      </c>
      <c r="V39" s="87">
        <f t="shared" si="10"/>
        <v>8.1673574863073608E-3</v>
      </c>
      <c r="W39" s="120">
        <f t="shared" si="11"/>
        <v>5.4449049908715736E-3</v>
      </c>
    </row>
    <row r="40" spans="2:23">
      <c r="B40" s="116">
        <f>Amnt_Deposited!B35</f>
        <v>2021</v>
      </c>
      <c r="C40" s="119">
        <f>Amnt_Deposited!H35</f>
        <v>0</v>
      </c>
      <c r="D40" s="453">
        <f>Dry_Matter_Content!H27</f>
        <v>0.73</v>
      </c>
      <c r="E40" s="319">
        <f>MCF!R39</f>
        <v>0.8</v>
      </c>
      <c r="F40" s="87">
        <f t="shared" si="0"/>
        <v>0</v>
      </c>
      <c r="G40" s="87">
        <f t="shared" si="1"/>
        <v>0</v>
      </c>
      <c r="H40" s="87">
        <f t="shared" si="2"/>
        <v>0</v>
      </c>
      <c r="I40" s="87">
        <f t="shared" si="3"/>
        <v>9.5835588219734411E-2</v>
      </c>
      <c r="J40" s="87">
        <f t="shared" si="4"/>
        <v>6.9488642012409518E-3</v>
      </c>
      <c r="K40" s="120">
        <f t="shared" si="6"/>
        <v>4.6325761341606342E-3</v>
      </c>
      <c r="O40" s="116">
        <f>Amnt_Deposited!B35</f>
        <v>2021</v>
      </c>
      <c r="P40" s="119">
        <f>Amnt_Deposited!H35</f>
        <v>0</v>
      </c>
      <c r="Q40" s="319">
        <f>MCF!R39</f>
        <v>0.8</v>
      </c>
      <c r="R40" s="87">
        <f t="shared" si="5"/>
        <v>0</v>
      </c>
      <c r="S40" s="87">
        <f t="shared" si="7"/>
        <v>0</v>
      </c>
      <c r="T40" s="87">
        <f t="shared" si="8"/>
        <v>0</v>
      </c>
      <c r="U40" s="87">
        <f t="shared" si="9"/>
        <v>0.10502530215861305</v>
      </c>
      <c r="V40" s="87">
        <f t="shared" si="10"/>
        <v>7.6151936451955638E-3</v>
      </c>
      <c r="W40" s="120">
        <f t="shared" si="11"/>
        <v>5.0767957634637092E-3</v>
      </c>
    </row>
    <row r="41" spans="2:23">
      <c r="B41" s="116">
        <f>Amnt_Deposited!B36</f>
        <v>2022</v>
      </c>
      <c r="C41" s="119">
        <f>Amnt_Deposited!H36</f>
        <v>0</v>
      </c>
      <c r="D41" s="453">
        <f>Dry_Matter_Content!H28</f>
        <v>0.73</v>
      </c>
      <c r="E41" s="319">
        <f>MCF!R40</f>
        <v>0.8</v>
      </c>
      <c r="F41" s="87">
        <f t="shared" si="0"/>
        <v>0</v>
      </c>
      <c r="G41" s="87">
        <f t="shared" si="1"/>
        <v>0</v>
      </c>
      <c r="H41" s="87">
        <f t="shared" si="2"/>
        <v>0</v>
      </c>
      <c r="I41" s="87">
        <f t="shared" si="3"/>
        <v>8.9356510183131663E-2</v>
      </c>
      <c r="J41" s="87">
        <f t="shared" si="4"/>
        <v>6.479078036602747E-3</v>
      </c>
      <c r="K41" s="120">
        <f t="shared" si="6"/>
        <v>4.3193853577351646E-3</v>
      </c>
      <c r="O41" s="116">
        <f>Amnt_Deposited!B36</f>
        <v>2022</v>
      </c>
      <c r="P41" s="119">
        <f>Amnt_Deposited!H36</f>
        <v>0</v>
      </c>
      <c r="Q41" s="319">
        <f>MCF!R40</f>
        <v>0.8</v>
      </c>
      <c r="R41" s="87">
        <f t="shared" si="5"/>
        <v>0</v>
      </c>
      <c r="S41" s="87">
        <f t="shared" si="7"/>
        <v>0</v>
      </c>
      <c r="T41" s="87">
        <f t="shared" si="8"/>
        <v>0</v>
      </c>
      <c r="U41" s="87">
        <f t="shared" si="9"/>
        <v>9.7924942666445663E-2</v>
      </c>
      <c r="V41" s="87">
        <f t="shared" si="10"/>
        <v>7.1003594921673933E-3</v>
      </c>
      <c r="W41" s="120">
        <f t="shared" si="11"/>
        <v>4.7335729947782616E-3</v>
      </c>
    </row>
    <row r="42" spans="2:23">
      <c r="B42" s="116">
        <f>Amnt_Deposited!B37</f>
        <v>2023</v>
      </c>
      <c r="C42" s="119">
        <f>Amnt_Deposited!H37</f>
        <v>0</v>
      </c>
      <c r="D42" s="453">
        <f>Dry_Matter_Content!H29</f>
        <v>0.73</v>
      </c>
      <c r="E42" s="319">
        <f>MCF!R41</f>
        <v>0.8</v>
      </c>
      <c r="F42" s="87">
        <f t="shared" si="0"/>
        <v>0</v>
      </c>
      <c r="G42" s="87">
        <f t="shared" si="1"/>
        <v>0</v>
      </c>
      <c r="H42" s="87">
        <f t="shared" si="2"/>
        <v>0</v>
      </c>
      <c r="I42" s="87">
        <f t="shared" si="3"/>
        <v>8.3315457863114895E-2</v>
      </c>
      <c r="J42" s="87">
        <f t="shared" si="4"/>
        <v>6.0410523200167664E-3</v>
      </c>
      <c r="K42" s="120">
        <f t="shared" si="6"/>
        <v>4.0273682133445104E-3</v>
      </c>
      <c r="O42" s="116">
        <f>Amnt_Deposited!B37</f>
        <v>2023</v>
      </c>
      <c r="P42" s="119">
        <f>Amnt_Deposited!H37</f>
        <v>0</v>
      </c>
      <c r="Q42" s="319">
        <f>MCF!R41</f>
        <v>0.8</v>
      </c>
      <c r="R42" s="87">
        <f t="shared" si="5"/>
        <v>0</v>
      </c>
      <c r="S42" s="87">
        <f t="shared" si="7"/>
        <v>0</v>
      </c>
      <c r="T42" s="87">
        <f t="shared" si="8"/>
        <v>0</v>
      </c>
      <c r="U42" s="87">
        <f t="shared" si="9"/>
        <v>9.1304611356838247E-2</v>
      </c>
      <c r="V42" s="87">
        <f t="shared" si="10"/>
        <v>6.6203313096074154E-3</v>
      </c>
      <c r="W42" s="120">
        <f t="shared" si="11"/>
        <v>4.4135542064049436E-3</v>
      </c>
    </row>
    <row r="43" spans="2:23">
      <c r="B43" s="116">
        <f>Amnt_Deposited!B38</f>
        <v>2024</v>
      </c>
      <c r="C43" s="119">
        <f>Amnt_Deposited!H38</f>
        <v>0</v>
      </c>
      <c r="D43" s="453">
        <f>Dry_Matter_Content!H30</f>
        <v>0.73</v>
      </c>
      <c r="E43" s="319">
        <f>MCF!R42</f>
        <v>0.8</v>
      </c>
      <c r="F43" s="87">
        <f t="shared" si="0"/>
        <v>0</v>
      </c>
      <c r="G43" s="87">
        <f t="shared" si="1"/>
        <v>0</v>
      </c>
      <c r="H43" s="87">
        <f t="shared" si="2"/>
        <v>0</v>
      </c>
      <c r="I43" s="87">
        <f t="shared" si="3"/>
        <v>7.7682818014202765E-2</v>
      </c>
      <c r="J43" s="87">
        <f t="shared" si="4"/>
        <v>5.6326398489121238E-3</v>
      </c>
      <c r="K43" s="120">
        <f t="shared" si="6"/>
        <v>3.7550932326080822E-3</v>
      </c>
      <c r="O43" s="116">
        <f>Amnt_Deposited!B38</f>
        <v>2024</v>
      </c>
      <c r="P43" s="119">
        <f>Amnt_Deposited!H38</f>
        <v>0</v>
      </c>
      <c r="Q43" s="319">
        <f>MCF!R42</f>
        <v>0.8</v>
      </c>
      <c r="R43" s="87">
        <f t="shared" si="5"/>
        <v>0</v>
      </c>
      <c r="S43" s="87">
        <f t="shared" si="7"/>
        <v>0</v>
      </c>
      <c r="T43" s="87">
        <f t="shared" si="8"/>
        <v>0</v>
      </c>
      <c r="U43" s="87">
        <f t="shared" si="9"/>
        <v>8.5131855358030445E-2</v>
      </c>
      <c r="V43" s="87">
        <f t="shared" si="10"/>
        <v>6.1727559988078067E-3</v>
      </c>
      <c r="W43" s="120">
        <f t="shared" si="11"/>
        <v>4.1151706658718711E-3</v>
      </c>
    </row>
    <row r="44" spans="2:23">
      <c r="B44" s="116">
        <f>Amnt_Deposited!B39</f>
        <v>2025</v>
      </c>
      <c r="C44" s="119">
        <f>Amnt_Deposited!H39</f>
        <v>0</v>
      </c>
      <c r="D44" s="453">
        <f>Dry_Matter_Content!H31</f>
        <v>0.73</v>
      </c>
      <c r="E44" s="319">
        <f>MCF!R43</f>
        <v>0.8</v>
      </c>
      <c r="F44" s="87">
        <f t="shared" si="0"/>
        <v>0</v>
      </c>
      <c r="G44" s="87">
        <f t="shared" si="1"/>
        <v>0</v>
      </c>
      <c r="H44" s="87">
        <f t="shared" si="2"/>
        <v>0</v>
      </c>
      <c r="I44" s="87">
        <f t="shared" si="3"/>
        <v>7.2430979429321127E-2</v>
      </c>
      <c r="J44" s="87">
        <f t="shared" si="4"/>
        <v>5.2518385848816379E-3</v>
      </c>
      <c r="K44" s="120">
        <f t="shared" si="6"/>
        <v>3.5012257232544253E-3</v>
      </c>
      <c r="O44" s="116">
        <f>Amnt_Deposited!B39</f>
        <v>2025</v>
      </c>
      <c r="P44" s="119">
        <f>Amnt_Deposited!H39</f>
        <v>0</v>
      </c>
      <c r="Q44" s="319">
        <f>MCF!R43</f>
        <v>0.8</v>
      </c>
      <c r="R44" s="87">
        <f t="shared" si="5"/>
        <v>0</v>
      </c>
      <c r="S44" s="87">
        <f t="shared" si="7"/>
        <v>0</v>
      </c>
      <c r="T44" s="87">
        <f t="shared" si="8"/>
        <v>0</v>
      </c>
      <c r="U44" s="87">
        <f t="shared" si="9"/>
        <v>7.9376415812954682E-2</v>
      </c>
      <c r="V44" s="87">
        <f t="shared" si="10"/>
        <v>5.7554395450757686E-3</v>
      </c>
      <c r="W44" s="120">
        <f t="shared" si="11"/>
        <v>3.8369596967171788E-3</v>
      </c>
    </row>
    <row r="45" spans="2:23">
      <c r="B45" s="116">
        <f>Amnt_Deposited!B40</f>
        <v>2026</v>
      </c>
      <c r="C45" s="119">
        <f>Amnt_Deposited!H40</f>
        <v>0</v>
      </c>
      <c r="D45" s="453">
        <f>Dry_Matter_Content!H32</f>
        <v>0.73</v>
      </c>
      <c r="E45" s="319">
        <f>MCF!R44</f>
        <v>0.8</v>
      </c>
      <c r="F45" s="87">
        <f t="shared" si="0"/>
        <v>0</v>
      </c>
      <c r="G45" s="87">
        <f t="shared" si="1"/>
        <v>0</v>
      </c>
      <c r="H45" s="87">
        <f t="shared" si="2"/>
        <v>0</v>
      </c>
      <c r="I45" s="87">
        <f t="shared" si="3"/>
        <v>6.7534197589633888E-2</v>
      </c>
      <c r="J45" s="87">
        <f t="shared" si="4"/>
        <v>4.8967818396872401E-3</v>
      </c>
      <c r="K45" s="120">
        <f t="shared" si="6"/>
        <v>3.2645212264581598E-3</v>
      </c>
      <c r="O45" s="116">
        <f>Amnt_Deposited!B40</f>
        <v>2026</v>
      </c>
      <c r="P45" s="119">
        <f>Amnt_Deposited!H40</f>
        <v>0</v>
      </c>
      <c r="Q45" s="319">
        <f>MCF!R44</f>
        <v>0.8</v>
      </c>
      <c r="R45" s="87">
        <f t="shared" si="5"/>
        <v>0</v>
      </c>
      <c r="S45" s="87">
        <f t="shared" si="7"/>
        <v>0</v>
      </c>
      <c r="T45" s="87">
        <f t="shared" si="8"/>
        <v>0</v>
      </c>
      <c r="U45" s="87">
        <f t="shared" si="9"/>
        <v>7.4010079550283728E-2</v>
      </c>
      <c r="V45" s="87">
        <f t="shared" si="10"/>
        <v>5.3663362626709494E-3</v>
      </c>
      <c r="W45" s="120">
        <f t="shared" si="11"/>
        <v>3.5775575084472993E-3</v>
      </c>
    </row>
    <row r="46" spans="2:23">
      <c r="B46" s="116">
        <f>Amnt_Deposited!B41</f>
        <v>2027</v>
      </c>
      <c r="C46" s="119">
        <f>Amnt_Deposited!H41</f>
        <v>0</v>
      </c>
      <c r="D46" s="453">
        <f>Dry_Matter_Content!H33</f>
        <v>0.73</v>
      </c>
      <c r="E46" s="319">
        <f>MCF!R45</f>
        <v>0.8</v>
      </c>
      <c r="F46" s="87">
        <f t="shared" si="0"/>
        <v>0</v>
      </c>
      <c r="G46" s="87">
        <f t="shared" si="1"/>
        <v>0</v>
      </c>
      <c r="H46" s="87">
        <f t="shared" si="2"/>
        <v>0</v>
      </c>
      <c r="I46" s="87">
        <f t="shared" si="3"/>
        <v>6.2968468464881827E-2</v>
      </c>
      <c r="J46" s="87">
        <f t="shared" si="4"/>
        <v>4.565729124752063E-3</v>
      </c>
      <c r="K46" s="120">
        <f t="shared" si="6"/>
        <v>3.0438194165013752E-3</v>
      </c>
      <c r="O46" s="116">
        <f>Amnt_Deposited!B41</f>
        <v>2027</v>
      </c>
      <c r="P46" s="119">
        <f>Amnt_Deposited!H41</f>
        <v>0</v>
      </c>
      <c r="Q46" s="319">
        <f>MCF!R45</f>
        <v>0.8</v>
      </c>
      <c r="R46" s="87">
        <f t="shared" si="5"/>
        <v>0</v>
      </c>
      <c r="S46" s="87">
        <f t="shared" si="7"/>
        <v>0</v>
      </c>
      <c r="T46" s="87">
        <f t="shared" si="8"/>
        <v>0</v>
      </c>
      <c r="U46" s="87">
        <f t="shared" si="9"/>
        <v>6.9006540783432158E-2</v>
      </c>
      <c r="V46" s="87">
        <f t="shared" si="10"/>
        <v>5.0035387668515762E-3</v>
      </c>
      <c r="W46" s="120">
        <f t="shared" si="11"/>
        <v>3.3356925112343842E-3</v>
      </c>
    </row>
    <row r="47" spans="2:23">
      <c r="B47" s="116">
        <f>Amnt_Deposited!B42</f>
        <v>2028</v>
      </c>
      <c r="C47" s="119">
        <f>Amnt_Deposited!H42</f>
        <v>0</v>
      </c>
      <c r="D47" s="453">
        <f>Dry_Matter_Content!H34</f>
        <v>0.73</v>
      </c>
      <c r="E47" s="319">
        <f>MCF!R46</f>
        <v>0.8</v>
      </c>
      <c r="F47" s="87">
        <f t="shared" si="0"/>
        <v>0</v>
      </c>
      <c r="G47" s="87">
        <f t="shared" si="1"/>
        <v>0</v>
      </c>
      <c r="H47" s="87">
        <f t="shared" si="2"/>
        <v>0</v>
      </c>
      <c r="I47" s="87">
        <f t="shared" si="3"/>
        <v>5.8711410845598409E-2</v>
      </c>
      <c r="J47" s="87">
        <f t="shared" si="4"/>
        <v>4.2570576192834178E-3</v>
      </c>
      <c r="K47" s="120">
        <f t="shared" si="6"/>
        <v>2.8380384128556119E-3</v>
      </c>
      <c r="O47" s="116">
        <f>Amnt_Deposited!B42</f>
        <v>2028</v>
      </c>
      <c r="P47" s="119">
        <f>Amnt_Deposited!H42</f>
        <v>0</v>
      </c>
      <c r="Q47" s="319">
        <f>MCF!R46</f>
        <v>0.8</v>
      </c>
      <c r="R47" s="87">
        <f t="shared" si="5"/>
        <v>0</v>
      </c>
      <c r="S47" s="87">
        <f t="shared" si="7"/>
        <v>0</v>
      </c>
      <c r="T47" s="87">
        <f t="shared" si="8"/>
        <v>0</v>
      </c>
      <c r="U47" s="87">
        <f t="shared" si="9"/>
        <v>6.4341272159559912E-2</v>
      </c>
      <c r="V47" s="87">
        <f t="shared" si="10"/>
        <v>4.6652686238722397E-3</v>
      </c>
      <c r="W47" s="120">
        <f t="shared" si="11"/>
        <v>3.1101790825814931E-3</v>
      </c>
    </row>
    <row r="48" spans="2:23">
      <c r="B48" s="116">
        <f>Amnt_Deposited!B43</f>
        <v>2029</v>
      </c>
      <c r="C48" s="119">
        <f>Amnt_Deposited!H43</f>
        <v>0</v>
      </c>
      <c r="D48" s="453">
        <f>Dry_Matter_Content!H35</f>
        <v>0.73</v>
      </c>
      <c r="E48" s="319">
        <f>MCF!R47</f>
        <v>0.8</v>
      </c>
      <c r="F48" s="87">
        <f t="shared" si="0"/>
        <v>0</v>
      </c>
      <c r="G48" s="87">
        <f t="shared" si="1"/>
        <v>0</v>
      </c>
      <c r="H48" s="87">
        <f t="shared" si="2"/>
        <v>0</v>
      </c>
      <c r="I48" s="87">
        <f t="shared" si="3"/>
        <v>5.4742156630395021E-2</v>
      </c>
      <c r="J48" s="87">
        <f t="shared" si="4"/>
        <v>3.9692542152033874E-3</v>
      </c>
      <c r="K48" s="120">
        <f t="shared" si="6"/>
        <v>2.6461694768022581E-3</v>
      </c>
      <c r="O48" s="116">
        <f>Amnt_Deposited!B43</f>
        <v>2029</v>
      </c>
      <c r="P48" s="119">
        <f>Amnt_Deposited!H43</f>
        <v>0</v>
      </c>
      <c r="Q48" s="319">
        <f>MCF!R47</f>
        <v>0.8</v>
      </c>
      <c r="R48" s="87">
        <f t="shared" si="5"/>
        <v>0</v>
      </c>
      <c r="S48" s="87">
        <f t="shared" si="7"/>
        <v>0</v>
      </c>
      <c r="T48" s="87">
        <f t="shared" si="8"/>
        <v>0</v>
      </c>
      <c r="U48" s="87">
        <f t="shared" si="9"/>
        <v>5.9991404526460311E-2</v>
      </c>
      <c r="V48" s="87">
        <f t="shared" si="10"/>
        <v>4.3498676330996034E-3</v>
      </c>
      <c r="W48" s="120">
        <f t="shared" si="11"/>
        <v>2.8999117553997356E-3</v>
      </c>
    </row>
    <row r="49" spans="2:23">
      <c r="B49" s="116">
        <f>Amnt_Deposited!B44</f>
        <v>2030</v>
      </c>
      <c r="C49" s="119">
        <f>Amnt_Deposited!H44</f>
        <v>0</v>
      </c>
      <c r="D49" s="453">
        <f>Dry_Matter_Content!H36</f>
        <v>0.73</v>
      </c>
      <c r="E49" s="319">
        <f>MCF!R48</f>
        <v>0.8</v>
      </c>
      <c r="F49" s="87">
        <f t="shared" si="0"/>
        <v>0</v>
      </c>
      <c r="G49" s="87">
        <f t="shared" si="1"/>
        <v>0</v>
      </c>
      <c r="H49" s="87">
        <f t="shared" si="2"/>
        <v>0</v>
      </c>
      <c r="I49" s="87">
        <f t="shared" si="3"/>
        <v>5.1041248530503749E-2</v>
      </c>
      <c r="J49" s="87">
        <f t="shared" si="4"/>
        <v>3.7009080998912738E-3</v>
      </c>
      <c r="K49" s="120">
        <f t="shared" si="6"/>
        <v>2.4672720665941824E-3</v>
      </c>
      <c r="O49" s="116">
        <f>Amnt_Deposited!B44</f>
        <v>2030</v>
      </c>
      <c r="P49" s="119">
        <f>Amnt_Deposited!H44</f>
        <v>0</v>
      </c>
      <c r="Q49" s="319">
        <f>MCF!R48</f>
        <v>0.8</v>
      </c>
      <c r="R49" s="87">
        <f t="shared" si="5"/>
        <v>0</v>
      </c>
      <c r="S49" s="87">
        <f t="shared" si="7"/>
        <v>0</v>
      </c>
      <c r="T49" s="87">
        <f t="shared" si="8"/>
        <v>0</v>
      </c>
      <c r="U49" s="87">
        <f t="shared" si="9"/>
        <v>5.5935614827949329E-2</v>
      </c>
      <c r="V49" s="87">
        <f t="shared" si="10"/>
        <v>4.0557896985109858E-3</v>
      </c>
      <c r="W49" s="120">
        <f t="shared" si="11"/>
        <v>2.7038597990073237E-3</v>
      </c>
    </row>
    <row r="50" spans="2:23">
      <c r="B50" s="116">
        <f>Amnt_Deposited!B45</f>
        <v>2031</v>
      </c>
      <c r="C50" s="119">
        <f>Amnt_Deposited!H45</f>
        <v>0</v>
      </c>
      <c r="D50" s="453">
        <f>Dry_Matter_Content!H37</f>
        <v>0.73</v>
      </c>
      <c r="E50" s="319">
        <f>MCF!R49</f>
        <v>0.8</v>
      </c>
      <c r="F50" s="87">
        <f t="shared" si="0"/>
        <v>0</v>
      </c>
      <c r="G50" s="87">
        <f t="shared" si="1"/>
        <v>0</v>
      </c>
      <c r="H50" s="87">
        <f t="shared" si="2"/>
        <v>0</v>
      </c>
      <c r="I50" s="87">
        <f t="shared" si="3"/>
        <v>4.7590544690125261E-2</v>
      </c>
      <c r="J50" s="87">
        <f t="shared" si="4"/>
        <v>3.4507038403784897E-3</v>
      </c>
      <c r="K50" s="120">
        <f t="shared" si="6"/>
        <v>2.300469226918993E-3</v>
      </c>
      <c r="O50" s="116">
        <f>Amnt_Deposited!B45</f>
        <v>2031</v>
      </c>
      <c r="P50" s="119">
        <f>Amnt_Deposited!H45</f>
        <v>0</v>
      </c>
      <c r="Q50" s="319">
        <f>MCF!R49</f>
        <v>0.8</v>
      </c>
      <c r="R50" s="87">
        <f t="shared" si="5"/>
        <v>0</v>
      </c>
      <c r="S50" s="87">
        <f t="shared" si="7"/>
        <v>0</v>
      </c>
      <c r="T50" s="87">
        <f t="shared" si="8"/>
        <v>0</v>
      </c>
      <c r="U50" s="87">
        <f t="shared" si="9"/>
        <v>5.2154021578219474E-2</v>
      </c>
      <c r="V50" s="87">
        <f t="shared" si="10"/>
        <v>3.7815932497298524E-3</v>
      </c>
      <c r="W50" s="120">
        <f t="shared" si="11"/>
        <v>2.5210621664865682E-3</v>
      </c>
    </row>
    <row r="51" spans="2:23">
      <c r="B51" s="116">
        <f>Amnt_Deposited!B46</f>
        <v>2032</v>
      </c>
      <c r="C51" s="119">
        <f>Amnt_Deposited!H46</f>
        <v>0</v>
      </c>
      <c r="D51" s="453">
        <f>Dry_Matter_Content!H38</f>
        <v>0.73</v>
      </c>
      <c r="E51" s="319">
        <f>MCF!R50</f>
        <v>0.8</v>
      </c>
      <c r="F51" s="87">
        <f t="shared" ref="F51:F82" si="12">C51*D51*$K$6*DOCF*E51</f>
        <v>0</v>
      </c>
      <c r="G51" s="87">
        <f t="shared" si="1"/>
        <v>0</v>
      </c>
      <c r="H51" s="87">
        <f t="shared" si="2"/>
        <v>0</v>
      </c>
      <c r="I51" s="87">
        <f t="shared" si="3"/>
        <v>4.4373129755030633E-2</v>
      </c>
      <c r="J51" s="87">
        <f t="shared" si="4"/>
        <v>3.2174149350946255E-3</v>
      </c>
      <c r="K51" s="120">
        <f t="shared" si="6"/>
        <v>2.1449432900630836E-3</v>
      </c>
      <c r="O51" s="116">
        <f>Amnt_Deposited!B46</f>
        <v>2032</v>
      </c>
      <c r="P51" s="119">
        <f>Amnt_Deposited!H46</f>
        <v>0</v>
      </c>
      <c r="Q51" s="319">
        <f>MCF!R50</f>
        <v>0.8</v>
      </c>
      <c r="R51" s="87">
        <f t="shared" ref="R51:R82" si="13">P51*$W$6*DOCF*Q51</f>
        <v>0</v>
      </c>
      <c r="S51" s="87">
        <f t="shared" si="7"/>
        <v>0</v>
      </c>
      <c r="T51" s="87">
        <f t="shared" si="8"/>
        <v>0</v>
      </c>
      <c r="U51" s="87">
        <f t="shared" si="9"/>
        <v>4.8628087402773308E-2</v>
      </c>
      <c r="V51" s="87">
        <f t="shared" si="10"/>
        <v>3.5259341754461655E-3</v>
      </c>
      <c r="W51" s="120">
        <f t="shared" si="11"/>
        <v>2.3506227836307767E-3</v>
      </c>
    </row>
    <row r="52" spans="2:23">
      <c r="B52" s="116">
        <f>Amnt_Deposited!B47</f>
        <v>2033</v>
      </c>
      <c r="C52" s="119">
        <f>Amnt_Deposited!H47</f>
        <v>0</v>
      </c>
      <c r="D52" s="453">
        <f>Dry_Matter_Content!H39</f>
        <v>0.73</v>
      </c>
      <c r="E52" s="319">
        <f>MCF!R51</f>
        <v>0.8</v>
      </c>
      <c r="F52" s="87">
        <f t="shared" si="12"/>
        <v>0</v>
      </c>
      <c r="G52" s="87">
        <f t="shared" si="1"/>
        <v>0</v>
      </c>
      <c r="H52" s="87">
        <f t="shared" si="2"/>
        <v>0</v>
      </c>
      <c r="I52" s="87">
        <f t="shared" si="3"/>
        <v>4.1373231953475309E-2</v>
      </c>
      <c r="J52" s="87">
        <f t="shared" si="4"/>
        <v>2.9998978015553265E-3</v>
      </c>
      <c r="K52" s="120">
        <f t="shared" si="6"/>
        <v>1.9999318677035509E-3</v>
      </c>
      <c r="O52" s="116">
        <f>Amnt_Deposited!B47</f>
        <v>2033</v>
      </c>
      <c r="P52" s="119">
        <f>Amnt_Deposited!H47</f>
        <v>0</v>
      </c>
      <c r="Q52" s="319">
        <f>MCF!R51</f>
        <v>0.8</v>
      </c>
      <c r="R52" s="87">
        <f t="shared" si="13"/>
        <v>0</v>
      </c>
      <c r="S52" s="87">
        <f t="shared" si="7"/>
        <v>0</v>
      </c>
      <c r="T52" s="87">
        <f t="shared" si="8"/>
        <v>0</v>
      </c>
      <c r="U52" s="87">
        <f t="shared" si="9"/>
        <v>4.5340528168192125E-2</v>
      </c>
      <c r="V52" s="87">
        <f t="shared" si="10"/>
        <v>3.2875592345811802E-3</v>
      </c>
      <c r="W52" s="120">
        <f t="shared" si="11"/>
        <v>2.1917061563874532E-3</v>
      </c>
    </row>
    <row r="53" spans="2:23">
      <c r="B53" s="116">
        <f>Amnt_Deposited!B48</f>
        <v>2034</v>
      </c>
      <c r="C53" s="119">
        <f>Amnt_Deposited!H48</f>
        <v>0</v>
      </c>
      <c r="D53" s="453">
        <f>Dry_Matter_Content!H40</f>
        <v>0.73</v>
      </c>
      <c r="E53" s="319">
        <f>MCF!R52</f>
        <v>0.8</v>
      </c>
      <c r="F53" s="87">
        <f t="shared" si="12"/>
        <v>0</v>
      </c>
      <c r="G53" s="87">
        <f t="shared" si="1"/>
        <v>0</v>
      </c>
      <c r="H53" s="87">
        <f t="shared" si="2"/>
        <v>0</v>
      </c>
      <c r="I53" s="87">
        <f t="shared" si="3"/>
        <v>3.8576145782955679E-2</v>
      </c>
      <c r="J53" s="87">
        <f t="shared" si="4"/>
        <v>2.7970861705196273E-3</v>
      </c>
      <c r="K53" s="120">
        <f t="shared" si="6"/>
        <v>1.8647241136797515E-3</v>
      </c>
      <c r="O53" s="116">
        <f>Amnt_Deposited!B48</f>
        <v>2034</v>
      </c>
      <c r="P53" s="119">
        <f>Amnt_Deposited!H48</f>
        <v>0</v>
      </c>
      <c r="Q53" s="319">
        <f>MCF!R52</f>
        <v>0.8</v>
      </c>
      <c r="R53" s="87">
        <f t="shared" si="13"/>
        <v>0</v>
      </c>
      <c r="S53" s="87">
        <f t="shared" si="7"/>
        <v>0</v>
      </c>
      <c r="T53" s="87">
        <f t="shared" si="8"/>
        <v>0</v>
      </c>
      <c r="U53" s="87">
        <f t="shared" si="9"/>
        <v>4.2275228255293902E-2</v>
      </c>
      <c r="V53" s="87">
        <f t="shared" si="10"/>
        <v>3.0652999128982219E-3</v>
      </c>
      <c r="W53" s="120">
        <f t="shared" si="11"/>
        <v>2.0435332752654811E-3</v>
      </c>
    </row>
    <row r="54" spans="2:23">
      <c r="B54" s="116">
        <f>Amnt_Deposited!B49</f>
        <v>2035</v>
      </c>
      <c r="C54" s="119">
        <f>Amnt_Deposited!H49</f>
        <v>0</v>
      </c>
      <c r="D54" s="453">
        <f>Dry_Matter_Content!H41</f>
        <v>0.73</v>
      </c>
      <c r="E54" s="319">
        <f>MCF!R53</f>
        <v>0.8</v>
      </c>
      <c r="F54" s="87">
        <f t="shared" si="12"/>
        <v>0</v>
      </c>
      <c r="G54" s="87">
        <f t="shared" si="1"/>
        <v>0</v>
      </c>
      <c r="H54" s="87">
        <f t="shared" si="2"/>
        <v>0</v>
      </c>
      <c r="I54" s="87">
        <f t="shared" si="3"/>
        <v>3.5968159923818785E-2</v>
      </c>
      <c r="J54" s="87">
        <f t="shared" si="4"/>
        <v>2.6079858591368955E-3</v>
      </c>
      <c r="K54" s="120">
        <f t="shared" si="6"/>
        <v>1.7386572394245969E-3</v>
      </c>
      <c r="O54" s="116">
        <f>Amnt_Deposited!B49</f>
        <v>2035</v>
      </c>
      <c r="P54" s="119">
        <f>Amnt_Deposited!H49</f>
        <v>0</v>
      </c>
      <c r="Q54" s="319">
        <f>MCF!R53</f>
        <v>0.8</v>
      </c>
      <c r="R54" s="87">
        <f t="shared" si="13"/>
        <v>0</v>
      </c>
      <c r="S54" s="87">
        <f t="shared" si="7"/>
        <v>0</v>
      </c>
      <c r="T54" s="87">
        <f t="shared" si="8"/>
        <v>0</v>
      </c>
      <c r="U54" s="87">
        <f t="shared" si="9"/>
        <v>3.9417161560349356E-2</v>
      </c>
      <c r="V54" s="87">
        <f t="shared" si="10"/>
        <v>2.8580666949445436E-3</v>
      </c>
      <c r="W54" s="120">
        <f t="shared" si="11"/>
        <v>1.9053777966296956E-3</v>
      </c>
    </row>
    <row r="55" spans="2:23">
      <c r="B55" s="116">
        <f>Amnt_Deposited!B50</f>
        <v>2036</v>
      </c>
      <c r="C55" s="119">
        <f>Amnt_Deposited!H50</f>
        <v>0</v>
      </c>
      <c r="D55" s="453">
        <f>Dry_Matter_Content!H42</f>
        <v>0.73</v>
      </c>
      <c r="E55" s="319">
        <f>MCF!R54</f>
        <v>0.8</v>
      </c>
      <c r="F55" s="87">
        <f t="shared" si="12"/>
        <v>0</v>
      </c>
      <c r="G55" s="87">
        <f t="shared" si="1"/>
        <v>0</v>
      </c>
      <c r="H55" s="87">
        <f t="shared" si="2"/>
        <v>0</v>
      </c>
      <c r="I55" s="87">
        <f t="shared" si="3"/>
        <v>3.3536490026357439E-2</v>
      </c>
      <c r="J55" s="87">
        <f t="shared" si="4"/>
        <v>2.4316698974613466E-3</v>
      </c>
      <c r="K55" s="120">
        <f t="shared" si="6"/>
        <v>1.6211132649742309E-3</v>
      </c>
      <c r="O55" s="116">
        <f>Amnt_Deposited!B50</f>
        <v>2036</v>
      </c>
      <c r="P55" s="119">
        <f>Amnt_Deposited!H50</f>
        <v>0</v>
      </c>
      <c r="Q55" s="319">
        <f>MCF!R54</f>
        <v>0.8</v>
      </c>
      <c r="R55" s="87">
        <f t="shared" si="13"/>
        <v>0</v>
      </c>
      <c r="S55" s="87">
        <f t="shared" si="7"/>
        <v>0</v>
      </c>
      <c r="T55" s="87">
        <f t="shared" si="8"/>
        <v>0</v>
      </c>
      <c r="U55" s="87">
        <f t="shared" si="9"/>
        <v>3.6752317837104045E-2</v>
      </c>
      <c r="V55" s="87">
        <f t="shared" si="10"/>
        <v>2.6648437232453114E-3</v>
      </c>
      <c r="W55" s="120">
        <f t="shared" si="11"/>
        <v>1.7765624821635408E-3</v>
      </c>
    </row>
    <row r="56" spans="2:23">
      <c r="B56" s="116">
        <f>Amnt_Deposited!B51</f>
        <v>2037</v>
      </c>
      <c r="C56" s="119">
        <f>Amnt_Deposited!H51</f>
        <v>0</v>
      </c>
      <c r="D56" s="453">
        <f>Dry_Matter_Content!H43</f>
        <v>0.73</v>
      </c>
      <c r="E56" s="319">
        <f>MCF!R55</f>
        <v>0.8</v>
      </c>
      <c r="F56" s="87">
        <f t="shared" si="12"/>
        <v>0</v>
      </c>
      <c r="G56" s="87">
        <f t="shared" si="1"/>
        <v>0</v>
      </c>
      <c r="H56" s="87">
        <f t="shared" si="2"/>
        <v>0</v>
      </c>
      <c r="I56" s="87">
        <f t="shared" si="3"/>
        <v>3.1269216041913149E-2</v>
      </c>
      <c r="J56" s="87">
        <f t="shared" si="4"/>
        <v>2.2672739844442906E-3</v>
      </c>
      <c r="K56" s="120">
        <f t="shared" si="6"/>
        <v>1.5115159896295269E-3</v>
      </c>
      <c r="O56" s="116">
        <f>Amnt_Deposited!B51</f>
        <v>2037</v>
      </c>
      <c r="P56" s="119">
        <f>Amnt_Deposited!H51</f>
        <v>0</v>
      </c>
      <c r="Q56" s="319">
        <f>MCF!R55</f>
        <v>0.8</v>
      </c>
      <c r="R56" s="87">
        <f t="shared" si="13"/>
        <v>0</v>
      </c>
      <c r="S56" s="87">
        <f t="shared" si="7"/>
        <v>0</v>
      </c>
      <c r="T56" s="87">
        <f t="shared" si="8"/>
        <v>0</v>
      </c>
      <c r="U56" s="87">
        <f t="shared" si="9"/>
        <v>3.4267634018534956E-2</v>
      </c>
      <c r="V56" s="87">
        <f t="shared" si="10"/>
        <v>2.4846838185690859E-3</v>
      </c>
      <c r="W56" s="120">
        <f t="shared" si="11"/>
        <v>1.6564558790460571E-3</v>
      </c>
    </row>
    <row r="57" spans="2:23">
      <c r="B57" s="116">
        <f>Amnt_Deposited!B52</f>
        <v>2038</v>
      </c>
      <c r="C57" s="119">
        <f>Amnt_Deposited!H52</f>
        <v>0</v>
      </c>
      <c r="D57" s="453">
        <f>Dry_Matter_Content!H44</f>
        <v>0.73</v>
      </c>
      <c r="E57" s="319">
        <f>MCF!R56</f>
        <v>0.8</v>
      </c>
      <c r="F57" s="87">
        <f t="shared" si="12"/>
        <v>0</v>
      </c>
      <c r="G57" s="87">
        <f t="shared" si="1"/>
        <v>0</v>
      </c>
      <c r="H57" s="87">
        <f t="shared" si="2"/>
        <v>0</v>
      </c>
      <c r="I57" s="87">
        <f t="shared" si="3"/>
        <v>2.9155223790783759E-2</v>
      </c>
      <c r="J57" s="87">
        <f t="shared" si="4"/>
        <v>2.1139922511293915E-3</v>
      </c>
      <c r="K57" s="120">
        <f t="shared" si="6"/>
        <v>1.4093281674195943E-3</v>
      </c>
      <c r="O57" s="116">
        <f>Amnt_Deposited!B52</f>
        <v>2038</v>
      </c>
      <c r="P57" s="119">
        <f>Amnt_Deposited!H52</f>
        <v>0</v>
      </c>
      <c r="Q57" s="319">
        <f>MCF!R56</f>
        <v>0.8</v>
      </c>
      <c r="R57" s="87">
        <f t="shared" si="13"/>
        <v>0</v>
      </c>
      <c r="S57" s="87">
        <f t="shared" si="7"/>
        <v>0</v>
      </c>
      <c r="T57" s="87">
        <f t="shared" si="8"/>
        <v>0</v>
      </c>
      <c r="U57" s="87">
        <f t="shared" si="9"/>
        <v>3.1950930181680826E-2</v>
      </c>
      <c r="V57" s="87">
        <f t="shared" si="10"/>
        <v>2.3167038368541279E-3</v>
      </c>
      <c r="W57" s="120">
        <f t="shared" si="11"/>
        <v>1.5444692245694185E-3</v>
      </c>
    </row>
    <row r="58" spans="2:23">
      <c r="B58" s="116">
        <f>Amnt_Deposited!B53</f>
        <v>2039</v>
      </c>
      <c r="C58" s="119">
        <f>Amnt_Deposited!H53</f>
        <v>0</v>
      </c>
      <c r="D58" s="453">
        <f>Dry_Matter_Content!H45</f>
        <v>0.73</v>
      </c>
      <c r="E58" s="319">
        <f>MCF!R57</f>
        <v>0.8</v>
      </c>
      <c r="F58" s="87">
        <f t="shared" si="12"/>
        <v>0</v>
      </c>
      <c r="G58" s="87">
        <f t="shared" si="1"/>
        <v>0</v>
      </c>
      <c r="H58" s="87">
        <f t="shared" si="2"/>
        <v>0</v>
      </c>
      <c r="I58" s="87">
        <f t="shared" si="3"/>
        <v>2.718415048050165E-2</v>
      </c>
      <c r="J58" s="87">
        <f t="shared" si="4"/>
        <v>1.9710733102821084E-3</v>
      </c>
      <c r="K58" s="120">
        <f t="shared" si="6"/>
        <v>1.3140488735214056E-3</v>
      </c>
      <c r="O58" s="116">
        <f>Amnt_Deposited!B53</f>
        <v>2039</v>
      </c>
      <c r="P58" s="119">
        <f>Amnt_Deposited!H53</f>
        <v>0</v>
      </c>
      <c r="Q58" s="319">
        <f>MCF!R57</f>
        <v>0.8</v>
      </c>
      <c r="R58" s="87">
        <f t="shared" si="13"/>
        <v>0</v>
      </c>
      <c r="S58" s="87">
        <f t="shared" si="7"/>
        <v>0</v>
      </c>
      <c r="T58" s="87">
        <f t="shared" si="8"/>
        <v>0</v>
      </c>
      <c r="U58" s="87">
        <f t="shared" si="9"/>
        <v>2.979084984164564E-2</v>
      </c>
      <c r="V58" s="87">
        <f t="shared" si="10"/>
        <v>2.1600803400351866E-3</v>
      </c>
      <c r="W58" s="120">
        <f t="shared" si="11"/>
        <v>1.4400535600234577E-3</v>
      </c>
    </row>
    <row r="59" spans="2:23">
      <c r="B59" s="116">
        <f>Amnt_Deposited!B54</f>
        <v>2040</v>
      </c>
      <c r="C59" s="119">
        <f>Amnt_Deposited!H54</f>
        <v>0</v>
      </c>
      <c r="D59" s="453">
        <f>Dry_Matter_Content!H46</f>
        <v>0.73</v>
      </c>
      <c r="E59" s="319">
        <f>MCF!R58</f>
        <v>0.8</v>
      </c>
      <c r="F59" s="87">
        <f t="shared" si="12"/>
        <v>0</v>
      </c>
      <c r="G59" s="87">
        <f t="shared" si="1"/>
        <v>0</v>
      </c>
      <c r="H59" s="87">
        <f t="shared" si="2"/>
        <v>0</v>
      </c>
      <c r="I59" s="87">
        <f t="shared" si="3"/>
        <v>2.5346333907413053E-2</v>
      </c>
      <c r="J59" s="87">
        <f t="shared" si="4"/>
        <v>1.8378165730885973E-3</v>
      </c>
      <c r="K59" s="120">
        <f t="shared" si="6"/>
        <v>1.2252110487257315E-3</v>
      </c>
      <c r="O59" s="116">
        <f>Amnt_Deposited!B54</f>
        <v>2040</v>
      </c>
      <c r="P59" s="119">
        <f>Amnt_Deposited!H54</f>
        <v>0</v>
      </c>
      <c r="Q59" s="319">
        <f>MCF!R58</f>
        <v>0.8</v>
      </c>
      <c r="R59" s="87">
        <f t="shared" si="13"/>
        <v>0</v>
      </c>
      <c r="S59" s="87">
        <f t="shared" si="7"/>
        <v>0</v>
      </c>
      <c r="T59" s="87">
        <f t="shared" si="8"/>
        <v>0</v>
      </c>
      <c r="U59" s="87">
        <f t="shared" si="9"/>
        <v>2.7776804282096491E-2</v>
      </c>
      <c r="V59" s="87">
        <f t="shared" si="10"/>
        <v>2.0140455595491474E-3</v>
      </c>
      <c r="W59" s="120">
        <f t="shared" si="11"/>
        <v>1.3426970396994316E-3</v>
      </c>
    </row>
    <row r="60" spans="2:23">
      <c r="B60" s="116">
        <f>Amnt_Deposited!B55</f>
        <v>2041</v>
      </c>
      <c r="C60" s="119">
        <f>Amnt_Deposited!H55</f>
        <v>0</v>
      </c>
      <c r="D60" s="453">
        <f>Dry_Matter_Content!H47</f>
        <v>0.73</v>
      </c>
      <c r="E60" s="319">
        <f>MCF!R59</f>
        <v>0.8</v>
      </c>
      <c r="F60" s="87">
        <f t="shared" si="12"/>
        <v>0</v>
      </c>
      <c r="G60" s="87">
        <f t="shared" si="1"/>
        <v>0</v>
      </c>
      <c r="H60" s="87">
        <f t="shared" si="2"/>
        <v>0</v>
      </c>
      <c r="I60" s="87">
        <f t="shared" si="3"/>
        <v>2.3632765092544517E-2</v>
      </c>
      <c r="J60" s="87">
        <f t="shared" si="4"/>
        <v>1.7135688148685367E-3</v>
      </c>
      <c r="K60" s="120">
        <f t="shared" si="6"/>
        <v>1.1423792099123577E-3</v>
      </c>
      <c r="O60" s="116">
        <f>Amnt_Deposited!B55</f>
        <v>2041</v>
      </c>
      <c r="P60" s="119">
        <f>Amnt_Deposited!H55</f>
        <v>0</v>
      </c>
      <c r="Q60" s="319">
        <f>MCF!R59</f>
        <v>0.8</v>
      </c>
      <c r="R60" s="87">
        <f t="shared" si="13"/>
        <v>0</v>
      </c>
      <c r="S60" s="87">
        <f t="shared" si="7"/>
        <v>0</v>
      </c>
      <c r="T60" s="87">
        <f t="shared" si="8"/>
        <v>0</v>
      </c>
      <c r="U60" s="87">
        <f t="shared" si="9"/>
        <v>2.589892064936385E-2</v>
      </c>
      <c r="V60" s="87">
        <f t="shared" si="10"/>
        <v>1.8778836327326424E-3</v>
      </c>
      <c r="W60" s="120">
        <f t="shared" si="11"/>
        <v>1.2519224218217615E-3</v>
      </c>
    </row>
    <row r="61" spans="2:23">
      <c r="B61" s="116">
        <f>Amnt_Deposited!B56</f>
        <v>2042</v>
      </c>
      <c r="C61" s="119">
        <f>Amnt_Deposited!H56</f>
        <v>0</v>
      </c>
      <c r="D61" s="453">
        <f>Dry_Matter_Content!H48</f>
        <v>0.73</v>
      </c>
      <c r="E61" s="319">
        <f>MCF!R60</f>
        <v>0.8</v>
      </c>
      <c r="F61" s="87">
        <f t="shared" si="12"/>
        <v>0</v>
      </c>
      <c r="G61" s="87">
        <f t="shared" si="1"/>
        <v>0</v>
      </c>
      <c r="H61" s="87">
        <f t="shared" si="2"/>
        <v>0</v>
      </c>
      <c r="I61" s="87">
        <f t="shared" si="3"/>
        <v>2.2035044119577532E-2</v>
      </c>
      <c r="J61" s="87">
        <f t="shared" si="4"/>
        <v>1.5977209729669836E-3</v>
      </c>
      <c r="K61" s="120">
        <f t="shared" si="6"/>
        <v>1.0651473153113224E-3</v>
      </c>
      <c r="O61" s="116">
        <f>Amnt_Deposited!B56</f>
        <v>2042</v>
      </c>
      <c r="P61" s="119">
        <f>Amnt_Deposited!H56</f>
        <v>0</v>
      </c>
      <c r="Q61" s="319">
        <f>MCF!R60</f>
        <v>0.8</v>
      </c>
      <c r="R61" s="87">
        <f t="shared" si="13"/>
        <v>0</v>
      </c>
      <c r="S61" s="87">
        <f t="shared" si="7"/>
        <v>0</v>
      </c>
      <c r="T61" s="87">
        <f t="shared" si="8"/>
        <v>0</v>
      </c>
      <c r="U61" s="87">
        <f t="shared" si="9"/>
        <v>2.4147993555701401E-2</v>
      </c>
      <c r="V61" s="87">
        <f t="shared" si="10"/>
        <v>1.7509270936624476E-3</v>
      </c>
      <c r="W61" s="120">
        <f t="shared" si="11"/>
        <v>1.1672847291082982E-3</v>
      </c>
    </row>
    <row r="62" spans="2:23">
      <c r="B62" s="116">
        <f>Amnt_Deposited!B57</f>
        <v>2043</v>
      </c>
      <c r="C62" s="119">
        <f>Amnt_Deposited!H57</f>
        <v>0</v>
      </c>
      <c r="D62" s="453">
        <f>Dry_Matter_Content!H49</f>
        <v>0.73</v>
      </c>
      <c r="E62" s="319">
        <f>MCF!R61</f>
        <v>0.8</v>
      </c>
      <c r="F62" s="87">
        <f t="shared" si="12"/>
        <v>0</v>
      </c>
      <c r="G62" s="87">
        <f t="shared" si="1"/>
        <v>0</v>
      </c>
      <c r="H62" s="87">
        <f t="shared" si="2"/>
        <v>0</v>
      </c>
      <c r="I62" s="87">
        <f t="shared" si="3"/>
        <v>2.0545338958448997E-2</v>
      </c>
      <c r="J62" s="87">
        <f t="shared" si="4"/>
        <v>1.4897051611285341E-3</v>
      </c>
      <c r="K62" s="120">
        <f t="shared" si="6"/>
        <v>9.9313677408568936E-4</v>
      </c>
      <c r="O62" s="116">
        <f>Amnt_Deposited!B57</f>
        <v>2043</v>
      </c>
      <c r="P62" s="119">
        <f>Amnt_Deposited!H57</f>
        <v>0</v>
      </c>
      <c r="Q62" s="319">
        <f>MCF!R61</f>
        <v>0.8</v>
      </c>
      <c r="R62" s="87">
        <f t="shared" si="13"/>
        <v>0</v>
      </c>
      <c r="S62" s="87">
        <f t="shared" si="7"/>
        <v>0</v>
      </c>
      <c r="T62" s="87">
        <f t="shared" si="8"/>
        <v>0</v>
      </c>
      <c r="U62" s="87">
        <f t="shared" si="9"/>
        <v>2.2515439954464651E-2</v>
      </c>
      <c r="V62" s="87">
        <f t="shared" si="10"/>
        <v>1.6325536012367495E-3</v>
      </c>
      <c r="W62" s="120">
        <f t="shared" si="11"/>
        <v>1.0883690674911664E-3</v>
      </c>
    </row>
    <row r="63" spans="2:23">
      <c r="B63" s="116">
        <f>Amnt_Deposited!B58</f>
        <v>2044</v>
      </c>
      <c r="C63" s="119">
        <f>Amnt_Deposited!H58</f>
        <v>0</v>
      </c>
      <c r="D63" s="453">
        <f>Dry_Matter_Content!H50</f>
        <v>0.73</v>
      </c>
      <c r="E63" s="319">
        <f>MCF!R62</f>
        <v>0.8</v>
      </c>
      <c r="F63" s="87">
        <f t="shared" si="12"/>
        <v>0</v>
      </c>
      <c r="G63" s="87">
        <f t="shared" si="1"/>
        <v>0</v>
      </c>
      <c r="H63" s="87">
        <f t="shared" si="2"/>
        <v>0</v>
      </c>
      <c r="I63" s="87">
        <f t="shared" si="3"/>
        <v>1.9156347072730756E-2</v>
      </c>
      <c r="J63" s="87">
        <f t="shared" si="4"/>
        <v>1.3889918857182401E-3</v>
      </c>
      <c r="K63" s="120">
        <f t="shared" si="6"/>
        <v>9.2599459047882672E-4</v>
      </c>
      <c r="O63" s="116">
        <f>Amnt_Deposited!B58</f>
        <v>2044</v>
      </c>
      <c r="P63" s="119">
        <f>Amnt_Deposited!H58</f>
        <v>0</v>
      </c>
      <c r="Q63" s="319">
        <f>MCF!R62</f>
        <v>0.8</v>
      </c>
      <c r="R63" s="87">
        <f t="shared" si="13"/>
        <v>0</v>
      </c>
      <c r="S63" s="87">
        <f t="shared" si="7"/>
        <v>0</v>
      </c>
      <c r="T63" s="87">
        <f t="shared" si="8"/>
        <v>0</v>
      </c>
      <c r="U63" s="87">
        <f t="shared" si="9"/>
        <v>2.0993257066006306E-2</v>
      </c>
      <c r="V63" s="87">
        <f t="shared" si="10"/>
        <v>1.5221828884583451E-3</v>
      </c>
      <c r="W63" s="120">
        <f t="shared" si="11"/>
        <v>1.0147885923055633E-3</v>
      </c>
    </row>
    <row r="64" spans="2:23">
      <c r="B64" s="116">
        <f>Amnt_Deposited!B59</f>
        <v>2045</v>
      </c>
      <c r="C64" s="119">
        <f>Amnt_Deposited!H59</f>
        <v>0</v>
      </c>
      <c r="D64" s="453">
        <f>Dry_Matter_Content!H51</f>
        <v>0.73</v>
      </c>
      <c r="E64" s="319">
        <f>MCF!R63</f>
        <v>0.8</v>
      </c>
      <c r="F64" s="87">
        <f t="shared" si="12"/>
        <v>0</v>
      </c>
      <c r="G64" s="87">
        <f t="shared" si="1"/>
        <v>0</v>
      </c>
      <c r="H64" s="87">
        <f t="shared" si="2"/>
        <v>0</v>
      </c>
      <c r="I64" s="87">
        <f t="shared" si="3"/>
        <v>1.7861259622587559E-2</v>
      </c>
      <c r="J64" s="87">
        <f t="shared" si="4"/>
        <v>1.295087450143196E-3</v>
      </c>
      <c r="K64" s="120">
        <f t="shared" si="6"/>
        <v>8.6339163342879729E-4</v>
      </c>
      <c r="O64" s="116">
        <f>Amnt_Deposited!B59</f>
        <v>2045</v>
      </c>
      <c r="P64" s="119">
        <f>Amnt_Deposited!H59</f>
        <v>0</v>
      </c>
      <c r="Q64" s="319">
        <f>MCF!R63</f>
        <v>0.8</v>
      </c>
      <c r="R64" s="87">
        <f t="shared" si="13"/>
        <v>0</v>
      </c>
      <c r="S64" s="87">
        <f t="shared" si="7"/>
        <v>0</v>
      </c>
      <c r="T64" s="87">
        <f t="shared" si="8"/>
        <v>0</v>
      </c>
      <c r="U64" s="87">
        <f t="shared" si="9"/>
        <v>1.9573983148041159E-2</v>
      </c>
      <c r="V64" s="87">
        <f t="shared" si="10"/>
        <v>1.4192739179651464E-3</v>
      </c>
      <c r="W64" s="120">
        <f t="shared" si="11"/>
        <v>9.4618261197676424E-4</v>
      </c>
    </row>
    <row r="65" spans="2:23">
      <c r="B65" s="116">
        <f>Amnt_Deposited!B60</f>
        <v>2046</v>
      </c>
      <c r="C65" s="119">
        <f>Amnt_Deposited!H60</f>
        <v>0</v>
      </c>
      <c r="D65" s="453">
        <f>Dry_Matter_Content!H52</f>
        <v>0.73</v>
      </c>
      <c r="E65" s="319">
        <f>MCF!R64</f>
        <v>0.8</v>
      </c>
      <c r="F65" s="87">
        <f t="shared" si="12"/>
        <v>0</v>
      </c>
      <c r="G65" s="87">
        <f t="shared" si="1"/>
        <v>0</v>
      </c>
      <c r="H65" s="87">
        <f t="shared" si="2"/>
        <v>0</v>
      </c>
      <c r="I65" s="87">
        <f t="shared" si="3"/>
        <v>1.665372808783629E-2</v>
      </c>
      <c r="J65" s="87">
        <f t="shared" si="4"/>
        <v>1.2075315347512688E-3</v>
      </c>
      <c r="K65" s="120">
        <f t="shared" si="6"/>
        <v>8.0502102316751256E-4</v>
      </c>
      <c r="O65" s="116">
        <f>Amnt_Deposited!B60</f>
        <v>2046</v>
      </c>
      <c r="P65" s="119">
        <f>Amnt_Deposited!H60</f>
        <v>0</v>
      </c>
      <c r="Q65" s="319">
        <f>MCF!R64</f>
        <v>0.8</v>
      </c>
      <c r="R65" s="87">
        <f t="shared" si="13"/>
        <v>0</v>
      </c>
      <c r="S65" s="87">
        <f t="shared" si="7"/>
        <v>0</v>
      </c>
      <c r="T65" s="87">
        <f t="shared" si="8"/>
        <v>0</v>
      </c>
      <c r="U65" s="87">
        <f t="shared" si="9"/>
        <v>1.8250660918176755E-2</v>
      </c>
      <c r="V65" s="87">
        <f t="shared" si="10"/>
        <v>1.3233222298644042E-3</v>
      </c>
      <c r="W65" s="120">
        <f t="shared" si="11"/>
        <v>8.8221481990960276E-4</v>
      </c>
    </row>
    <row r="66" spans="2:23">
      <c r="B66" s="116">
        <f>Amnt_Deposited!B61</f>
        <v>2047</v>
      </c>
      <c r="C66" s="119">
        <f>Amnt_Deposited!H61</f>
        <v>0</v>
      </c>
      <c r="D66" s="453">
        <f>Dry_Matter_Content!H53</f>
        <v>0.73</v>
      </c>
      <c r="E66" s="319">
        <f>MCF!R65</f>
        <v>0.8</v>
      </c>
      <c r="F66" s="87">
        <f t="shared" si="12"/>
        <v>0</v>
      </c>
      <c r="G66" s="87">
        <f t="shared" si="1"/>
        <v>0</v>
      </c>
      <c r="H66" s="87">
        <f t="shared" si="2"/>
        <v>0</v>
      </c>
      <c r="I66" s="87">
        <f t="shared" si="3"/>
        <v>1.5527833147492662E-2</v>
      </c>
      <c r="J66" s="87">
        <f t="shared" si="4"/>
        <v>1.1258949403436279E-3</v>
      </c>
      <c r="K66" s="120">
        <f t="shared" si="6"/>
        <v>7.5059662689575197E-4</v>
      </c>
      <c r="O66" s="116">
        <f>Amnt_Deposited!B61</f>
        <v>2047</v>
      </c>
      <c r="P66" s="119">
        <f>Amnt_Deposited!H61</f>
        <v>0</v>
      </c>
      <c r="Q66" s="319">
        <f>MCF!R65</f>
        <v>0.8</v>
      </c>
      <c r="R66" s="87">
        <f t="shared" si="13"/>
        <v>0</v>
      </c>
      <c r="S66" s="87">
        <f t="shared" si="7"/>
        <v>0</v>
      </c>
      <c r="T66" s="87">
        <f t="shared" si="8"/>
        <v>0</v>
      </c>
      <c r="U66" s="87">
        <f t="shared" si="9"/>
        <v>1.7016803449307026E-2</v>
      </c>
      <c r="V66" s="87">
        <f t="shared" si="10"/>
        <v>1.2338574688697292E-3</v>
      </c>
      <c r="W66" s="120">
        <f t="shared" si="11"/>
        <v>8.2257164591315274E-4</v>
      </c>
    </row>
    <row r="67" spans="2:23">
      <c r="B67" s="116">
        <f>Amnt_Deposited!B62</f>
        <v>2048</v>
      </c>
      <c r="C67" s="119">
        <f>Amnt_Deposited!H62</f>
        <v>0</v>
      </c>
      <c r="D67" s="453">
        <f>Dry_Matter_Content!H54</f>
        <v>0.73</v>
      </c>
      <c r="E67" s="319">
        <f>MCF!R66</f>
        <v>0.8</v>
      </c>
      <c r="F67" s="87">
        <f t="shared" si="12"/>
        <v>0</v>
      </c>
      <c r="G67" s="87">
        <f t="shared" si="1"/>
        <v>0</v>
      </c>
      <c r="H67" s="87">
        <f t="shared" si="2"/>
        <v>0</v>
      </c>
      <c r="I67" s="87">
        <f t="shared" si="3"/>
        <v>1.4478055663252887E-2</v>
      </c>
      <c r="J67" s="87">
        <f t="shared" si="4"/>
        <v>1.049777484239775E-3</v>
      </c>
      <c r="K67" s="120">
        <f t="shared" si="6"/>
        <v>6.9985165615985001E-4</v>
      </c>
      <c r="O67" s="116">
        <f>Amnt_Deposited!B62</f>
        <v>2048</v>
      </c>
      <c r="P67" s="119">
        <f>Amnt_Deposited!H62</f>
        <v>0</v>
      </c>
      <c r="Q67" s="319">
        <f>MCF!R66</f>
        <v>0.8</v>
      </c>
      <c r="R67" s="87">
        <f t="shared" si="13"/>
        <v>0</v>
      </c>
      <c r="S67" s="87">
        <f t="shared" si="7"/>
        <v>0</v>
      </c>
      <c r="T67" s="87">
        <f t="shared" si="8"/>
        <v>0</v>
      </c>
      <c r="U67" s="87">
        <f t="shared" si="9"/>
        <v>1.5866362370688093E-2</v>
      </c>
      <c r="V67" s="87">
        <f t="shared" si="10"/>
        <v>1.1504410786189313E-3</v>
      </c>
      <c r="W67" s="120">
        <f t="shared" si="11"/>
        <v>7.6696071907928756E-4</v>
      </c>
    </row>
    <row r="68" spans="2:23">
      <c r="B68" s="116">
        <f>Amnt_Deposited!B63</f>
        <v>2049</v>
      </c>
      <c r="C68" s="119">
        <f>Amnt_Deposited!H63</f>
        <v>0</v>
      </c>
      <c r="D68" s="453">
        <f>Dry_Matter_Content!H55</f>
        <v>0.73</v>
      </c>
      <c r="E68" s="319">
        <f>MCF!R67</f>
        <v>0.8</v>
      </c>
      <c r="F68" s="87">
        <f t="shared" si="12"/>
        <v>0</v>
      </c>
      <c r="G68" s="87">
        <f t="shared" si="1"/>
        <v>0</v>
      </c>
      <c r="H68" s="87">
        <f t="shared" si="2"/>
        <v>0</v>
      </c>
      <c r="I68" s="87">
        <f t="shared" si="3"/>
        <v>1.3499249624671307E-2</v>
      </c>
      <c r="J68" s="87">
        <f t="shared" si="4"/>
        <v>9.7880603858158024E-4</v>
      </c>
      <c r="K68" s="120">
        <f t="shared" si="6"/>
        <v>6.5253735905438683E-4</v>
      </c>
      <c r="O68" s="116">
        <f>Amnt_Deposited!B63</f>
        <v>2049</v>
      </c>
      <c r="P68" s="119">
        <f>Amnt_Deposited!H63</f>
        <v>0</v>
      </c>
      <c r="Q68" s="319">
        <f>MCF!R67</f>
        <v>0.8</v>
      </c>
      <c r="R68" s="87">
        <f t="shared" si="13"/>
        <v>0</v>
      </c>
      <c r="S68" s="87">
        <f t="shared" si="7"/>
        <v>0</v>
      </c>
      <c r="T68" s="87">
        <f t="shared" si="8"/>
        <v>0</v>
      </c>
      <c r="U68" s="87">
        <f t="shared" si="9"/>
        <v>1.4793698218817869E-2</v>
      </c>
      <c r="V68" s="87">
        <f t="shared" si="10"/>
        <v>1.0726641518702248E-3</v>
      </c>
      <c r="W68" s="120">
        <f t="shared" si="11"/>
        <v>7.1510943458014987E-4</v>
      </c>
    </row>
    <row r="69" spans="2:23">
      <c r="B69" s="116">
        <f>Amnt_Deposited!B64</f>
        <v>2050</v>
      </c>
      <c r="C69" s="119">
        <f>Amnt_Deposited!H64</f>
        <v>0</v>
      </c>
      <c r="D69" s="453">
        <f>Dry_Matter_Content!H56</f>
        <v>0.73</v>
      </c>
      <c r="E69" s="319">
        <f>MCF!R68</f>
        <v>0.8</v>
      </c>
      <c r="F69" s="87">
        <f t="shared" si="12"/>
        <v>0</v>
      </c>
      <c r="G69" s="87">
        <f t="shared" si="1"/>
        <v>0</v>
      </c>
      <c r="H69" s="87">
        <f t="shared" si="2"/>
        <v>0</v>
      </c>
      <c r="I69" s="87">
        <f t="shared" si="3"/>
        <v>1.2586616923411219E-2</v>
      </c>
      <c r="J69" s="87">
        <f t="shared" si="4"/>
        <v>9.1263270126008854E-4</v>
      </c>
      <c r="K69" s="120">
        <f t="shared" si="6"/>
        <v>6.0842180084005903E-4</v>
      </c>
      <c r="O69" s="116">
        <f>Amnt_Deposited!B64</f>
        <v>2050</v>
      </c>
      <c r="P69" s="119">
        <f>Amnt_Deposited!H64</f>
        <v>0</v>
      </c>
      <c r="Q69" s="319">
        <f>MCF!R68</f>
        <v>0.8</v>
      </c>
      <c r="R69" s="87">
        <f t="shared" si="13"/>
        <v>0</v>
      </c>
      <c r="S69" s="87">
        <f t="shared" si="7"/>
        <v>0</v>
      </c>
      <c r="T69" s="87">
        <f t="shared" si="8"/>
        <v>0</v>
      </c>
      <c r="U69" s="87">
        <f t="shared" si="9"/>
        <v>1.3793552792779416E-2</v>
      </c>
      <c r="V69" s="87">
        <f t="shared" si="10"/>
        <v>1.000145426038453E-3</v>
      </c>
      <c r="W69" s="120">
        <f t="shared" si="11"/>
        <v>6.6676361735896865E-4</v>
      </c>
    </row>
    <row r="70" spans="2:23">
      <c r="B70" s="116">
        <f>Amnt_Deposited!B65</f>
        <v>2051</v>
      </c>
      <c r="C70" s="119">
        <f>Amnt_Deposited!H65</f>
        <v>0</v>
      </c>
      <c r="D70" s="453">
        <f>Dry_Matter_Content!H57</f>
        <v>0.73</v>
      </c>
      <c r="E70" s="319">
        <f>MCF!R69</f>
        <v>0.8</v>
      </c>
      <c r="F70" s="87">
        <f t="shared" si="12"/>
        <v>0</v>
      </c>
      <c r="G70" s="87">
        <f t="shared" si="1"/>
        <v>0</v>
      </c>
      <c r="H70" s="87">
        <f t="shared" si="2"/>
        <v>0</v>
      </c>
      <c r="I70" s="87">
        <f t="shared" si="3"/>
        <v>1.1735683832912241E-2</v>
      </c>
      <c r="J70" s="87">
        <f t="shared" si="4"/>
        <v>8.5093309049897811E-4</v>
      </c>
      <c r="K70" s="120">
        <f t="shared" si="6"/>
        <v>5.672887269993187E-4</v>
      </c>
      <c r="O70" s="116">
        <f>Amnt_Deposited!B65</f>
        <v>2051</v>
      </c>
      <c r="P70" s="119">
        <f>Amnt_Deposited!H65</f>
        <v>0</v>
      </c>
      <c r="Q70" s="319">
        <f>MCF!R69</f>
        <v>0.8</v>
      </c>
      <c r="R70" s="87">
        <f t="shared" si="13"/>
        <v>0</v>
      </c>
      <c r="S70" s="87">
        <f t="shared" si="7"/>
        <v>0</v>
      </c>
      <c r="T70" s="87">
        <f t="shared" si="8"/>
        <v>0</v>
      </c>
      <c r="U70" s="87">
        <f t="shared" si="9"/>
        <v>1.286102337853396E-2</v>
      </c>
      <c r="V70" s="87">
        <f t="shared" si="10"/>
        <v>9.325294142454553E-4</v>
      </c>
      <c r="W70" s="120">
        <f t="shared" si="11"/>
        <v>6.2168627616363686E-4</v>
      </c>
    </row>
    <row r="71" spans="2:23">
      <c r="B71" s="116">
        <f>Amnt_Deposited!B66</f>
        <v>2052</v>
      </c>
      <c r="C71" s="119">
        <f>Amnt_Deposited!H66</f>
        <v>0</v>
      </c>
      <c r="D71" s="453">
        <f>Dry_Matter_Content!H58</f>
        <v>0.73</v>
      </c>
      <c r="E71" s="319">
        <f>MCF!R70</f>
        <v>0.8</v>
      </c>
      <c r="F71" s="87">
        <f t="shared" si="12"/>
        <v>0</v>
      </c>
      <c r="G71" s="87">
        <f t="shared" si="1"/>
        <v>0</v>
      </c>
      <c r="H71" s="87">
        <f t="shared" si="2"/>
        <v>0</v>
      </c>
      <c r="I71" s="87">
        <f t="shared" si="3"/>
        <v>1.0942279078177524E-2</v>
      </c>
      <c r="J71" s="87">
        <f t="shared" si="4"/>
        <v>7.9340475473471618E-4</v>
      </c>
      <c r="K71" s="120">
        <f t="shared" si="6"/>
        <v>5.2893650315647745E-4</v>
      </c>
      <c r="O71" s="116">
        <f>Amnt_Deposited!B66</f>
        <v>2052</v>
      </c>
      <c r="P71" s="119">
        <f>Amnt_Deposited!H66</f>
        <v>0</v>
      </c>
      <c r="Q71" s="319">
        <f>MCF!R70</f>
        <v>0.8</v>
      </c>
      <c r="R71" s="87">
        <f t="shared" si="13"/>
        <v>0</v>
      </c>
      <c r="S71" s="87">
        <f t="shared" si="7"/>
        <v>0</v>
      </c>
      <c r="T71" s="87">
        <f t="shared" si="8"/>
        <v>0</v>
      </c>
      <c r="U71" s="87">
        <f t="shared" si="9"/>
        <v>1.1991538715810985E-2</v>
      </c>
      <c r="V71" s="87">
        <f t="shared" si="10"/>
        <v>8.6948466272297655E-4</v>
      </c>
      <c r="W71" s="120">
        <f t="shared" si="11"/>
        <v>5.7965644181531763E-4</v>
      </c>
    </row>
    <row r="72" spans="2:23">
      <c r="B72" s="116">
        <f>Amnt_Deposited!B67</f>
        <v>2053</v>
      </c>
      <c r="C72" s="119">
        <f>Amnt_Deposited!H67</f>
        <v>0</v>
      </c>
      <c r="D72" s="453">
        <f>Dry_Matter_Content!H59</f>
        <v>0.73</v>
      </c>
      <c r="E72" s="319">
        <f>MCF!R71</f>
        <v>0.8</v>
      </c>
      <c r="F72" s="87">
        <f t="shared" si="12"/>
        <v>0</v>
      </c>
      <c r="G72" s="87">
        <f t="shared" si="1"/>
        <v>0</v>
      </c>
      <c r="H72" s="87">
        <f t="shared" si="2"/>
        <v>0</v>
      </c>
      <c r="I72" s="87">
        <f t="shared" si="3"/>
        <v>1.020251338817888E-2</v>
      </c>
      <c r="J72" s="87">
        <f t="shared" si="4"/>
        <v>7.3976568999864403E-4</v>
      </c>
      <c r="K72" s="120">
        <f t="shared" si="6"/>
        <v>4.9317712666576265E-4</v>
      </c>
      <c r="O72" s="116">
        <f>Amnt_Deposited!B67</f>
        <v>2053</v>
      </c>
      <c r="P72" s="119">
        <f>Amnt_Deposited!H67</f>
        <v>0</v>
      </c>
      <c r="Q72" s="319">
        <f>MCF!R71</f>
        <v>0.8</v>
      </c>
      <c r="R72" s="87">
        <f t="shared" si="13"/>
        <v>0</v>
      </c>
      <c r="S72" s="87">
        <f t="shared" si="7"/>
        <v>0</v>
      </c>
      <c r="T72" s="87">
        <f t="shared" si="8"/>
        <v>0</v>
      </c>
      <c r="U72" s="87">
        <f t="shared" si="9"/>
        <v>1.1180836589785073E-2</v>
      </c>
      <c r="V72" s="87">
        <f t="shared" si="10"/>
        <v>8.1070212602591123E-4</v>
      </c>
      <c r="W72" s="120">
        <f t="shared" si="11"/>
        <v>5.4046808401727415E-4</v>
      </c>
    </row>
    <row r="73" spans="2:23">
      <c r="B73" s="116">
        <f>Amnt_Deposited!B68</f>
        <v>2054</v>
      </c>
      <c r="C73" s="119">
        <f>Amnt_Deposited!H68</f>
        <v>0</v>
      </c>
      <c r="D73" s="453">
        <f>Dry_Matter_Content!H60</f>
        <v>0.73</v>
      </c>
      <c r="E73" s="319">
        <f>MCF!R72</f>
        <v>0.8</v>
      </c>
      <c r="F73" s="87">
        <f t="shared" si="12"/>
        <v>0</v>
      </c>
      <c r="G73" s="87">
        <f t="shared" si="1"/>
        <v>0</v>
      </c>
      <c r="H73" s="87">
        <f t="shared" si="2"/>
        <v>0</v>
      </c>
      <c r="I73" s="87">
        <f t="shared" si="3"/>
        <v>9.5127604306456844E-3</v>
      </c>
      <c r="J73" s="87">
        <f t="shared" si="4"/>
        <v>6.8975295753319517E-4</v>
      </c>
      <c r="K73" s="120">
        <f t="shared" si="6"/>
        <v>4.5983530502213008E-4</v>
      </c>
      <c r="O73" s="116">
        <f>Amnt_Deposited!B68</f>
        <v>2054</v>
      </c>
      <c r="P73" s="119">
        <f>Amnt_Deposited!H68</f>
        <v>0</v>
      </c>
      <c r="Q73" s="319">
        <f>MCF!R72</f>
        <v>0.8</v>
      </c>
      <c r="R73" s="87">
        <f t="shared" si="13"/>
        <v>0</v>
      </c>
      <c r="S73" s="87">
        <f t="shared" si="7"/>
        <v>0</v>
      </c>
      <c r="T73" s="87">
        <f t="shared" si="8"/>
        <v>0</v>
      </c>
      <c r="U73" s="87">
        <f t="shared" si="9"/>
        <v>1.04249429376939E-2</v>
      </c>
      <c r="V73" s="87">
        <f t="shared" si="10"/>
        <v>7.5589365209117283E-4</v>
      </c>
      <c r="W73" s="120">
        <f t="shared" si="11"/>
        <v>5.0392910139411518E-4</v>
      </c>
    </row>
    <row r="74" spans="2:23">
      <c r="B74" s="116">
        <f>Amnt_Deposited!B69</f>
        <v>2055</v>
      </c>
      <c r="C74" s="119">
        <f>Amnt_Deposited!H69</f>
        <v>0</v>
      </c>
      <c r="D74" s="453">
        <f>Dry_Matter_Content!H61</f>
        <v>0.73</v>
      </c>
      <c r="E74" s="319">
        <f>MCF!R73</f>
        <v>0.8</v>
      </c>
      <c r="F74" s="87">
        <f t="shared" si="12"/>
        <v>0</v>
      </c>
      <c r="G74" s="87">
        <f t="shared" si="1"/>
        <v>0</v>
      </c>
      <c r="H74" s="87">
        <f t="shared" si="2"/>
        <v>0</v>
      </c>
      <c r="I74" s="87">
        <f t="shared" si="3"/>
        <v>8.8696390357798829E-3</v>
      </c>
      <c r="J74" s="87">
        <f t="shared" si="4"/>
        <v>6.4312139486580116E-4</v>
      </c>
      <c r="K74" s="120">
        <f t="shared" si="6"/>
        <v>4.2874759657720077E-4</v>
      </c>
      <c r="O74" s="116">
        <f>Amnt_Deposited!B69</f>
        <v>2055</v>
      </c>
      <c r="P74" s="119">
        <f>Amnt_Deposited!H69</f>
        <v>0</v>
      </c>
      <c r="Q74" s="319">
        <f>MCF!R73</f>
        <v>0.8</v>
      </c>
      <c r="R74" s="87">
        <f t="shared" si="13"/>
        <v>0</v>
      </c>
      <c r="S74" s="87">
        <f t="shared" si="7"/>
        <v>0</v>
      </c>
      <c r="T74" s="87">
        <f t="shared" si="8"/>
        <v>0</v>
      </c>
      <c r="U74" s="87">
        <f t="shared" si="9"/>
        <v>9.7201523679779529E-3</v>
      </c>
      <c r="V74" s="87">
        <f t="shared" si="10"/>
        <v>7.0479056971594646E-4</v>
      </c>
      <c r="W74" s="120">
        <f t="shared" si="11"/>
        <v>4.6986037981063098E-4</v>
      </c>
    </row>
    <row r="75" spans="2:23">
      <c r="B75" s="116">
        <f>Amnt_Deposited!B70</f>
        <v>2056</v>
      </c>
      <c r="C75" s="119">
        <f>Amnt_Deposited!H70</f>
        <v>0</v>
      </c>
      <c r="D75" s="453">
        <f>Dry_Matter_Content!H62</f>
        <v>0.73</v>
      </c>
      <c r="E75" s="319">
        <f>MCF!R74</f>
        <v>0.8</v>
      </c>
      <c r="F75" s="87">
        <f t="shared" si="12"/>
        <v>0</v>
      </c>
      <c r="G75" s="87">
        <f t="shared" si="1"/>
        <v>0</v>
      </c>
      <c r="H75" s="87">
        <f t="shared" si="2"/>
        <v>0</v>
      </c>
      <c r="I75" s="87">
        <f t="shared" si="3"/>
        <v>8.2699966217577164E-3</v>
      </c>
      <c r="J75" s="87">
        <f t="shared" si="4"/>
        <v>5.9964241402216611E-4</v>
      </c>
      <c r="K75" s="120">
        <f t="shared" si="6"/>
        <v>3.997616093481107E-4</v>
      </c>
      <c r="O75" s="116">
        <f>Amnt_Deposited!B70</f>
        <v>2056</v>
      </c>
      <c r="P75" s="119">
        <f>Amnt_Deposited!H70</f>
        <v>0</v>
      </c>
      <c r="Q75" s="319">
        <f>MCF!R74</f>
        <v>0.8</v>
      </c>
      <c r="R75" s="87">
        <f t="shared" si="13"/>
        <v>0</v>
      </c>
      <c r="S75" s="87">
        <f t="shared" si="7"/>
        <v>0</v>
      </c>
      <c r="T75" s="87">
        <f t="shared" si="8"/>
        <v>0</v>
      </c>
      <c r="U75" s="87">
        <f t="shared" si="9"/>
        <v>9.0630099964468126E-3</v>
      </c>
      <c r="V75" s="87">
        <f t="shared" si="10"/>
        <v>6.571423715311408E-4</v>
      </c>
      <c r="W75" s="120">
        <f t="shared" si="11"/>
        <v>4.3809491435409383E-4</v>
      </c>
    </row>
    <row r="76" spans="2:23">
      <c r="B76" s="116">
        <f>Amnt_Deposited!B71</f>
        <v>2057</v>
      </c>
      <c r="C76" s="119">
        <f>Amnt_Deposited!H71</f>
        <v>0</v>
      </c>
      <c r="D76" s="453">
        <f>Dry_Matter_Content!H63</f>
        <v>0.73</v>
      </c>
      <c r="E76" s="319">
        <f>MCF!R75</f>
        <v>0.8</v>
      </c>
      <c r="F76" s="87">
        <f t="shared" si="12"/>
        <v>0</v>
      </c>
      <c r="G76" s="87">
        <f t="shared" si="1"/>
        <v>0</v>
      </c>
      <c r="H76" s="87">
        <f t="shared" si="2"/>
        <v>0</v>
      </c>
      <c r="I76" s="87">
        <f t="shared" si="3"/>
        <v>7.7108937407699652E-3</v>
      </c>
      <c r="J76" s="87">
        <f t="shared" si="4"/>
        <v>5.5910288098775152E-4</v>
      </c>
      <c r="K76" s="120">
        <f t="shared" si="6"/>
        <v>3.7273525399183431E-4</v>
      </c>
      <c r="O76" s="116">
        <f>Amnt_Deposited!B71</f>
        <v>2057</v>
      </c>
      <c r="P76" s="119">
        <f>Amnt_Deposited!H71</f>
        <v>0</v>
      </c>
      <c r="Q76" s="319">
        <f>MCF!R75</f>
        <v>0.8</v>
      </c>
      <c r="R76" s="87">
        <f t="shared" si="13"/>
        <v>0</v>
      </c>
      <c r="S76" s="87">
        <f t="shared" si="7"/>
        <v>0</v>
      </c>
      <c r="T76" s="87">
        <f t="shared" si="8"/>
        <v>0</v>
      </c>
      <c r="U76" s="87">
        <f t="shared" si="9"/>
        <v>8.4502945104328389E-3</v>
      </c>
      <c r="V76" s="87">
        <f t="shared" si="10"/>
        <v>6.127154860139743E-4</v>
      </c>
      <c r="W76" s="120">
        <f t="shared" si="11"/>
        <v>4.0847699067598283E-4</v>
      </c>
    </row>
    <row r="77" spans="2:23">
      <c r="B77" s="116">
        <f>Amnt_Deposited!B72</f>
        <v>2058</v>
      </c>
      <c r="C77" s="119">
        <f>Amnt_Deposited!H72</f>
        <v>0</v>
      </c>
      <c r="D77" s="453">
        <f>Dry_Matter_Content!H64</f>
        <v>0.73</v>
      </c>
      <c r="E77" s="319">
        <f>MCF!R76</f>
        <v>0.8</v>
      </c>
      <c r="F77" s="87">
        <f t="shared" si="12"/>
        <v>0</v>
      </c>
      <c r="G77" s="87">
        <f t="shared" si="1"/>
        <v>0</v>
      </c>
      <c r="H77" s="87">
        <f t="shared" si="2"/>
        <v>0</v>
      </c>
      <c r="I77" s="87">
        <f t="shared" si="3"/>
        <v>7.1895896698453751E-3</v>
      </c>
      <c r="J77" s="87">
        <f t="shared" si="4"/>
        <v>5.2130407092459052E-4</v>
      </c>
      <c r="K77" s="120">
        <f t="shared" si="6"/>
        <v>3.4753604728306035E-4</v>
      </c>
      <c r="O77" s="116">
        <f>Amnt_Deposited!B72</f>
        <v>2058</v>
      </c>
      <c r="P77" s="119">
        <f>Amnt_Deposited!H72</f>
        <v>0</v>
      </c>
      <c r="Q77" s="319">
        <f>MCF!R76</f>
        <v>0.8</v>
      </c>
      <c r="R77" s="87">
        <f t="shared" si="13"/>
        <v>0</v>
      </c>
      <c r="S77" s="87">
        <f t="shared" si="7"/>
        <v>0</v>
      </c>
      <c r="T77" s="87">
        <f t="shared" si="8"/>
        <v>0</v>
      </c>
      <c r="U77" s="87">
        <f t="shared" si="9"/>
        <v>7.8790023779127406E-3</v>
      </c>
      <c r="V77" s="87">
        <f t="shared" si="10"/>
        <v>5.7129213252009921E-4</v>
      </c>
      <c r="W77" s="120">
        <f t="shared" si="11"/>
        <v>3.8086142168006611E-4</v>
      </c>
    </row>
    <row r="78" spans="2:23">
      <c r="B78" s="116">
        <f>Amnt_Deposited!B73</f>
        <v>2059</v>
      </c>
      <c r="C78" s="119">
        <f>Amnt_Deposited!H73</f>
        <v>0</v>
      </c>
      <c r="D78" s="453">
        <f>Dry_Matter_Content!H65</f>
        <v>0.73</v>
      </c>
      <c r="E78" s="319">
        <f>MCF!R77</f>
        <v>0.8</v>
      </c>
      <c r="F78" s="87">
        <f t="shared" si="12"/>
        <v>0</v>
      </c>
      <c r="G78" s="87">
        <f t="shared" si="1"/>
        <v>0</v>
      </c>
      <c r="H78" s="87">
        <f t="shared" si="2"/>
        <v>0</v>
      </c>
      <c r="I78" s="87">
        <f t="shared" si="3"/>
        <v>6.7035289758234744E-3</v>
      </c>
      <c r="J78" s="87">
        <f t="shared" si="4"/>
        <v>4.860606940219003E-4</v>
      </c>
      <c r="K78" s="120">
        <f t="shared" si="6"/>
        <v>3.2404046268126683E-4</v>
      </c>
      <c r="O78" s="116">
        <f>Amnt_Deposited!B73</f>
        <v>2059</v>
      </c>
      <c r="P78" s="119">
        <f>Amnt_Deposited!H73</f>
        <v>0</v>
      </c>
      <c r="Q78" s="319">
        <f>MCF!R77</f>
        <v>0.8</v>
      </c>
      <c r="R78" s="87">
        <f t="shared" si="13"/>
        <v>0</v>
      </c>
      <c r="S78" s="87">
        <f t="shared" si="7"/>
        <v>0</v>
      </c>
      <c r="T78" s="87">
        <f t="shared" si="8"/>
        <v>0</v>
      </c>
      <c r="U78" s="87">
        <f t="shared" si="9"/>
        <v>7.3463331241901096E-3</v>
      </c>
      <c r="V78" s="87">
        <f t="shared" si="10"/>
        <v>5.3266925372263052E-4</v>
      </c>
      <c r="W78" s="120">
        <f t="shared" si="11"/>
        <v>3.5511283581508699E-4</v>
      </c>
    </row>
    <row r="79" spans="2:23">
      <c r="B79" s="116">
        <f>Amnt_Deposited!B74</f>
        <v>2060</v>
      </c>
      <c r="C79" s="119">
        <f>Amnt_Deposited!H74</f>
        <v>0</v>
      </c>
      <c r="D79" s="453">
        <f>Dry_Matter_Content!H66</f>
        <v>0.73</v>
      </c>
      <c r="E79" s="319">
        <f>MCF!R78</f>
        <v>0.8</v>
      </c>
      <c r="F79" s="87">
        <f t="shared" si="12"/>
        <v>0</v>
      </c>
      <c r="G79" s="87">
        <f t="shared" si="1"/>
        <v>0</v>
      </c>
      <c r="H79" s="87">
        <f t="shared" si="2"/>
        <v>0</v>
      </c>
      <c r="I79" s="87">
        <f t="shared" si="3"/>
        <v>6.2503289886182587E-3</v>
      </c>
      <c r="J79" s="87">
        <f t="shared" si="4"/>
        <v>4.5319998720521595E-4</v>
      </c>
      <c r="K79" s="120">
        <f t="shared" si="6"/>
        <v>3.021333248034773E-4</v>
      </c>
      <c r="O79" s="116">
        <f>Amnt_Deposited!B74</f>
        <v>2060</v>
      </c>
      <c r="P79" s="119">
        <f>Amnt_Deposited!H74</f>
        <v>0</v>
      </c>
      <c r="Q79" s="319">
        <f>MCF!R78</f>
        <v>0.8</v>
      </c>
      <c r="R79" s="87">
        <f t="shared" si="13"/>
        <v>0</v>
      </c>
      <c r="S79" s="87">
        <f t="shared" si="7"/>
        <v>0</v>
      </c>
      <c r="T79" s="87">
        <f t="shared" si="8"/>
        <v>0</v>
      </c>
      <c r="U79" s="87">
        <f t="shared" si="9"/>
        <v>6.849675603965215E-3</v>
      </c>
      <c r="V79" s="87">
        <f t="shared" si="10"/>
        <v>4.9665752022489426E-4</v>
      </c>
      <c r="W79" s="120">
        <f t="shared" si="11"/>
        <v>3.3110501348326284E-4</v>
      </c>
    </row>
    <row r="80" spans="2:23">
      <c r="B80" s="116">
        <f>Amnt_Deposited!B75</f>
        <v>2061</v>
      </c>
      <c r="C80" s="119">
        <f>Amnt_Deposited!H75</f>
        <v>0</v>
      </c>
      <c r="D80" s="453">
        <f>Dry_Matter_Content!H67</f>
        <v>0.73</v>
      </c>
      <c r="E80" s="319">
        <f>MCF!R79</f>
        <v>0.8</v>
      </c>
      <c r="F80" s="87">
        <f t="shared" si="12"/>
        <v>0</v>
      </c>
      <c r="G80" s="87">
        <f t="shared" si="1"/>
        <v>0</v>
      </c>
      <c r="H80" s="87">
        <f t="shared" si="2"/>
        <v>0</v>
      </c>
      <c r="I80" s="87">
        <f t="shared" si="3"/>
        <v>5.8277681213666603E-3</v>
      </c>
      <c r="J80" s="87">
        <f t="shared" si="4"/>
        <v>4.2256086725159817E-4</v>
      </c>
      <c r="K80" s="120">
        <f t="shared" si="6"/>
        <v>2.8170724483439876E-4</v>
      </c>
      <c r="O80" s="116">
        <f>Amnt_Deposited!B75</f>
        <v>2061</v>
      </c>
      <c r="P80" s="119">
        <f>Amnt_Deposited!H75</f>
        <v>0</v>
      </c>
      <c r="Q80" s="319">
        <f>MCF!R79</f>
        <v>0.8</v>
      </c>
      <c r="R80" s="87">
        <f t="shared" si="13"/>
        <v>0</v>
      </c>
      <c r="S80" s="87">
        <f t="shared" si="7"/>
        <v>0</v>
      </c>
      <c r="T80" s="87">
        <f t="shared" si="8"/>
        <v>0</v>
      </c>
      <c r="U80" s="87">
        <f t="shared" si="9"/>
        <v>6.3865952014977101E-3</v>
      </c>
      <c r="V80" s="87">
        <f t="shared" si="10"/>
        <v>4.6308040246750484E-4</v>
      </c>
      <c r="W80" s="120">
        <f t="shared" si="11"/>
        <v>3.0872026831166988E-4</v>
      </c>
    </row>
    <row r="81" spans="2:23">
      <c r="B81" s="116">
        <f>Amnt_Deposited!B76</f>
        <v>2062</v>
      </c>
      <c r="C81" s="119">
        <f>Amnt_Deposited!H76</f>
        <v>0</v>
      </c>
      <c r="D81" s="453">
        <f>Dry_Matter_Content!H68</f>
        <v>0.73</v>
      </c>
      <c r="E81" s="319">
        <f>MCF!R80</f>
        <v>0.8</v>
      </c>
      <c r="F81" s="87">
        <f t="shared" si="12"/>
        <v>0</v>
      </c>
      <c r="G81" s="87">
        <f t="shared" si="1"/>
        <v>0</v>
      </c>
      <c r="H81" s="87">
        <f t="shared" si="2"/>
        <v>0</v>
      </c>
      <c r="I81" s="87">
        <f t="shared" si="3"/>
        <v>5.4337749802071721E-3</v>
      </c>
      <c r="J81" s="87">
        <f t="shared" si="4"/>
        <v>3.9399314115948794E-4</v>
      </c>
      <c r="K81" s="120">
        <f t="shared" si="6"/>
        <v>2.6266209410632526E-4</v>
      </c>
      <c r="O81" s="116">
        <f>Amnt_Deposited!B76</f>
        <v>2062</v>
      </c>
      <c r="P81" s="119">
        <f>Amnt_Deposited!H76</f>
        <v>0</v>
      </c>
      <c r="Q81" s="319">
        <f>MCF!R80</f>
        <v>0.8</v>
      </c>
      <c r="R81" s="87">
        <f t="shared" si="13"/>
        <v>0</v>
      </c>
      <c r="S81" s="87">
        <f t="shared" si="7"/>
        <v>0</v>
      </c>
      <c r="T81" s="87">
        <f t="shared" si="8"/>
        <v>0</v>
      </c>
      <c r="U81" s="87">
        <f t="shared" si="9"/>
        <v>5.9548218961174492E-3</v>
      </c>
      <c r="V81" s="87">
        <f t="shared" si="10"/>
        <v>4.3177330538026078E-4</v>
      </c>
      <c r="W81" s="120">
        <f t="shared" si="11"/>
        <v>2.8784887025350717E-4</v>
      </c>
    </row>
    <row r="82" spans="2:23">
      <c r="B82" s="116">
        <f>Amnt_Deposited!B77</f>
        <v>2063</v>
      </c>
      <c r="C82" s="119">
        <f>Amnt_Deposited!H77</f>
        <v>0</v>
      </c>
      <c r="D82" s="453">
        <f>Dry_Matter_Content!H69</f>
        <v>0.73</v>
      </c>
      <c r="E82" s="319">
        <f>MCF!R81</f>
        <v>0.8</v>
      </c>
      <c r="F82" s="87">
        <f t="shared" si="12"/>
        <v>0</v>
      </c>
      <c r="G82" s="87">
        <f t="shared" si="1"/>
        <v>0</v>
      </c>
      <c r="H82" s="87">
        <f t="shared" si="2"/>
        <v>0</v>
      </c>
      <c r="I82" s="87">
        <f t="shared" si="3"/>
        <v>5.0664182103047333E-3</v>
      </c>
      <c r="J82" s="87">
        <f t="shared" si="4"/>
        <v>3.6735676990243846E-4</v>
      </c>
      <c r="K82" s="120">
        <f t="shared" si="6"/>
        <v>2.4490451326829229E-4</v>
      </c>
      <c r="O82" s="116">
        <f>Amnt_Deposited!B77</f>
        <v>2063</v>
      </c>
      <c r="P82" s="119">
        <f>Amnt_Deposited!H77</f>
        <v>0</v>
      </c>
      <c r="Q82" s="319">
        <f>MCF!R81</f>
        <v>0.8</v>
      </c>
      <c r="R82" s="87">
        <f t="shared" si="13"/>
        <v>0</v>
      </c>
      <c r="S82" s="87">
        <f t="shared" si="7"/>
        <v>0</v>
      </c>
      <c r="T82" s="87">
        <f t="shared" si="8"/>
        <v>0</v>
      </c>
      <c r="U82" s="87">
        <f t="shared" si="9"/>
        <v>5.5522391345805304E-3</v>
      </c>
      <c r="V82" s="87">
        <f t="shared" si="10"/>
        <v>4.0258276153691888E-4</v>
      </c>
      <c r="W82" s="120">
        <f t="shared" si="11"/>
        <v>2.6838850769127925E-4</v>
      </c>
    </row>
    <row r="83" spans="2:23">
      <c r="B83" s="116">
        <f>Amnt_Deposited!B78</f>
        <v>2064</v>
      </c>
      <c r="C83" s="119">
        <f>Amnt_Deposited!H78</f>
        <v>0</v>
      </c>
      <c r="D83" s="453">
        <f>Dry_Matter_Content!H70</f>
        <v>0.73</v>
      </c>
      <c r="E83" s="319">
        <f>MCF!R82</f>
        <v>0.8</v>
      </c>
      <c r="F83" s="87">
        <f t="shared" ref="F83:F99" si="14">C83*D83*$K$6*DOCF*E83</f>
        <v>0</v>
      </c>
      <c r="G83" s="87">
        <f t="shared" ref="G83:G99" si="15">F83*$K$12</f>
        <v>0</v>
      </c>
      <c r="H83" s="87">
        <f t="shared" ref="H83:H99" si="16">F83*(1-$K$12)</f>
        <v>0</v>
      </c>
      <c r="I83" s="87">
        <f t="shared" ref="I83:I99" si="17">G83+I82*$K$10</f>
        <v>4.723897028347088E-3</v>
      </c>
      <c r="J83" s="87">
        <f t="shared" ref="J83:J99" si="18">I82*(1-$K$10)+H83</f>
        <v>3.4252118195764506E-4</v>
      </c>
      <c r="K83" s="120">
        <f t="shared" si="6"/>
        <v>2.2834745463843004E-4</v>
      </c>
      <c r="O83" s="116">
        <f>Amnt_Deposited!B78</f>
        <v>2064</v>
      </c>
      <c r="P83" s="119">
        <f>Amnt_Deposited!H78</f>
        <v>0</v>
      </c>
      <c r="Q83" s="319">
        <f>MCF!R82</f>
        <v>0.8</v>
      </c>
      <c r="R83" s="87">
        <f t="shared" ref="R83:R99" si="19">P83*$W$6*DOCF*Q83</f>
        <v>0</v>
      </c>
      <c r="S83" s="87">
        <f t="shared" si="7"/>
        <v>0</v>
      </c>
      <c r="T83" s="87">
        <f t="shared" si="8"/>
        <v>0</v>
      </c>
      <c r="U83" s="87">
        <f t="shared" si="9"/>
        <v>5.1768734557228373E-3</v>
      </c>
      <c r="V83" s="87">
        <f t="shared" si="10"/>
        <v>3.7536567885769321E-4</v>
      </c>
      <c r="W83" s="120">
        <f t="shared" si="11"/>
        <v>2.5024378590512877E-4</v>
      </c>
    </row>
    <row r="84" spans="2:23">
      <c r="B84" s="116">
        <f>Amnt_Deposited!B79</f>
        <v>2065</v>
      </c>
      <c r="C84" s="119">
        <f>Amnt_Deposited!H79</f>
        <v>0</v>
      </c>
      <c r="D84" s="453">
        <f>Dry_Matter_Content!H71</f>
        <v>0.73</v>
      </c>
      <c r="E84" s="319">
        <f>MCF!R83</f>
        <v>0.8</v>
      </c>
      <c r="F84" s="87">
        <f t="shared" si="14"/>
        <v>0</v>
      </c>
      <c r="G84" s="87">
        <f t="shared" si="15"/>
        <v>0</v>
      </c>
      <c r="H84" s="87">
        <f t="shared" si="16"/>
        <v>0</v>
      </c>
      <c r="I84" s="87">
        <f t="shared" si="17"/>
        <v>4.4045323951028992E-3</v>
      </c>
      <c r="J84" s="87">
        <f t="shared" si="18"/>
        <v>3.1936463324418901E-4</v>
      </c>
      <c r="K84" s="120">
        <f t="shared" si="6"/>
        <v>2.12909755496126E-4</v>
      </c>
      <c r="O84" s="116">
        <f>Amnt_Deposited!B79</f>
        <v>2065</v>
      </c>
      <c r="P84" s="119">
        <f>Amnt_Deposited!H79</f>
        <v>0</v>
      </c>
      <c r="Q84" s="319">
        <f>MCF!R83</f>
        <v>0.8</v>
      </c>
      <c r="R84" s="87">
        <f t="shared" si="19"/>
        <v>0</v>
      </c>
      <c r="S84" s="87">
        <f t="shared" si="7"/>
        <v>0</v>
      </c>
      <c r="T84" s="87">
        <f t="shared" si="8"/>
        <v>0</v>
      </c>
      <c r="U84" s="87">
        <f t="shared" si="9"/>
        <v>4.8268848165511236E-3</v>
      </c>
      <c r="V84" s="87">
        <f t="shared" si="10"/>
        <v>3.4998863917171406E-4</v>
      </c>
      <c r="W84" s="120">
        <f t="shared" si="11"/>
        <v>2.3332575944780937E-4</v>
      </c>
    </row>
    <row r="85" spans="2:23">
      <c r="B85" s="116">
        <f>Amnt_Deposited!B80</f>
        <v>2066</v>
      </c>
      <c r="C85" s="119">
        <f>Amnt_Deposited!H80</f>
        <v>0</v>
      </c>
      <c r="D85" s="453">
        <f>Dry_Matter_Content!H72</f>
        <v>0.73</v>
      </c>
      <c r="E85" s="319">
        <f>MCF!R84</f>
        <v>0.8</v>
      </c>
      <c r="F85" s="87">
        <f t="shared" si="14"/>
        <v>0</v>
      </c>
      <c r="G85" s="87">
        <f t="shared" si="15"/>
        <v>0</v>
      </c>
      <c r="H85" s="87">
        <f t="shared" si="16"/>
        <v>0</v>
      </c>
      <c r="I85" s="87">
        <f t="shared" si="17"/>
        <v>4.1067587847694875E-3</v>
      </c>
      <c r="J85" s="87">
        <f t="shared" si="18"/>
        <v>2.9777361033341161E-4</v>
      </c>
      <c r="K85" s="120">
        <f t="shared" ref="K85:K99" si="20">J85*CH4_fraction*conv</f>
        <v>1.9851574022227439E-4</v>
      </c>
      <c r="O85" s="116">
        <f>Amnt_Deposited!B80</f>
        <v>2066</v>
      </c>
      <c r="P85" s="119">
        <f>Amnt_Deposited!H80</f>
        <v>0</v>
      </c>
      <c r="Q85" s="319">
        <f>MCF!R84</f>
        <v>0.8</v>
      </c>
      <c r="R85" s="87">
        <f t="shared" si="19"/>
        <v>0</v>
      </c>
      <c r="S85" s="87">
        <f t="shared" ref="S85:S98" si="21">R85*$W$12</f>
        <v>0</v>
      </c>
      <c r="T85" s="87">
        <f t="shared" ref="T85:T98" si="22">R85*(1-$W$12)</f>
        <v>0</v>
      </c>
      <c r="U85" s="87">
        <f t="shared" ref="U85:U98" si="23">S85+U84*$W$10</f>
        <v>4.5005575723501244E-3</v>
      </c>
      <c r="V85" s="87">
        <f t="shared" ref="V85:V98" si="24">U84*(1-$W$10)+T85</f>
        <v>3.2632724420099911E-4</v>
      </c>
      <c r="W85" s="120">
        <f t="shared" ref="W85:W99" si="25">V85*CH4_fraction*conv</f>
        <v>2.1755149613399941E-4</v>
      </c>
    </row>
    <row r="86" spans="2:23">
      <c r="B86" s="116">
        <f>Amnt_Deposited!B81</f>
        <v>2067</v>
      </c>
      <c r="C86" s="119">
        <f>Amnt_Deposited!H81</f>
        <v>0</v>
      </c>
      <c r="D86" s="453">
        <f>Dry_Matter_Content!H73</f>
        <v>0.73</v>
      </c>
      <c r="E86" s="319">
        <f>MCF!R85</f>
        <v>0.8</v>
      </c>
      <c r="F86" s="87">
        <f t="shared" si="14"/>
        <v>0</v>
      </c>
      <c r="G86" s="87">
        <f t="shared" si="15"/>
        <v>0</v>
      </c>
      <c r="H86" s="87">
        <f t="shared" si="16"/>
        <v>0</v>
      </c>
      <c r="I86" s="87">
        <f t="shared" si="17"/>
        <v>3.8291165107635326E-3</v>
      </c>
      <c r="J86" s="87">
        <f t="shared" si="18"/>
        <v>2.7764227400595501E-4</v>
      </c>
      <c r="K86" s="120">
        <f t="shared" si="20"/>
        <v>1.8509484933730333E-4</v>
      </c>
      <c r="O86" s="116">
        <f>Amnt_Deposited!B81</f>
        <v>2067</v>
      </c>
      <c r="P86" s="119">
        <f>Amnt_Deposited!H81</f>
        <v>0</v>
      </c>
      <c r="Q86" s="319">
        <f>MCF!R85</f>
        <v>0.8</v>
      </c>
      <c r="R86" s="87">
        <f t="shared" si="19"/>
        <v>0</v>
      </c>
      <c r="S86" s="87">
        <f t="shared" si="21"/>
        <v>0</v>
      </c>
      <c r="T86" s="87">
        <f t="shared" si="22"/>
        <v>0</v>
      </c>
      <c r="U86" s="87">
        <f t="shared" si="23"/>
        <v>4.1962920665901734E-3</v>
      </c>
      <c r="V86" s="87">
        <f t="shared" si="24"/>
        <v>3.0426550575995075E-4</v>
      </c>
      <c r="W86" s="120">
        <f t="shared" si="25"/>
        <v>2.0284367050663383E-4</v>
      </c>
    </row>
    <row r="87" spans="2:23">
      <c r="B87" s="116">
        <f>Amnt_Deposited!B82</f>
        <v>2068</v>
      </c>
      <c r="C87" s="119">
        <f>Amnt_Deposited!H82</f>
        <v>0</v>
      </c>
      <c r="D87" s="453">
        <f>Dry_Matter_Content!H74</f>
        <v>0.73</v>
      </c>
      <c r="E87" s="319">
        <f>MCF!R86</f>
        <v>0.8</v>
      </c>
      <c r="F87" s="87">
        <f t="shared" si="14"/>
        <v>0</v>
      </c>
      <c r="G87" s="87">
        <f t="shared" si="15"/>
        <v>0</v>
      </c>
      <c r="H87" s="87">
        <f t="shared" si="16"/>
        <v>0</v>
      </c>
      <c r="I87" s="87">
        <f t="shared" si="17"/>
        <v>3.5702445703357463E-3</v>
      </c>
      <c r="J87" s="87">
        <f t="shared" si="18"/>
        <v>2.5887194042778635E-4</v>
      </c>
      <c r="K87" s="120">
        <f t="shared" si="20"/>
        <v>1.7258129361852424E-4</v>
      </c>
      <c r="O87" s="116">
        <f>Amnt_Deposited!B82</f>
        <v>2068</v>
      </c>
      <c r="P87" s="119">
        <f>Amnt_Deposited!H82</f>
        <v>0</v>
      </c>
      <c r="Q87" s="319">
        <f>MCF!R86</f>
        <v>0.8</v>
      </c>
      <c r="R87" s="87">
        <f t="shared" si="19"/>
        <v>0</v>
      </c>
      <c r="S87" s="87">
        <f t="shared" si="21"/>
        <v>0</v>
      </c>
      <c r="T87" s="87">
        <f t="shared" si="22"/>
        <v>0</v>
      </c>
      <c r="U87" s="87">
        <f t="shared" si="23"/>
        <v>3.9125967894090372E-3</v>
      </c>
      <c r="V87" s="87">
        <f t="shared" si="24"/>
        <v>2.8369527718113578E-4</v>
      </c>
      <c r="W87" s="120">
        <f t="shared" si="25"/>
        <v>1.8913018478742383E-4</v>
      </c>
    </row>
    <row r="88" spans="2:23">
      <c r="B88" s="116">
        <f>Amnt_Deposited!B83</f>
        <v>2069</v>
      </c>
      <c r="C88" s="119">
        <f>Amnt_Deposited!H83</f>
        <v>0</v>
      </c>
      <c r="D88" s="453">
        <f>Dry_Matter_Content!H75</f>
        <v>0.73</v>
      </c>
      <c r="E88" s="319">
        <f>MCF!R87</f>
        <v>0.8</v>
      </c>
      <c r="F88" s="87">
        <f t="shared" si="14"/>
        <v>0</v>
      </c>
      <c r="G88" s="87">
        <f t="shared" si="15"/>
        <v>0</v>
      </c>
      <c r="H88" s="87">
        <f t="shared" si="16"/>
        <v>0</v>
      </c>
      <c r="I88" s="87">
        <f t="shared" si="17"/>
        <v>3.3288739729338177E-3</v>
      </c>
      <c r="J88" s="87">
        <f t="shared" si="18"/>
        <v>2.4137059740192879E-4</v>
      </c>
      <c r="K88" s="120">
        <f t="shared" si="20"/>
        <v>1.6091373160128584E-4</v>
      </c>
      <c r="O88" s="116">
        <f>Amnt_Deposited!B83</f>
        <v>2069</v>
      </c>
      <c r="P88" s="119">
        <f>Amnt_Deposited!H83</f>
        <v>0</v>
      </c>
      <c r="Q88" s="319">
        <f>MCF!R87</f>
        <v>0.8</v>
      </c>
      <c r="R88" s="87">
        <f t="shared" si="19"/>
        <v>0</v>
      </c>
      <c r="S88" s="87">
        <f t="shared" si="21"/>
        <v>0</v>
      </c>
      <c r="T88" s="87">
        <f t="shared" si="22"/>
        <v>0</v>
      </c>
      <c r="U88" s="87">
        <f t="shared" si="23"/>
        <v>3.6480810662288415E-3</v>
      </c>
      <c r="V88" s="87">
        <f t="shared" si="24"/>
        <v>2.6451572318019595E-4</v>
      </c>
      <c r="W88" s="120">
        <f t="shared" si="25"/>
        <v>1.7634381545346395E-4</v>
      </c>
    </row>
    <row r="89" spans="2:23">
      <c r="B89" s="116">
        <f>Amnt_Deposited!B84</f>
        <v>2070</v>
      </c>
      <c r="C89" s="119">
        <f>Amnt_Deposited!H84</f>
        <v>0</v>
      </c>
      <c r="D89" s="453">
        <f>Dry_Matter_Content!H76</f>
        <v>0.73</v>
      </c>
      <c r="E89" s="319">
        <f>MCF!R88</f>
        <v>0.8</v>
      </c>
      <c r="F89" s="87">
        <f t="shared" si="14"/>
        <v>0</v>
      </c>
      <c r="G89" s="87">
        <f t="shared" si="15"/>
        <v>0</v>
      </c>
      <c r="H89" s="87">
        <f t="shared" si="16"/>
        <v>0</v>
      </c>
      <c r="I89" s="87">
        <f t="shared" si="17"/>
        <v>3.1038215196092524E-3</v>
      </c>
      <c r="J89" s="87">
        <f t="shared" si="18"/>
        <v>2.2505245332456514E-4</v>
      </c>
      <c r="K89" s="120">
        <f t="shared" si="20"/>
        <v>1.5003496888304341E-4</v>
      </c>
      <c r="O89" s="116">
        <f>Amnt_Deposited!B84</f>
        <v>2070</v>
      </c>
      <c r="P89" s="119">
        <f>Amnt_Deposited!H84</f>
        <v>0</v>
      </c>
      <c r="Q89" s="319">
        <f>MCF!R88</f>
        <v>0.8</v>
      </c>
      <c r="R89" s="87">
        <f t="shared" si="19"/>
        <v>0</v>
      </c>
      <c r="S89" s="87">
        <f t="shared" si="21"/>
        <v>0</v>
      </c>
      <c r="T89" s="87">
        <f t="shared" si="22"/>
        <v>0</v>
      </c>
      <c r="U89" s="87">
        <f t="shared" si="23"/>
        <v>3.4014482406676742E-3</v>
      </c>
      <c r="V89" s="87">
        <f t="shared" si="24"/>
        <v>2.4663282556116733E-4</v>
      </c>
      <c r="W89" s="120">
        <f t="shared" si="25"/>
        <v>1.6442188370744488E-4</v>
      </c>
    </row>
    <row r="90" spans="2:23">
      <c r="B90" s="116">
        <f>Amnt_Deposited!B85</f>
        <v>2071</v>
      </c>
      <c r="C90" s="119">
        <f>Amnt_Deposited!H85</f>
        <v>0</v>
      </c>
      <c r="D90" s="453">
        <f>Dry_Matter_Content!H77</f>
        <v>0.73</v>
      </c>
      <c r="E90" s="319">
        <f>MCF!R89</f>
        <v>0.8</v>
      </c>
      <c r="F90" s="87">
        <f t="shared" si="14"/>
        <v>0</v>
      </c>
      <c r="G90" s="87">
        <f t="shared" si="15"/>
        <v>0</v>
      </c>
      <c r="H90" s="87">
        <f t="shared" si="16"/>
        <v>0</v>
      </c>
      <c r="I90" s="87">
        <f t="shared" si="17"/>
        <v>2.8939840029747559E-3</v>
      </c>
      <c r="J90" s="87">
        <f t="shared" si="18"/>
        <v>2.0983751663449643E-4</v>
      </c>
      <c r="K90" s="120">
        <f t="shared" si="20"/>
        <v>1.3989167775633094E-4</v>
      </c>
      <c r="O90" s="116">
        <f>Amnt_Deposited!B85</f>
        <v>2071</v>
      </c>
      <c r="P90" s="119">
        <f>Amnt_Deposited!H85</f>
        <v>0</v>
      </c>
      <c r="Q90" s="319">
        <f>MCF!R89</f>
        <v>0.8</v>
      </c>
      <c r="R90" s="87">
        <f t="shared" si="19"/>
        <v>0</v>
      </c>
      <c r="S90" s="87">
        <f t="shared" si="21"/>
        <v>0</v>
      </c>
      <c r="T90" s="87">
        <f t="shared" si="22"/>
        <v>0</v>
      </c>
      <c r="U90" s="87">
        <f t="shared" si="23"/>
        <v>3.1714893183284998E-3</v>
      </c>
      <c r="V90" s="87">
        <f t="shared" si="24"/>
        <v>2.2995892233917419E-4</v>
      </c>
      <c r="W90" s="120">
        <f t="shared" si="25"/>
        <v>1.5330594822611613E-4</v>
      </c>
    </row>
    <row r="91" spans="2:23">
      <c r="B91" s="116">
        <f>Amnt_Deposited!B86</f>
        <v>2072</v>
      </c>
      <c r="C91" s="119">
        <f>Amnt_Deposited!H86</f>
        <v>0</v>
      </c>
      <c r="D91" s="453">
        <f>Dry_Matter_Content!H78</f>
        <v>0.73</v>
      </c>
      <c r="E91" s="319">
        <f>MCF!R90</f>
        <v>0.8</v>
      </c>
      <c r="F91" s="87">
        <f t="shared" si="14"/>
        <v>0</v>
      </c>
      <c r="G91" s="87">
        <f t="shared" si="15"/>
        <v>0</v>
      </c>
      <c r="H91" s="87">
        <f t="shared" si="16"/>
        <v>0</v>
      </c>
      <c r="I91" s="87">
        <f t="shared" si="17"/>
        <v>2.6983327992803397E-3</v>
      </c>
      <c r="J91" s="87">
        <f t="shared" si="18"/>
        <v>1.9565120369441607E-4</v>
      </c>
      <c r="K91" s="120">
        <f t="shared" si="20"/>
        <v>1.3043413579627737E-4</v>
      </c>
      <c r="O91" s="116">
        <f>Amnt_Deposited!B86</f>
        <v>2072</v>
      </c>
      <c r="P91" s="119">
        <f>Amnt_Deposited!H86</f>
        <v>0</v>
      </c>
      <c r="Q91" s="319">
        <f>MCF!R90</f>
        <v>0.8</v>
      </c>
      <c r="R91" s="87">
        <f t="shared" si="19"/>
        <v>0</v>
      </c>
      <c r="S91" s="87">
        <f t="shared" si="21"/>
        <v>0</v>
      </c>
      <c r="T91" s="87">
        <f t="shared" si="22"/>
        <v>0</v>
      </c>
      <c r="U91" s="87">
        <f t="shared" si="23"/>
        <v>2.9570770403072218E-3</v>
      </c>
      <c r="V91" s="87">
        <f t="shared" si="24"/>
        <v>2.1441227802127791E-4</v>
      </c>
      <c r="W91" s="120">
        <f t="shared" si="25"/>
        <v>1.4294151868085193E-4</v>
      </c>
    </row>
    <row r="92" spans="2:23">
      <c r="B92" s="116">
        <f>Amnt_Deposited!B87</f>
        <v>2073</v>
      </c>
      <c r="C92" s="119">
        <f>Amnt_Deposited!H87</f>
        <v>0</v>
      </c>
      <c r="D92" s="453">
        <f>Dry_Matter_Content!H79</f>
        <v>0.73</v>
      </c>
      <c r="E92" s="319">
        <f>MCF!R91</f>
        <v>0.8</v>
      </c>
      <c r="F92" s="87">
        <f t="shared" si="14"/>
        <v>0</v>
      </c>
      <c r="G92" s="87">
        <f t="shared" si="15"/>
        <v>0</v>
      </c>
      <c r="H92" s="87">
        <f t="shared" si="16"/>
        <v>0</v>
      </c>
      <c r="I92" s="87">
        <f t="shared" si="17"/>
        <v>2.5159088260985063E-3</v>
      </c>
      <c r="J92" s="87">
        <f t="shared" si="18"/>
        <v>1.8242397318183338E-4</v>
      </c>
      <c r="K92" s="120">
        <f t="shared" si="20"/>
        <v>1.2161598212122225E-4</v>
      </c>
      <c r="O92" s="116">
        <f>Amnt_Deposited!B87</f>
        <v>2073</v>
      </c>
      <c r="P92" s="119">
        <f>Amnt_Deposited!H87</f>
        <v>0</v>
      </c>
      <c r="Q92" s="319">
        <f>MCF!R91</f>
        <v>0.8</v>
      </c>
      <c r="R92" s="87">
        <f t="shared" si="19"/>
        <v>0</v>
      </c>
      <c r="S92" s="87">
        <f t="shared" si="21"/>
        <v>0</v>
      </c>
      <c r="T92" s="87">
        <f t="shared" si="22"/>
        <v>0</v>
      </c>
      <c r="U92" s="87">
        <f t="shared" si="23"/>
        <v>2.7571603573682264E-3</v>
      </c>
      <c r="V92" s="87">
        <f t="shared" si="24"/>
        <v>1.9991668293899549E-4</v>
      </c>
      <c r="W92" s="120">
        <f t="shared" si="25"/>
        <v>1.3327778862599698E-4</v>
      </c>
    </row>
    <row r="93" spans="2:23">
      <c r="B93" s="116">
        <f>Amnt_Deposited!B88</f>
        <v>2074</v>
      </c>
      <c r="C93" s="119">
        <f>Amnt_Deposited!H88</f>
        <v>0</v>
      </c>
      <c r="D93" s="453">
        <f>Dry_Matter_Content!H80</f>
        <v>0.73</v>
      </c>
      <c r="E93" s="319">
        <f>MCF!R92</f>
        <v>0.8</v>
      </c>
      <c r="F93" s="87">
        <f t="shared" si="14"/>
        <v>0</v>
      </c>
      <c r="G93" s="87">
        <f t="shared" si="15"/>
        <v>0</v>
      </c>
      <c r="H93" s="87">
        <f t="shared" si="16"/>
        <v>0</v>
      </c>
      <c r="I93" s="87">
        <f t="shared" si="17"/>
        <v>2.3458178409010762E-3</v>
      </c>
      <c r="J93" s="87">
        <f t="shared" si="18"/>
        <v>1.700909851974299E-4</v>
      </c>
      <c r="K93" s="120">
        <f t="shared" si="20"/>
        <v>1.1339399013161993E-4</v>
      </c>
      <c r="O93" s="116">
        <f>Amnt_Deposited!B88</f>
        <v>2074</v>
      </c>
      <c r="P93" s="119">
        <f>Amnt_Deposited!H88</f>
        <v>0</v>
      </c>
      <c r="Q93" s="319">
        <f>MCF!R92</f>
        <v>0.8</v>
      </c>
      <c r="R93" s="87">
        <f t="shared" si="19"/>
        <v>0</v>
      </c>
      <c r="S93" s="87">
        <f t="shared" si="21"/>
        <v>0</v>
      </c>
      <c r="T93" s="87">
        <f t="shared" si="22"/>
        <v>0</v>
      </c>
      <c r="U93" s="87">
        <f t="shared" si="23"/>
        <v>2.5707592776998099E-3</v>
      </c>
      <c r="V93" s="87">
        <f t="shared" si="24"/>
        <v>1.8640107966841633E-4</v>
      </c>
      <c r="W93" s="120">
        <f t="shared" si="25"/>
        <v>1.2426738644561087E-4</v>
      </c>
    </row>
    <row r="94" spans="2:23">
      <c r="B94" s="116">
        <f>Amnt_Deposited!B89</f>
        <v>2075</v>
      </c>
      <c r="C94" s="119">
        <f>Amnt_Deposited!H89</f>
        <v>0</v>
      </c>
      <c r="D94" s="453">
        <f>Dry_Matter_Content!H81</f>
        <v>0.73</v>
      </c>
      <c r="E94" s="319">
        <f>MCF!R93</f>
        <v>0.8</v>
      </c>
      <c r="F94" s="87">
        <f t="shared" si="14"/>
        <v>0</v>
      </c>
      <c r="G94" s="87">
        <f t="shared" si="15"/>
        <v>0</v>
      </c>
      <c r="H94" s="87">
        <f t="shared" si="16"/>
        <v>0</v>
      </c>
      <c r="I94" s="87">
        <f t="shared" si="17"/>
        <v>2.1872260574812784E-3</v>
      </c>
      <c r="J94" s="87">
        <f t="shared" si="18"/>
        <v>1.5859178341979773E-4</v>
      </c>
      <c r="K94" s="120">
        <f t="shared" si="20"/>
        <v>1.0572785561319848E-4</v>
      </c>
      <c r="O94" s="116">
        <f>Amnt_Deposited!B89</f>
        <v>2075</v>
      </c>
      <c r="P94" s="119">
        <f>Amnt_Deposited!H89</f>
        <v>0</v>
      </c>
      <c r="Q94" s="319">
        <f>MCF!R93</f>
        <v>0.8</v>
      </c>
      <c r="R94" s="87">
        <f t="shared" si="19"/>
        <v>0</v>
      </c>
      <c r="S94" s="87">
        <f t="shared" si="21"/>
        <v>0</v>
      </c>
      <c r="T94" s="87">
        <f t="shared" si="22"/>
        <v>0</v>
      </c>
      <c r="U94" s="87">
        <f t="shared" si="23"/>
        <v>2.3969600629931823E-3</v>
      </c>
      <c r="V94" s="87">
        <f t="shared" si="24"/>
        <v>1.7379921470662767E-4</v>
      </c>
      <c r="W94" s="120">
        <f t="shared" si="25"/>
        <v>1.1586614313775178E-4</v>
      </c>
    </row>
    <row r="95" spans="2:23">
      <c r="B95" s="116">
        <f>Amnt_Deposited!B90</f>
        <v>2076</v>
      </c>
      <c r="C95" s="119">
        <f>Amnt_Deposited!H90</f>
        <v>0</v>
      </c>
      <c r="D95" s="453">
        <f>Dry_Matter_Content!H82</f>
        <v>0.73</v>
      </c>
      <c r="E95" s="319">
        <f>MCF!R94</f>
        <v>0.8</v>
      </c>
      <c r="F95" s="87">
        <f t="shared" si="14"/>
        <v>0</v>
      </c>
      <c r="G95" s="87">
        <f t="shared" si="15"/>
        <v>0</v>
      </c>
      <c r="H95" s="87">
        <f t="shared" si="16"/>
        <v>0</v>
      </c>
      <c r="I95" s="87">
        <f t="shared" si="17"/>
        <v>2.0393560587327964E-3</v>
      </c>
      <c r="J95" s="87">
        <f t="shared" si="18"/>
        <v>1.4786999874848205E-4</v>
      </c>
      <c r="K95" s="120">
        <f t="shared" si="20"/>
        <v>9.8579999165654693E-5</v>
      </c>
      <c r="O95" s="116">
        <f>Amnt_Deposited!B90</f>
        <v>2076</v>
      </c>
      <c r="P95" s="119">
        <f>Amnt_Deposited!H90</f>
        <v>0</v>
      </c>
      <c r="Q95" s="319">
        <f>MCF!R94</f>
        <v>0.8</v>
      </c>
      <c r="R95" s="87">
        <f t="shared" si="19"/>
        <v>0</v>
      </c>
      <c r="S95" s="87">
        <f t="shared" si="21"/>
        <v>0</v>
      </c>
      <c r="T95" s="87">
        <f t="shared" si="22"/>
        <v>0</v>
      </c>
      <c r="U95" s="87">
        <f t="shared" si="23"/>
        <v>2.2349107492962159E-3</v>
      </c>
      <c r="V95" s="87">
        <f t="shared" si="24"/>
        <v>1.6204931369696667E-4</v>
      </c>
      <c r="W95" s="120">
        <f t="shared" si="25"/>
        <v>1.0803287579797777E-4</v>
      </c>
    </row>
    <row r="96" spans="2:23">
      <c r="B96" s="116">
        <f>Amnt_Deposited!B91</f>
        <v>2077</v>
      </c>
      <c r="C96" s="119">
        <f>Amnt_Deposited!H91</f>
        <v>0</v>
      </c>
      <c r="D96" s="453">
        <f>Dry_Matter_Content!H83</f>
        <v>0.73</v>
      </c>
      <c r="E96" s="319">
        <f>MCF!R95</f>
        <v>0.8</v>
      </c>
      <c r="F96" s="87">
        <f t="shared" si="14"/>
        <v>0</v>
      </c>
      <c r="G96" s="87">
        <f t="shared" si="15"/>
        <v>0</v>
      </c>
      <c r="H96" s="87">
        <f t="shared" si="16"/>
        <v>0</v>
      </c>
      <c r="I96" s="87">
        <f t="shared" si="17"/>
        <v>1.9014829857502114E-3</v>
      </c>
      <c r="J96" s="87">
        <f t="shared" si="18"/>
        <v>1.3787307298258495E-4</v>
      </c>
      <c r="K96" s="120">
        <f t="shared" si="20"/>
        <v>9.1915381988389965E-5</v>
      </c>
      <c r="O96" s="116">
        <f>Amnt_Deposited!B91</f>
        <v>2077</v>
      </c>
      <c r="P96" s="119">
        <f>Amnt_Deposited!H91</f>
        <v>0</v>
      </c>
      <c r="Q96" s="319">
        <f>MCF!R95</f>
        <v>0.8</v>
      </c>
      <c r="R96" s="87">
        <f t="shared" si="19"/>
        <v>0</v>
      </c>
      <c r="S96" s="87">
        <f t="shared" si="21"/>
        <v>0</v>
      </c>
      <c r="T96" s="87">
        <f t="shared" si="22"/>
        <v>0</v>
      </c>
      <c r="U96" s="87">
        <f t="shared" si="23"/>
        <v>2.0838169706851638E-3</v>
      </c>
      <c r="V96" s="87">
        <f t="shared" si="24"/>
        <v>1.5109377861105205E-4</v>
      </c>
      <c r="W96" s="120">
        <f t="shared" si="25"/>
        <v>1.0072918574070136E-4</v>
      </c>
    </row>
    <row r="97" spans="2:23">
      <c r="B97" s="116">
        <f>Amnt_Deposited!B92</f>
        <v>2078</v>
      </c>
      <c r="C97" s="119">
        <f>Amnt_Deposited!H92</f>
        <v>0</v>
      </c>
      <c r="D97" s="453">
        <f>Dry_Matter_Content!H84</f>
        <v>0.73</v>
      </c>
      <c r="E97" s="319">
        <f>MCF!R96</f>
        <v>0.8</v>
      </c>
      <c r="F97" s="87">
        <f t="shared" si="14"/>
        <v>0</v>
      </c>
      <c r="G97" s="87">
        <f t="shared" si="15"/>
        <v>0</v>
      </c>
      <c r="H97" s="87">
        <f t="shared" si="16"/>
        <v>0</v>
      </c>
      <c r="I97" s="87">
        <f t="shared" si="17"/>
        <v>1.7729309845698074E-3</v>
      </c>
      <c r="J97" s="87">
        <f t="shared" si="18"/>
        <v>1.2855200118040399E-4</v>
      </c>
      <c r="K97" s="120">
        <f t="shared" si="20"/>
        <v>8.5701334120269319E-5</v>
      </c>
      <c r="O97" s="116">
        <f>Amnt_Deposited!B92</f>
        <v>2078</v>
      </c>
      <c r="P97" s="119">
        <f>Amnt_Deposited!H92</f>
        <v>0</v>
      </c>
      <c r="Q97" s="319">
        <f>MCF!R96</f>
        <v>0.8</v>
      </c>
      <c r="R97" s="87">
        <f t="shared" si="19"/>
        <v>0</v>
      </c>
      <c r="S97" s="87">
        <f t="shared" si="21"/>
        <v>0</v>
      </c>
      <c r="T97" s="87">
        <f t="shared" si="22"/>
        <v>0</v>
      </c>
      <c r="U97" s="87">
        <f t="shared" si="23"/>
        <v>1.9429380652819814E-3</v>
      </c>
      <c r="V97" s="87">
        <f t="shared" si="24"/>
        <v>1.4087890540318248E-4</v>
      </c>
      <c r="W97" s="120">
        <f t="shared" si="25"/>
        <v>9.3919270268788313E-5</v>
      </c>
    </row>
    <row r="98" spans="2:23">
      <c r="B98" s="116">
        <f>Amnt_Deposited!B93</f>
        <v>2079</v>
      </c>
      <c r="C98" s="119">
        <f>Amnt_Deposited!H93</f>
        <v>0</v>
      </c>
      <c r="D98" s="453">
        <f>Dry_Matter_Content!H85</f>
        <v>0.73</v>
      </c>
      <c r="E98" s="319">
        <f>MCF!R97</f>
        <v>0.8</v>
      </c>
      <c r="F98" s="87">
        <f t="shared" si="14"/>
        <v>0</v>
      </c>
      <c r="G98" s="87">
        <f t="shared" si="15"/>
        <v>0</v>
      </c>
      <c r="H98" s="87">
        <f t="shared" si="16"/>
        <v>0</v>
      </c>
      <c r="I98" s="87">
        <f t="shared" si="17"/>
        <v>1.6530698931326567E-3</v>
      </c>
      <c r="J98" s="87">
        <f t="shared" si="18"/>
        <v>1.1986109143715084E-4</v>
      </c>
      <c r="K98" s="120">
        <f t="shared" si="20"/>
        <v>7.9907394291433886E-5</v>
      </c>
      <c r="O98" s="116">
        <f>Amnt_Deposited!B93</f>
        <v>2079</v>
      </c>
      <c r="P98" s="119">
        <f>Amnt_Deposited!H93</f>
        <v>0</v>
      </c>
      <c r="Q98" s="319">
        <f>MCF!R97</f>
        <v>0.8</v>
      </c>
      <c r="R98" s="87">
        <f t="shared" si="19"/>
        <v>0</v>
      </c>
      <c r="S98" s="87">
        <f t="shared" si="21"/>
        <v>0</v>
      </c>
      <c r="T98" s="87">
        <f t="shared" si="22"/>
        <v>0</v>
      </c>
      <c r="U98" s="87">
        <f t="shared" si="23"/>
        <v>1.8115834445289393E-3</v>
      </c>
      <c r="V98" s="87">
        <f t="shared" si="24"/>
        <v>1.3135462075304207E-4</v>
      </c>
      <c r="W98" s="120">
        <f t="shared" si="25"/>
        <v>8.7569747168694714E-5</v>
      </c>
    </row>
    <row r="99" spans="2:23" ht="13.5" thickBot="1">
      <c r="B99" s="117">
        <f>Amnt_Deposited!B94</f>
        <v>2080</v>
      </c>
      <c r="C99" s="121">
        <f>Amnt_Deposited!H94</f>
        <v>0</v>
      </c>
      <c r="D99" s="454">
        <f>Dry_Matter_Content!H86</f>
        <v>0.73</v>
      </c>
      <c r="E99" s="320">
        <f>MCF!R98</f>
        <v>0.8</v>
      </c>
      <c r="F99" s="88">
        <f t="shared" si="14"/>
        <v>0</v>
      </c>
      <c r="G99" s="88">
        <f t="shared" si="15"/>
        <v>0</v>
      </c>
      <c r="H99" s="88">
        <f t="shared" si="16"/>
        <v>0</v>
      </c>
      <c r="I99" s="88">
        <f t="shared" si="17"/>
        <v>1.5413121522294755E-3</v>
      </c>
      <c r="J99" s="88">
        <f t="shared" si="18"/>
        <v>1.1175774090318122E-4</v>
      </c>
      <c r="K99" s="122">
        <f t="shared" si="20"/>
        <v>7.4505160602120814E-5</v>
      </c>
      <c r="O99" s="117">
        <f>Amnt_Deposited!B94</f>
        <v>2080</v>
      </c>
      <c r="P99" s="121">
        <f>Amnt_Deposited!H94</f>
        <v>0</v>
      </c>
      <c r="Q99" s="320">
        <f>MCF!R98</f>
        <v>0.8</v>
      </c>
      <c r="R99" s="88">
        <f t="shared" si="19"/>
        <v>0</v>
      </c>
      <c r="S99" s="88">
        <f>R99*$W$12</f>
        <v>0</v>
      </c>
      <c r="T99" s="88">
        <f>R99*(1-$W$12)</f>
        <v>0</v>
      </c>
      <c r="U99" s="88">
        <f>S99+U98*$W$10</f>
        <v>1.6891092079227134E-3</v>
      </c>
      <c r="V99" s="88">
        <f>U98*(1-$W$10)+T99</f>
        <v>1.2247423660622603E-4</v>
      </c>
      <c r="W99" s="122">
        <f t="shared" si="25"/>
        <v>8.1649491070817355E-5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Parameters!O27</f>
        <v>0</v>
      </c>
      <c r="O6" s="257"/>
      <c r="P6" s="258"/>
      <c r="Q6" s="249"/>
      <c r="R6" s="128" t="s">
        <v>9</v>
      </c>
      <c r="S6" s="129"/>
      <c r="T6" s="129"/>
      <c r="U6" s="133"/>
      <c r="V6" s="140" t="s">
        <v>9</v>
      </c>
      <c r="W6" s="293">
        <f>Parameters!R27</f>
        <v>0.05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Parameters!O46</f>
        <v>0.4</v>
      </c>
      <c r="O8" s="67"/>
      <c r="P8" s="67"/>
      <c r="Q8" s="249"/>
      <c r="R8" s="128" t="s">
        <v>192</v>
      </c>
      <c r="S8" s="129"/>
      <c r="T8" s="129"/>
      <c r="U8" s="133"/>
      <c r="V8" s="140" t="s">
        <v>188</v>
      </c>
      <c r="W8" s="134">
        <f>Parameters!O46</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Amnt_Deposited!N14</f>
        <v>0</v>
      </c>
      <c r="D19" s="451">
        <f>Dry_Matter_Content!N6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Amnt_Deposited!N14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Amnt_Deposited!N15</f>
        <v>0</v>
      </c>
      <c r="D20" s="453">
        <f>Dry_Matter_Content!N7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Amnt_Deposited!N15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Amnt_Deposited!N16</f>
        <v>0</v>
      </c>
      <c r="D21" s="453">
        <f>Dry_Matter_Content!N8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Amnt_Deposited!N16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Amnt_Deposited!N17</f>
        <v>0</v>
      </c>
      <c r="D22" s="453">
        <f>Dry_Matter_Content!N9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Amnt_Deposited!N17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Amnt_Deposited!N18</f>
        <v>0</v>
      </c>
      <c r="D23" s="453">
        <f>Dry_Matter_Content!N10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Amnt_Deposited!N18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Amnt_Deposited!N19</f>
        <v>0</v>
      </c>
      <c r="D24" s="453">
        <f>Dry_Matter_Content!N11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Amnt_Deposited!N19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Amnt_Deposited!N20</f>
        <v>0</v>
      </c>
      <c r="D25" s="453">
        <f>Dry_Matter_Content!N12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Amnt_Deposited!N20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Amnt_Deposited!N21</f>
        <v>0</v>
      </c>
      <c r="D26" s="453">
        <f>Dry_Matter_Content!N13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Amnt_Deposited!N21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Amnt_Deposited!N22</f>
        <v>0</v>
      </c>
      <c r="D27" s="453">
        <f>Dry_Matter_Content!N14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Amnt_Deposited!N22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Amnt_Deposited!N23</f>
        <v>0</v>
      </c>
      <c r="D28" s="453">
        <f>Dry_Matter_Content!N15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Amnt_Deposited!N23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Amnt_Deposited!N24</f>
        <v>0</v>
      </c>
      <c r="D29" s="453">
        <f>Dry_Matter_Content!N16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Amnt_Deposited!N24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Amnt_Deposited!N25</f>
        <v>0</v>
      </c>
      <c r="D30" s="453">
        <f>Dry_Matter_Content!N17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Amnt_Deposited!N25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Amnt_Deposited!N26</f>
        <v>0</v>
      </c>
      <c r="D31" s="453">
        <f>Dry_Matter_Content!N18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Amnt_Deposited!N26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Amnt_Deposited!N27</f>
        <v>0</v>
      </c>
      <c r="D32" s="453">
        <f>Dry_Matter_Content!N19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Amnt_Deposited!N27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Amnt_Deposited!N28</f>
        <v>0</v>
      </c>
      <c r="D33" s="453">
        <f>Dry_Matter_Content!N20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Amnt_Deposited!N28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Amnt_Deposited!N29</f>
        <v>0</v>
      </c>
      <c r="D34" s="453">
        <f>Dry_Matter_Content!N21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Amnt_Deposited!N29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Amnt_Deposited!N30</f>
        <v>0</v>
      </c>
      <c r="D35" s="453">
        <f>Dry_Matter_Content!N22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Amnt_Deposited!N30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Amnt_Deposited!N31</f>
        <v>0</v>
      </c>
      <c r="D36" s="453">
        <f>Dry_Matter_Content!N23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Amnt_Deposited!N31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Amnt_Deposited!N32</f>
        <v>0</v>
      </c>
      <c r="D37" s="453">
        <f>Dry_Matter_Content!N24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Amnt_Deposited!N32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Amnt_Deposited!N33</f>
        <v>0</v>
      </c>
      <c r="D38" s="453">
        <f>Dry_Matter_Content!N25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Amnt_Deposited!N33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Amnt_Deposited!N34</f>
        <v>0</v>
      </c>
      <c r="D39" s="453">
        <f>Dry_Matter_Content!N26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Amnt_Deposited!N34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Amnt_Deposited!N35</f>
        <v>0</v>
      </c>
      <c r="D40" s="453">
        <f>Dry_Matter_Content!N27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Amnt_Deposited!N35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Amnt_Deposited!N36</f>
        <v>0</v>
      </c>
      <c r="D41" s="453">
        <f>Dry_Matter_Content!N28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Amnt_Deposited!N36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Amnt_Deposited!N37</f>
        <v>0</v>
      </c>
      <c r="D42" s="453">
        <f>Dry_Matter_Content!N29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Amnt_Deposited!N37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Amnt_Deposited!N38</f>
        <v>0</v>
      </c>
      <c r="D43" s="453">
        <f>Dry_Matter_Content!N30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Amnt_Deposited!N38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Amnt_Deposited!N39</f>
        <v>0</v>
      </c>
      <c r="D44" s="453">
        <f>Dry_Matter_Content!N31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Amnt_Deposited!N39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Amnt_Deposited!N40</f>
        <v>0</v>
      </c>
      <c r="D45" s="453">
        <f>Dry_Matter_Content!N32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Amnt_Deposited!N40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Amnt_Deposited!N41</f>
        <v>0</v>
      </c>
      <c r="D46" s="453">
        <f>Dry_Matter_Content!N33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Amnt_Deposited!N41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Amnt_Deposited!N42</f>
        <v>0</v>
      </c>
      <c r="D47" s="453">
        <f>Dry_Matter_Content!N34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Amnt_Deposited!N42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Amnt_Deposited!N43</f>
        <v>0</v>
      </c>
      <c r="D48" s="453">
        <f>Dry_Matter_Content!N35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Amnt_Deposited!N43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Amnt_Deposited!N44</f>
        <v>0</v>
      </c>
      <c r="D49" s="453">
        <f>Dry_Matter_Content!N36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Amnt_Deposited!N44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Amnt_Deposited!N45</f>
        <v>0</v>
      </c>
      <c r="D50" s="453">
        <f>Dry_Matter_Content!N37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Amnt_Deposited!N45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Amnt_Deposited!N46</f>
        <v>0</v>
      </c>
      <c r="D51" s="453">
        <f>Dry_Matter_Content!N38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Amnt_Deposited!N46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Amnt_Deposited!N47</f>
        <v>0</v>
      </c>
      <c r="D52" s="453">
        <f>Dry_Matter_Content!N39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Amnt_Deposited!N47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Amnt_Deposited!N48</f>
        <v>0</v>
      </c>
      <c r="D53" s="453">
        <f>Dry_Matter_Content!N40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Amnt_Deposited!N48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Amnt_Deposited!N49</f>
        <v>0</v>
      </c>
      <c r="D54" s="453">
        <f>Dry_Matter_Content!N41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Amnt_Deposited!N49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Amnt_Deposited!N50</f>
        <v>0</v>
      </c>
      <c r="D55" s="453">
        <f>Dry_Matter_Content!N42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Amnt_Deposited!N50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Amnt_Deposited!N51</f>
        <v>0</v>
      </c>
      <c r="D56" s="453">
        <f>Dry_Matter_Content!N43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Amnt_Deposited!N51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Amnt_Deposited!N52</f>
        <v>0</v>
      </c>
      <c r="D57" s="453">
        <f>Dry_Matter_Content!N44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Amnt_Deposited!N52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Amnt_Deposited!N53</f>
        <v>0</v>
      </c>
      <c r="D58" s="453">
        <f>Dry_Matter_Content!N45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Amnt_Deposited!N53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Amnt_Deposited!N54</f>
        <v>0</v>
      </c>
      <c r="D59" s="453">
        <f>Dry_Matter_Content!N46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Amnt_Deposited!N54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Amnt_Deposited!N55</f>
        <v>0</v>
      </c>
      <c r="D60" s="453">
        <f>Dry_Matter_Content!N47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Amnt_Deposited!N55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Amnt_Deposited!N56</f>
        <v>0</v>
      </c>
      <c r="D61" s="453">
        <f>Dry_Matter_Content!N48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Amnt_Deposited!N56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Amnt_Deposited!N57</f>
        <v>0</v>
      </c>
      <c r="D62" s="453">
        <f>Dry_Matter_Content!N49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Amnt_Deposited!N57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Amnt_Deposited!N58</f>
        <v>0</v>
      </c>
      <c r="D63" s="453">
        <f>Dry_Matter_Content!N50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Amnt_Deposited!N58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Amnt_Deposited!N59</f>
        <v>0</v>
      </c>
      <c r="D64" s="453">
        <f>Dry_Matter_Content!N51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Amnt_Deposited!N59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Amnt_Deposited!N60</f>
        <v>0</v>
      </c>
      <c r="D65" s="453">
        <f>Dry_Matter_Content!N52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Amnt_Deposited!N60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Amnt_Deposited!N61</f>
        <v>0</v>
      </c>
      <c r="D66" s="453">
        <f>Dry_Matter_Content!N53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Amnt_Deposited!N61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Amnt_Deposited!N62</f>
        <v>0</v>
      </c>
      <c r="D67" s="453">
        <f>Dry_Matter_Content!N54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Amnt_Deposited!N62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Amnt_Deposited!N63</f>
        <v>0</v>
      </c>
      <c r="D68" s="453">
        <f>Dry_Matter_Content!N55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Amnt_Deposited!N63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Amnt_Deposited!N64</f>
        <v>0</v>
      </c>
      <c r="D69" s="453">
        <f>Dry_Matter_Content!N56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Amnt_Deposited!N64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Amnt_Deposited!N65</f>
        <v>0</v>
      </c>
      <c r="D70" s="453">
        <f>Dry_Matter_Content!N57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Amnt_Deposited!N65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Amnt_Deposited!N66</f>
        <v>0</v>
      </c>
      <c r="D71" s="453">
        <f>Dry_Matter_Content!N58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Amnt_Deposited!N66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Amnt_Deposited!N67</f>
        <v>0</v>
      </c>
      <c r="D72" s="453">
        <f>Dry_Matter_Content!N59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Amnt_Deposited!N67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Amnt_Deposited!N68</f>
        <v>0</v>
      </c>
      <c r="D73" s="453">
        <f>Dry_Matter_Content!N60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Amnt_Deposited!N68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Amnt_Deposited!N69</f>
        <v>0</v>
      </c>
      <c r="D74" s="453">
        <f>Dry_Matter_Content!N61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Amnt_Deposited!N69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Amnt_Deposited!N70</f>
        <v>0</v>
      </c>
      <c r="D75" s="453">
        <f>Dry_Matter_Content!N62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Amnt_Deposited!N70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Amnt_Deposited!N71</f>
        <v>0</v>
      </c>
      <c r="D76" s="453">
        <f>Dry_Matter_Content!N63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Amnt_Deposited!N71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Amnt_Deposited!N72</f>
        <v>0</v>
      </c>
      <c r="D77" s="453">
        <f>Dry_Matter_Content!N64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Amnt_Deposited!N72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Amnt_Deposited!N73</f>
        <v>0</v>
      </c>
      <c r="D78" s="453">
        <f>Dry_Matter_Content!N65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Amnt_Deposited!N73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Amnt_Deposited!N74</f>
        <v>0</v>
      </c>
      <c r="D79" s="453">
        <f>Dry_Matter_Content!N66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Amnt_Deposited!N74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Amnt_Deposited!N75</f>
        <v>0</v>
      </c>
      <c r="D80" s="453">
        <f>Dry_Matter_Content!N67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Amnt_Deposited!N75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Amnt_Deposited!N76</f>
        <v>0</v>
      </c>
      <c r="D81" s="453">
        <f>Dry_Matter_Content!N68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Amnt_Deposited!N76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Amnt_Deposited!N77</f>
        <v>0</v>
      </c>
      <c r="D82" s="453">
        <f>Dry_Matter_Content!N69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Amnt_Deposited!N77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Amnt_Deposited!N78</f>
        <v>0</v>
      </c>
      <c r="D83" s="453">
        <f>Dry_Matter_Content!N70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Amnt_Deposited!N78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Amnt_Deposited!N79</f>
        <v>0</v>
      </c>
      <c r="D84" s="453">
        <f>Dry_Matter_Content!N71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Amnt_Deposited!N79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Amnt_Deposited!N80</f>
        <v>0</v>
      </c>
      <c r="D85" s="453">
        <f>Dry_Matter_Content!N72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Amnt_Deposited!N80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Amnt_Deposited!N81</f>
        <v>0</v>
      </c>
      <c r="D86" s="453">
        <f>Dry_Matter_Content!N73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Amnt_Deposited!N81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Amnt_Deposited!N82</f>
        <v>0</v>
      </c>
      <c r="D87" s="453">
        <f>Dry_Matter_Content!N74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Amnt_Deposited!N82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Amnt_Deposited!N83</f>
        <v>0</v>
      </c>
      <c r="D88" s="453">
        <f>Dry_Matter_Content!N75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Amnt_Deposited!N83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Amnt_Deposited!N84</f>
        <v>0</v>
      </c>
      <c r="D89" s="453">
        <f>Dry_Matter_Content!N76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Amnt_Deposited!N84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Amnt_Deposited!N85</f>
        <v>0</v>
      </c>
      <c r="D90" s="453">
        <f>Dry_Matter_Content!N77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Amnt_Deposited!N85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Amnt_Deposited!N86</f>
        <v>0</v>
      </c>
      <c r="D91" s="453">
        <f>Dry_Matter_Content!N78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Amnt_Deposited!N86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Amnt_Deposited!N87</f>
        <v>0</v>
      </c>
      <c r="D92" s="453">
        <f>Dry_Matter_Content!N79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Amnt_Deposited!N87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Amnt_Deposited!N88</f>
        <v>0</v>
      </c>
      <c r="D93" s="453">
        <f>Dry_Matter_Content!N80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Amnt_Deposited!N88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Amnt_Deposited!N89</f>
        <v>0</v>
      </c>
      <c r="D94" s="453">
        <f>Dry_Matter_Content!N81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Amnt_Deposited!N89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Amnt_Deposited!N90</f>
        <v>0</v>
      </c>
      <c r="D95" s="453">
        <f>Dry_Matter_Content!N82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Amnt_Deposited!N90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Amnt_Deposited!N91</f>
        <v>0</v>
      </c>
      <c r="D96" s="453">
        <f>Dry_Matter_Content!N83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Amnt_Deposited!N91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Amnt_Deposited!N92</f>
        <v>0</v>
      </c>
      <c r="D97" s="453">
        <f>Dry_Matter_Content!N84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Amnt_Deposited!N92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Amnt_Deposited!N93</f>
        <v>0</v>
      </c>
      <c r="D98" s="453">
        <f>Dry_Matter_Content!N85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Amnt_Deposited!N93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Amnt_Deposited!N94</f>
        <v>0</v>
      </c>
      <c r="D99" s="454">
        <f>Dry_Matter_Content!N86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Amnt_Deposited!N94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70" t="s">
        <v>342</v>
      </c>
      <c r="E2" s="771"/>
      <c r="F2" s="772"/>
    </row>
    <row r="3" spans="1:18" ht="16.5" thickBot="1">
      <c r="B3" s="12"/>
      <c r="C3" s="5" t="s">
        <v>276</v>
      </c>
      <c r="D3" s="770" t="s">
        <v>337</v>
      </c>
      <c r="E3" s="771"/>
      <c r="F3" s="772"/>
    </row>
    <row r="4" spans="1:18" ht="16.5" thickBot="1">
      <c r="B4" s="12"/>
      <c r="C4" s="5" t="s">
        <v>30</v>
      </c>
      <c r="D4" s="770" t="s">
        <v>266</v>
      </c>
      <c r="E4" s="771"/>
      <c r="F4" s="772"/>
    </row>
    <row r="5" spans="1:18" ht="16.5" thickBot="1">
      <c r="B5" s="12"/>
      <c r="C5" s="5" t="s">
        <v>117</v>
      </c>
      <c r="D5" s="773"/>
      <c r="E5" s="774"/>
      <c r="F5" s="775"/>
    </row>
    <row r="6" spans="1:18">
      <c r="B6" s="13" t="s">
        <v>201</v>
      </c>
    </row>
    <row r="7" spans="1:18">
      <c r="B7" s="35" t="s">
        <v>31</v>
      </c>
    </row>
    <row r="8" spans="1:18" ht="13.5" thickBot="1">
      <c r="B8" s="35"/>
    </row>
    <row r="9" spans="1:18" ht="12.75" customHeight="1">
      <c r="A9" s="1"/>
      <c r="C9" s="768" t="s">
        <v>18</v>
      </c>
      <c r="D9" s="769"/>
      <c r="E9" s="766" t="s">
        <v>100</v>
      </c>
      <c r="F9" s="767"/>
      <c r="H9" s="768" t="s">
        <v>18</v>
      </c>
      <c r="I9" s="769"/>
      <c r="J9" s="766" t="s">
        <v>100</v>
      </c>
      <c r="K9" s="767"/>
    </row>
    <row r="10" spans="1:18" ht="13.5" thickBot="1">
      <c r="C10" s="143"/>
      <c r="D10" s="144"/>
      <c r="E10" s="274" t="s">
        <v>13</v>
      </c>
      <c r="F10" s="175" t="s">
        <v>19</v>
      </c>
      <c r="H10" s="143"/>
      <c r="I10" s="144"/>
      <c r="J10" s="274" t="s">
        <v>13</v>
      </c>
      <c r="K10" s="175" t="s">
        <v>19</v>
      </c>
      <c r="L10" s="394" t="s">
        <v>211</v>
      </c>
    </row>
    <row r="11" spans="1:18" ht="13.5" thickBot="1">
      <c r="B11" s="50" t="s">
        <v>90</v>
      </c>
      <c r="C11" s="145"/>
      <c r="D11" s="146">
        <v>1950</v>
      </c>
      <c r="E11" s="148">
        <v>2000</v>
      </c>
      <c r="F11" s="147"/>
      <c r="H11" s="145"/>
      <c r="I11" s="146">
        <f>D11</f>
        <v>1950</v>
      </c>
      <c r="J11" s="148">
        <f>year</f>
        <v>2000</v>
      </c>
      <c r="K11" s="147"/>
    </row>
    <row r="12" spans="1:18" ht="13.5" thickBot="1">
      <c r="B12" s="37"/>
      <c r="C12" s="764" t="s">
        <v>250</v>
      </c>
      <c r="D12" s="765"/>
      <c r="E12" s="764" t="s">
        <v>250</v>
      </c>
      <c r="F12" s="765"/>
      <c r="H12" s="764" t="s">
        <v>251</v>
      </c>
      <c r="I12" s="765"/>
      <c r="J12" s="764" t="s">
        <v>251</v>
      </c>
      <c r="K12" s="765"/>
      <c r="N12" t="s">
        <v>132</v>
      </c>
    </row>
    <row r="13" spans="1:18" ht="13.5" thickBot="1">
      <c r="B13" s="50" t="s">
        <v>131</v>
      </c>
      <c r="C13" s="330"/>
      <c r="D13" s="331"/>
      <c r="E13" s="332"/>
      <c r="F13" s="51"/>
      <c r="H13" s="330"/>
      <c r="I13" s="331"/>
      <c r="J13" s="332"/>
      <c r="K13" s="51"/>
    </row>
    <row r="14" spans="1:18" ht="13.5" thickBot="1">
      <c r="B14" s="50" t="s">
        <v>249</v>
      </c>
      <c r="C14" s="333" t="s">
        <v>113</v>
      </c>
      <c r="D14" s="334" t="s">
        <v>115</v>
      </c>
      <c r="E14" s="386"/>
      <c r="F14" s="178"/>
      <c r="H14" s="333" t="s">
        <v>113</v>
      </c>
      <c r="I14" s="334" t="s">
        <v>115</v>
      </c>
      <c r="J14" s="386"/>
      <c r="K14" s="178"/>
      <c r="N14" s="426" t="s">
        <v>252</v>
      </c>
      <c r="Q14" s="426" t="s">
        <v>253</v>
      </c>
    </row>
    <row r="15" spans="1:18">
      <c r="B15" s="8" t="str">
        <f>IF(Select2=1,"Food waste","Bulk MSW")</f>
        <v>Food waste</v>
      </c>
      <c r="C15" s="185" t="str">
        <f>INDEX(DOC_table,IF(Select2=1,1,14),2)</f>
        <v>0.20-0.50</v>
      </c>
      <c r="D15" s="47">
        <f>INDEX(DOC_table,IF(Select2=1,1,14),1)</f>
        <v>0.38</v>
      </c>
      <c r="E15" s="385">
        <f>D15</f>
        <v>0.38</v>
      </c>
      <c r="F15" s="152"/>
      <c r="H15" s="185" t="str">
        <f>INDEX(DOC_table,IF(Select2=1,1,14),4)</f>
        <v>0.08-0.20</v>
      </c>
      <c r="I15" s="47">
        <f>INDEX(DOC_table,IF(Select2=1,1,14),3)</f>
        <v>0.15</v>
      </c>
      <c r="J15" s="385">
        <f>I15</f>
        <v>0.15</v>
      </c>
      <c r="K15" s="152"/>
      <c r="L15" s="384" t="str">
        <f>IF(Select2=1,"May include garden waste provided that a suitable value of DOC is used","")</f>
        <v>May include garden waste provided that a suitable value of DOC is used</v>
      </c>
      <c r="N15" s="55" t="s">
        <v>6</v>
      </c>
      <c r="O15" s="55">
        <f>IF(Select2=1,E15,0)</f>
        <v>0.38</v>
      </c>
      <c r="Q15" s="55" t="s">
        <v>6</v>
      </c>
      <c r="R15" s="423">
        <f>IF(Select2=1,J15,0)</f>
        <v>0.15</v>
      </c>
    </row>
    <row r="16" spans="1:18">
      <c r="B16" s="8" t="str">
        <f>IF(Select2=1,"Paper/cardboard","Sewage sludge")</f>
        <v>Paper/cardboard</v>
      </c>
      <c r="C16" s="185" t="str">
        <f>INDEX(DOC_table,IF(Select2=1,2,13),2)</f>
        <v>0.40-0.50</v>
      </c>
      <c r="D16" s="47">
        <f>INDEX(DOC_table,IF(Select2=1,2,13),1)</f>
        <v>0.44</v>
      </c>
      <c r="E16" s="291">
        <f>D16</f>
        <v>0.44</v>
      </c>
      <c r="F16" s="271"/>
      <c r="H16" s="185" t="str">
        <f>INDEX(DOC_table,IF(Select2=1,2,13),4)</f>
        <v>0.36-0.45</v>
      </c>
      <c r="I16" s="47">
        <f>INDEX(DOC_table,IF(Select2=1,2,13),3)</f>
        <v>0.4</v>
      </c>
      <c r="J16" s="291">
        <f>I16</f>
        <v>0.4</v>
      </c>
      <c r="K16" s="271"/>
      <c r="L16"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46" t="s">
        <v>262</v>
      </c>
      <c r="O16" s="2">
        <f>IF(Select2=1,E16,E63)</f>
        <v>0.44</v>
      </c>
      <c r="Q16" s="446" t="s">
        <v>262</v>
      </c>
      <c r="R16" s="424">
        <f>IF(Select2=1,J16,J63)</f>
        <v>0.4</v>
      </c>
    </row>
    <row r="17" spans="2:18">
      <c r="B17" s="2" t="str">
        <f>IF(Select2=1,"Garden and Park waste","Industrial waste")</f>
        <v>Garden and Park waste</v>
      </c>
      <c r="C17" s="185" t="str">
        <f>INDEX(DOC_table,IF(Select2=1,3,15),2)</f>
        <v>0.45-0.55</v>
      </c>
      <c r="D17" s="47">
        <f>INDEX(DOC_table,IF(Select2=1,3,15),1)</f>
        <v>0.49</v>
      </c>
      <c r="E17" s="291">
        <f t="shared" ref="E17:E25" si="0">D17</f>
        <v>0.49</v>
      </c>
      <c r="F17" s="271"/>
      <c r="H17" s="185" t="str">
        <f>INDEX(DOC_table,IF(Select2=1,3,15),4)</f>
        <v>0.18-0.22</v>
      </c>
      <c r="I17" s="47">
        <f>INDEX(DOC_table,IF(Select2=1,3,15),3)</f>
        <v>0.2</v>
      </c>
      <c r="J17" s="291">
        <f>I17</f>
        <v>0.2</v>
      </c>
      <c r="K17" s="271"/>
      <c r="L17" s="6"/>
      <c r="N17" s="445" t="s">
        <v>261</v>
      </c>
      <c r="O17" s="2">
        <f>IF(Select2=1,E17,E62)</f>
        <v>0.49</v>
      </c>
      <c r="Q17" s="445" t="s">
        <v>261</v>
      </c>
      <c r="R17" s="424">
        <f>IF(Select2=1,J17,J62)</f>
        <v>0.2</v>
      </c>
    </row>
    <row r="18" spans="2:18">
      <c r="B18" s="2" t="str">
        <f>IF(Select2=1,"Textiles","")</f>
        <v>Textiles</v>
      </c>
      <c r="C18" s="186" t="str">
        <f>IF(Select2=1,INDEX(DOC_table,4,2),"")</f>
        <v>0.25-0.50</v>
      </c>
      <c r="D18" s="19">
        <f>IF(Select2=1,INDEX(DOC_table,4,1),"")</f>
        <v>0.3</v>
      </c>
      <c r="E18" s="291">
        <f t="shared" si="0"/>
        <v>0.3</v>
      </c>
      <c r="F18" s="271"/>
      <c r="H18" s="186" t="str">
        <f>IF(Select2=1,INDEX(DOC_table,4,4),"")</f>
        <v>0.20-0.40</v>
      </c>
      <c r="I18" s="19">
        <f>IF(Select2=1,INDEX(DOC_table,4,3),"")</f>
        <v>0.24</v>
      </c>
      <c r="J18" s="291">
        <f>I18</f>
        <v>0.24</v>
      </c>
      <c r="K18" s="271"/>
      <c r="L18" s="6"/>
      <c r="N18" s="2" t="s">
        <v>16</v>
      </c>
      <c r="O18" s="2">
        <f>IF(Select2=1,E18,0)</f>
        <v>0.3</v>
      </c>
      <c r="Q18" s="2" t="s">
        <v>16</v>
      </c>
      <c r="R18" s="424">
        <f>IF(Select2=1,J18,0)</f>
        <v>0.24</v>
      </c>
    </row>
    <row r="19" spans="2:18">
      <c r="B19" s="2" t="str">
        <f>IF(Select2=1,"Rubber and Leather","")</f>
        <v>Rubber and Leather</v>
      </c>
      <c r="C19" s="186" t="str">
        <f>IF(Select2=1,INDEX(DOC_table,5,2),"")</f>
        <v>0.47</v>
      </c>
      <c r="D19" s="19">
        <f>IF(Select2=1,INDEX(DOC_table,5,1),"")</f>
        <v>0.47</v>
      </c>
      <c r="E19" s="291">
        <f t="shared" si="0"/>
        <v>0.47</v>
      </c>
      <c r="F19" s="271"/>
      <c r="H19" s="186" t="str">
        <f>IF(Select2=1,INDEX(DOC_table,5,4),"")</f>
        <v>0.39</v>
      </c>
      <c r="I19" s="19">
        <f>IF(Select2=1,INDEX(DOC_table,5,3),"")</f>
        <v>0.39</v>
      </c>
      <c r="J19" s="291">
        <f t="shared" ref="J19:J25" si="1">I19</f>
        <v>0.39</v>
      </c>
      <c r="K19" s="271"/>
      <c r="L19" s="384"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24">
        <f>IF(Select2=1,J19,0)</f>
        <v>0.39</v>
      </c>
    </row>
    <row r="20" spans="2:18">
      <c r="B20" s="2" t="str">
        <f>IF(Select2=1,"Wood","")</f>
        <v>Wood</v>
      </c>
      <c r="C20" s="186" t="str">
        <f>IF(Select2=1,INDEX(DOC_table,6,2),"")</f>
        <v>0.46-0.54</v>
      </c>
      <c r="D20" s="19">
        <f>IF(Select2=1,INDEX(DOC_table,6,1),"")</f>
        <v>0.5</v>
      </c>
      <c r="E20" s="291">
        <f t="shared" si="0"/>
        <v>0.5</v>
      </c>
      <c r="F20" s="271"/>
      <c r="H20" s="186" t="str">
        <f>IF(Select2=1,INDEX(DOC_table,6,4),"")</f>
        <v>0.39-0.46</v>
      </c>
      <c r="I20" s="19">
        <f>IF(Select2=1,INDEX(DOC_table,6,3),"")</f>
        <v>0.43</v>
      </c>
      <c r="J20" s="291">
        <f t="shared" si="1"/>
        <v>0.43</v>
      </c>
      <c r="K20" s="271"/>
      <c r="L20" s="581"/>
      <c r="N20" s="444" t="s">
        <v>2</v>
      </c>
      <c r="O20" s="2">
        <f>IF(Select2=1,E20,E64)</f>
        <v>0.5</v>
      </c>
      <c r="Q20" s="444" t="s">
        <v>2</v>
      </c>
      <c r="R20" s="424">
        <f>IF(Select2=1,J20,J64)</f>
        <v>0.43</v>
      </c>
    </row>
    <row r="21" spans="2:18">
      <c r="B21" s="2" t="str">
        <f>IF(Select2=1,"Nappies","")</f>
        <v>Nappies</v>
      </c>
      <c r="C21" s="186" t="str">
        <f>IF(Select2=1,INDEX(DOC_table,7,2),"")</f>
        <v>0.44-0.80</v>
      </c>
      <c r="D21" s="19">
        <f>IF(Select2=1,INDEX(DOC_table,7,1),"")</f>
        <v>0.6</v>
      </c>
      <c r="E21" s="291">
        <f t="shared" si="0"/>
        <v>0.6</v>
      </c>
      <c r="F21" s="271"/>
      <c r="H21" s="186" t="str">
        <f>IF(Select2=1,INDEX(DOC_table,7,4),"")</f>
        <v>0.18-0.32</v>
      </c>
      <c r="I21" s="19">
        <f>IF(Select2=1,INDEX(DOC_table,7,3),"")</f>
        <v>0.24</v>
      </c>
      <c r="J21" s="291">
        <f t="shared" si="1"/>
        <v>0.24</v>
      </c>
      <c r="K21" s="271"/>
      <c r="L21" s="581"/>
      <c r="N21" s="444" t="s">
        <v>267</v>
      </c>
      <c r="O21" s="2">
        <f>IF(Select2=1,E21,0)</f>
        <v>0.6</v>
      </c>
      <c r="Q21" s="444" t="s">
        <v>267</v>
      </c>
      <c r="R21" s="424">
        <f>IF(Select2=1,J21,0)</f>
        <v>0.24</v>
      </c>
    </row>
    <row r="22" spans="2:18">
      <c r="B22" s="166" t="str">
        <f>IF(Select2=1,"Plastics","")</f>
        <v>Plastics</v>
      </c>
      <c r="C22" s="187">
        <f>IF(Select2=1,INDEX(DOC_table,9,2),"")</f>
        <v>0</v>
      </c>
      <c r="D22" s="220">
        <f>IF(Select2=1,INDEX(DOC_table,9,1),"")</f>
        <v>0</v>
      </c>
      <c r="E22" s="291">
        <f t="shared" si="0"/>
        <v>0</v>
      </c>
      <c r="F22" s="271"/>
      <c r="H22" s="187">
        <f>IF(Select2=1,INDEX(DOC_table,9,4),"")</f>
        <v>0</v>
      </c>
      <c r="I22" s="220">
        <f>IF(Select2=1,INDEX(DOC_table,9,3),"")</f>
        <v>0</v>
      </c>
      <c r="J22" s="291">
        <f t="shared" si="1"/>
        <v>0</v>
      </c>
      <c r="K22" s="271"/>
      <c r="L22" s="290"/>
      <c r="N22" s="166" t="s">
        <v>230</v>
      </c>
      <c r="O22" s="2">
        <f>IF(Select2=1,E22,0)</f>
        <v>0</v>
      </c>
      <c r="Q22" s="166" t="s">
        <v>230</v>
      </c>
      <c r="R22" s="424">
        <f>IF(Select2=1,J22,0)</f>
        <v>0</v>
      </c>
    </row>
    <row r="23" spans="2:18">
      <c r="B23" s="166" t="str">
        <f>IF(Select2=1,"Metal","")</f>
        <v>Metal</v>
      </c>
      <c r="C23" s="187">
        <f>IF(Select2=1,INDEX(DOC_table,10,2),"")</f>
        <v>0</v>
      </c>
      <c r="D23" s="220">
        <f>IF(Select2=1,INDEX(DOC_table,10,1),"")</f>
        <v>0</v>
      </c>
      <c r="E23" s="291">
        <f t="shared" si="0"/>
        <v>0</v>
      </c>
      <c r="F23" s="271"/>
      <c r="H23" s="187">
        <f>IF(Select2=1,INDEX(DOC_table,10,4),"")</f>
        <v>0</v>
      </c>
      <c r="I23" s="220">
        <f>IF(Select2=1,INDEX(DOC_table,10,3),"")</f>
        <v>0</v>
      </c>
      <c r="J23" s="291">
        <f t="shared" si="1"/>
        <v>0</v>
      </c>
      <c r="K23" s="271"/>
      <c r="L23" s="290"/>
      <c r="N23" s="166" t="s">
        <v>231</v>
      </c>
      <c r="O23" s="2">
        <f>IF(Select2=1,E23,0)</f>
        <v>0</v>
      </c>
      <c r="Q23" s="166" t="s">
        <v>231</v>
      </c>
      <c r="R23" s="424">
        <f>IF(Select2=1,J23,0)</f>
        <v>0</v>
      </c>
    </row>
    <row r="24" spans="2:18">
      <c r="B24" s="166" t="str">
        <f>IF(Select2=1,"Glass","")</f>
        <v>Glass</v>
      </c>
      <c r="C24" s="187">
        <f>IF(Select2=1,INDEX(DOC_table,11,2),"")</f>
        <v>0</v>
      </c>
      <c r="D24" s="220">
        <f>IF(Select2=1,INDEX(DOC_table,11,1),"")</f>
        <v>0</v>
      </c>
      <c r="E24" s="291">
        <f t="shared" si="0"/>
        <v>0</v>
      </c>
      <c r="F24" s="271"/>
      <c r="H24" s="187">
        <f>IF(Select2=1,INDEX(DOC_table,11,4),"")</f>
        <v>0</v>
      </c>
      <c r="I24" s="220">
        <f>IF(Select2=1,INDEX(DOC_table,11,3),"")</f>
        <v>0</v>
      </c>
      <c r="J24" s="291">
        <f t="shared" si="1"/>
        <v>0</v>
      </c>
      <c r="K24" s="271"/>
      <c r="L24" s="290"/>
      <c r="N24" s="166" t="s">
        <v>232</v>
      </c>
      <c r="O24" s="2">
        <f>IF(Select2=1,E24,0)</f>
        <v>0</v>
      </c>
      <c r="Q24" s="166" t="s">
        <v>232</v>
      </c>
      <c r="R24" s="424">
        <f>IF(Select2=1,J24,0)</f>
        <v>0</v>
      </c>
    </row>
    <row r="25" spans="2:18">
      <c r="B25" s="166" t="str">
        <f>IF(Select2=1,"Other","")</f>
        <v>Other</v>
      </c>
      <c r="C25" s="187">
        <f>IF(Select2=1,INDEX(DOC_table,12,2),"")</f>
        <v>0</v>
      </c>
      <c r="D25" s="220">
        <f>IF(Select2=1,INDEX(DOC_table,12,1),"")</f>
        <v>0</v>
      </c>
      <c r="E25" s="291">
        <f t="shared" si="0"/>
        <v>0</v>
      </c>
      <c r="F25" s="271"/>
      <c r="H25" s="187">
        <f>IF(Select2=1,INDEX(DOC_table,12,4),"")</f>
        <v>0</v>
      </c>
      <c r="I25" s="220">
        <f>IF(Select2=1,INDEX(DOC_table,12,3),"")</f>
        <v>0</v>
      </c>
      <c r="J25" s="291">
        <f t="shared" si="1"/>
        <v>0</v>
      </c>
      <c r="K25" s="271"/>
      <c r="L25" s="290"/>
      <c r="N25" s="166" t="s">
        <v>233</v>
      </c>
      <c r="O25" s="2">
        <f>IF(Select2=1,E25,0)</f>
        <v>0</v>
      </c>
      <c r="Q25" s="166" t="s">
        <v>233</v>
      </c>
      <c r="R25" s="424">
        <f>IF(Select2=1,J25,0)</f>
        <v>0</v>
      </c>
    </row>
    <row r="26" spans="2:18">
      <c r="B26" s="166"/>
      <c r="C26" s="187"/>
      <c r="D26" s="220"/>
      <c r="E26" s="291"/>
      <c r="F26" s="271"/>
      <c r="H26" s="187"/>
      <c r="I26" s="220"/>
      <c r="J26" s="291"/>
      <c r="K26" s="271"/>
      <c r="L26" s="290"/>
      <c r="N26" s="444" t="s">
        <v>204</v>
      </c>
      <c r="O26" s="2">
        <f>IF(Select2=1,0,E15)</f>
        <v>0</v>
      </c>
      <c r="Q26" s="444" t="s">
        <v>204</v>
      </c>
      <c r="R26" s="424">
        <f>IF(Select2=1,0,J15)</f>
        <v>0</v>
      </c>
    </row>
    <row r="27" spans="2:18" ht="13.5" thickBot="1">
      <c r="B27" s="2" t="str">
        <f>IF(Select2=1,"Sewage sludge","")</f>
        <v>Sewage sludge</v>
      </c>
      <c r="C27" s="186" t="str">
        <f>IF(Select2=1,INDEX(DOC_table,13,2),"")</f>
        <v>N.A</v>
      </c>
      <c r="D27" s="465">
        <f>IF(Select2=1,INDEX(DOC_table,13,1),"")</f>
        <v>0</v>
      </c>
      <c r="E27" s="291">
        <f t="shared" ref="E22:E28" si="2">D27</f>
        <v>0</v>
      </c>
      <c r="F27" s="271"/>
      <c r="H27" s="186" t="str">
        <f>IF(Select2=1,INDEX(DOC_table,13,4),"")</f>
        <v>0.04-0.05</v>
      </c>
      <c r="I27" s="19">
        <f>IF(Select2=1,INDEX(DOC_table,13,3),"")</f>
        <v>0.05</v>
      </c>
      <c r="J27" s="291">
        <f>I27</f>
        <v>0.05</v>
      </c>
      <c r="K27" s="271"/>
      <c r="L27" s="6"/>
      <c r="N27" s="34" t="s">
        <v>135</v>
      </c>
      <c r="O27" s="34">
        <f>IF(Select2=1,E27,E16)</f>
        <v>0</v>
      </c>
      <c r="Q27" s="34" t="s">
        <v>135</v>
      </c>
      <c r="R27" s="425">
        <f>IF(Select2=1,J27,J16)</f>
        <v>0.05</v>
      </c>
    </row>
    <row r="28" spans="2:18" ht="13.5" thickBot="1">
      <c r="B28" s="34" t="str">
        <f>IF(Select2=1,"Industrial waste","")</f>
        <v>Industrial waste</v>
      </c>
      <c r="C28" s="577" t="str">
        <f>IF(Select2=1,INDEX(DOC_table,15,2),"")</f>
        <v>N.A</v>
      </c>
      <c r="D28" s="578">
        <f>IF(Select2=1,INDEX(DOC_table,15,1),"")</f>
        <v>0</v>
      </c>
      <c r="E28" s="292">
        <f t="shared" si="2"/>
        <v>0</v>
      </c>
      <c r="F28" s="579"/>
      <c r="H28" s="577" t="str">
        <f>IF(Select2=1,INDEX(DOC_table,15,4),"")</f>
        <v>0-0.54</v>
      </c>
      <c r="I28" s="578">
        <f>IF(Select2=1,INDEX(DOC_table,15,3),"")</f>
        <v>0.15</v>
      </c>
      <c r="J28" s="292">
        <f t="shared" ref="J28" si="3">I28</f>
        <v>0.15</v>
      </c>
      <c r="K28" s="579"/>
      <c r="L28" s="5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4" t="s">
        <v>23</v>
      </c>
      <c r="O28" s="34">
        <f>IF(Select2=1,E28,E$17)</f>
        <v>0</v>
      </c>
      <c r="Q28" s="34" t="s">
        <v>23</v>
      </c>
      <c r="R28" s="34">
        <f>IF(Select2=1,J28,J$17)</f>
        <v>0.15</v>
      </c>
    </row>
    <row r="29" spans="2:18" ht="13.5" thickBot="1">
      <c r="B29" s="37"/>
      <c r="C29" s="17"/>
      <c r="D29" s="38"/>
      <c r="E29" s="6"/>
      <c r="F29" s="37"/>
      <c r="L29" s="6"/>
    </row>
    <row r="30" spans="2:18" ht="13.5" thickBot="1">
      <c r="B30" s="50" t="s">
        <v>43</v>
      </c>
      <c r="C30" s="443"/>
      <c r="D30" s="46">
        <v>0.5</v>
      </c>
      <c r="E30" s="387">
        <f>D30</f>
        <v>0.5</v>
      </c>
      <c r="F30" s="391"/>
      <c r="L30" s="6"/>
    </row>
    <row r="31" spans="2:18" ht="13.5" thickBot="1">
      <c r="B31" s="37"/>
      <c r="C31" s="328"/>
      <c r="D31" s="329"/>
      <c r="E31" s="388"/>
      <c r="F31" s="37"/>
      <c r="L31" s="6"/>
    </row>
    <row r="32" spans="2:18" ht="13.5" thickBot="1">
      <c r="B32" s="50" t="s">
        <v>208</v>
      </c>
      <c r="C32" s="330"/>
      <c r="D32" s="331"/>
      <c r="E32" s="389"/>
      <c r="F32" s="392"/>
      <c r="L32" s="6"/>
    </row>
    <row r="33" spans="2:15" ht="15" thickBot="1">
      <c r="B33" s="174" t="s">
        <v>193</v>
      </c>
      <c r="C33" s="335" t="s">
        <v>113</v>
      </c>
      <c r="D33" s="336" t="s">
        <v>115</v>
      </c>
      <c r="E33" s="390"/>
      <c r="F33" s="393"/>
      <c r="L33" s="6"/>
      <c r="N33" t="s">
        <v>130</v>
      </c>
    </row>
    <row r="34" spans="2:15">
      <c r="B34" s="8" t="str">
        <f>IF(Select2=1,"Food waste","Bulk MSW")</f>
        <v>Food waste</v>
      </c>
      <c r="C34" s="184" t="str">
        <f>INDEX(half_life,IF(Select2=1,4,5),selected*2)</f>
        <v xml:space="preserve">0.17–0.7 </v>
      </c>
      <c r="D34" s="113">
        <f>INDEX(half_life,IF(Select2=1,4,5),selected*2-1)</f>
        <v>0.4</v>
      </c>
      <c r="E34" s="629">
        <f t="shared" ref="E34:E39" si="4">D34</f>
        <v>0.4</v>
      </c>
      <c r="F34" s="152"/>
      <c r="L34" s="384" t="str">
        <f>IF(Select2=1,"May include garden waste provided that a suitable value of DOC is used","")</f>
        <v>May include garden waste provided that a suitable value of DOC is used</v>
      </c>
      <c r="N34" s="55" t="s">
        <v>6</v>
      </c>
      <c r="O34" s="55">
        <f t="shared" ref="O34:O44" si="5">IF(Select2=1,E34,0)</f>
        <v>0.4</v>
      </c>
    </row>
    <row r="35" spans="2:15">
      <c r="B35" s="8" t="str">
        <f>IF(Select2=1,"Paper/cardboard","Sewage sludge")</f>
        <v>Paper/cardboard</v>
      </c>
      <c r="C35" s="185" t="str">
        <f>INDEX(half_life,IF(Select2=1,1,4),selected*2)</f>
        <v>0.06–0.085</v>
      </c>
      <c r="D35" s="90">
        <f>INDEX(half_life,IF(Select2=1,1,4),selected*2-1)</f>
        <v>7.0000000000000007E-2</v>
      </c>
      <c r="E35" s="630">
        <f t="shared" si="4"/>
        <v>7.0000000000000007E-2</v>
      </c>
      <c r="F35" s="58"/>
      <c r="L35"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46" t="s">
        <v>262</v>
      </c>
      <c r="O35" s="2">
        <f t="shared" si="5"/>
        <v>7.0000000000000007E-2</v>
      </c>
    </row>
    <row r="36" spans="2:15">
      <c r="B36" s="2" t="str">
        <f>IF(Select2=1,"Garden and Park waste","Industrial waste")</f>
        <v>Garden and Park waste</v>
      </c>
      <c r="C36" s="185" t="str">
        <f>INDEX(half_life,IF(Select2=1,3,5),selected*2)</f>
        <v>0.15–0.2</v>
      </c>
      <c r="D36" s="90">
        <f>INDEX(half_life,IF(Select2=1,3,5),selected*2-1)</f>
        <v>0.17</v>
      </c>
      <c r="E36" s="630">
        <f t="shared" si="4"/>
        <v>0.17</v>
      </c>
      <c r="F36" s="58"/>
      <c r="L36" s="6"/>
      <c r="N36" s="445" t="s">
        <v>261</v>
      </c>
      <c r="O36" s="2">
        <f t="shared" si="5"/>
        <v>0.17</v>
      </c>
    </row>
    <row r="37" spans="2:15">
      <c r="B37" s="2" t="str">
        <f>IF(Select2=1,"Textiles","")</f>
        <v>Textiles</v>
      </c>
      <c r="C37" s="186" t="str">
        <f>IF(Select2=1,INDEX(half_life,1,selected*2),"")</f>
        <v>0.06–0.085</v>
      </c>
      <c r="D37" s="90">
        <f>IF(Select2=1,INDEX(half_life,1,selected*2-1),"")</f>
        <v>7.0000000000000007E-2</v>
      </c>
      <c r="E37" s="630">
        <f t="shared" si="4"/>
        <v>7.0000000000000007E-2</v>
      </c>
      <c r="F37" s="58"/>
      <c r="L37" s="6"/>
      <c r="N37" s="2" t="s">
        <v>16</v>
      </c>
      <c r="O37" s="2">
        <f t="shared" si="5"/>
        <v>7.0000000000000007E-2</v>
      </c>
    </row>
    <row r="38" spans="2:15">
      <c r="B38" s="2" t="str">
        <f>IF(Select2=1,"Rubber and Leather","")</f>
        <v>Rubber and Leather</v>
      </c>
      <c r="C38" s="186" t="str">
        <f>IF(Select2=1,INDEX(half_life,2,selected*2),"")</f>
        <v>0.03–0.05</v>
      </c>
      <c r="D38" s="90">
        <f>IF(Select2=1,INDEX(half_life,2,selected*2-1),"")</f>
        <v>3.5000000000000003E-2</v>
      </c>
      <c r="E38" s="631">
        <f t="shared" si="4"/>
        <v>3.5000000000000003E-2</v>
      </c>
      <c r="F38" s="271"/>
      <c r="L38" s="384"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86" t="str">
        <f>IF(Select2=1,INDEX(half_life,2,selected*2),"")</f>
        <v>0.03–0.05</v>
      </c>
      <c r="D39" s="90">
        <f>IF(Select2=1,INDEX(half_life,2,selected*2-1),"")</f>
        <v>3.5000000000000003E-2</v>
      </c>
      <c r="E39" s="631">
        <f t="shared" si="4"/>
        <v>3.5000000000000003E-2</v>
      </c>
      <c r="F39" s="271"/>
      <c r="N39" s="444" t="s">
        <v>2</v>
      </c>
      <c r="O39" s="2">
        <f t="shared" si="5"/>
        <v>3.5000000000000003E-2</v>
      </c>
    </row>
    <row r="40" spans="2:15">
      <c r="B40" s="2" t="str">
        <f>IF(Select2=1,"Nappies","")</f>
        <v>Nappies</v>
      </c>
      <c r="C40" s="186" t="str">
        <f>IF(Select2=1,INDEX(half_life,3,selected*2),"")</f>
        <v>0.15–0.2</v>
      </c>
      <c r="D40" s="90">
        <f>IF(Select2=1,INDEX(half_life,3,selected*2-1),"")</f>
        <v>0.17</v>
      </c>
      <c r="E40" s="631">
        <f>D40</f>
        <v>0.17</v>
      </c>
      <c r="F40" s="271"/>
      <c r="N40" s="444" t="s">
        <v>267</v>
      </c>
      <c r="O40" s="2">
        <f t="shared" si="5"/>
        <v>0.17</v>
      </c>
    </row>
    <row r="41" spans="2:15">
      <c r="B41" s="166" t="str">
        <f>IF(Select2=1,"Plastics","")</f>
        <v>Plastics</v>
      </c>
      <c r="C41" s="186">
        <f t="shared" ref="C41:D44" si="6">IF(Select2=1,0,"")</f>
        <v>0</v>
      </c>
      <c r="D41" s="464">
        <f t="shared" si="6"/>
        <v>0</v>
      </c>
      <c r="E41" s="631">
        <f>D41</f>
        <v>0</v>
      </c>
      <c r="F41" s="271"/>
      <c r="N41" s="166" t="s">
        <v>230</v>
      </c>
      <c r="O41" s="2">
        <f t="shared" si="5"/>
        <v>0</v>
      </c>
    </row>
    <row r="42" spans="2:15">
      <c r="B42" s="166" t="str">
        <f>IF(Select2=1,"Metal","")</f>
        <v>Metal</v>
      </c>
      <c r="C42" s="186">
        <f t="shared" si="6"/>
        <v>0</v>
      </c>
      <c r="D42" s="464">
        <f t="shared" si="6"/>
        <v>0</v>
      </c>
      <c r="E42" s="631">
        <f>D42</f>
        <v>0</v>
      </c>
      <c r="F42" s="271"/>
      <c r="N42" s="166" t="s">
        <v>231</v>
      </c>
      <c r="O42" s="2">
        <f t="shared" si="5"/>
        <v>0</v>
      </c>
    </row>
    <row r="43" spans="2:15">
      <c r="B43" s="166" t="str">
        <f>IF(Select2=1,"Glass","")</f>
        <v>Glass</v>
      </c>
      <c r="C43" s="186">
        <f t="shared" si="6"/>
        <v>0</v>
      </c>
      <c r="D43" s="464">
        <f t="shared" si="6"/>
        <v>0</v>
      </c>
      <c r="E43" s="631">
        <f>D43</f>
        <v>0</v>
      </c>
      <c r="F43" s="271"/>
      <c r="N43" s="166" t="s">
        <v>232</v>
      </c>
      <c r="O43" s="2">
        <f t="shared" si="5"/>
        <v>0</v>
      </c>
    </row>
    <row r="44" spans="2:15">
      <c r="B44" s="166" t="str">
        <f>IF(Select2=1,"Other","")</f>
        <v>Other</v>
      </c>
      <c r="C44" s="186">
        <f t="shared" si="6"/>
        <v>0</v>
      </c>
      <c r="D44" s="464">
        <f t="shared" si="6"/>
        <v>0</v>
      </c>
      <c r="E44" s="631">
        <f>D44</f>
        <v>0</v>
      </c>
      <c r="F44" s="271"/>
      <c r="N44" s="166" t="s">
        <v>233</v>
      </c>
      <c r="O44" s="2">
        <f t="shared" si="5"/>
        <v>0</v>
      </c>
    </row>
    <row r="45" spans="2:15">
      <c r="B45" s="166"/>
      <c r="C45" s="186"/>
      <c r="D45" s="90"/>
      <c r="E45" s="631"/>
      <c r="F45" s="271"/>
      <c r="N45" s="444" t="s">
        <v>204</v>
      </c>
      <c r="O45" s="2">
        <f>IF(Select2=1,0,E$34)</f>
        <v>0</v>
      </c>
    </row>
    <row r="46" spans="2:15" ht="13.5" thickBot="1">
      <c r="B46" s="2" t="str">
        <f>IF(Select2=1,"Sewage sludge","")</f>
        <v>Sewage sludge</v>
      </c>
      <c r="C46" s="186" t="str">
        <f>IF(Select2=1,INDEX(half_life,4,selected*2),"")</f>
        <v xml:space="preserve">0.17–0.7 </v>
      </c>
      <c r="D46" s="90">
        <f>IF(Select2=1,INDEX(half_life,4,selected*2-1),"")</f>
        <v>0.4</v>
      </c>
      <c r="E46" s="631">
        <f>D46</f>
        <v>0.4</v>
      </c>
      <c r="F46" s="271"/>
      <c r="N46" s="34" t="s">
        <v>135</v>
      </c>
      <c r="O46" s="34">
        <f>IF(Select2=1,E46,E$35)</f>
        <v>0.4</v>
      </c>
    </row>
    <row r="47" spans="2:15" ht="13.5" thickBot="1">
      <c r="B47" s="34" t="str">
        <f>IF(Select2=1,"Industrial waste","")</f>
        <v>Industrial waste</v>
      </c>
      <c r="C47" s="577" t="str">
        <f>IF(Select2=1,INDEX(half_life,5,selected*2),"")</f>
        <v>0.15–0.2</v>
      </c>
      <c r="D47" s="582">
        <f>IF(Select2=1,INDEX(half_life,5,selected*2-1),"")</f>
        <v>0.17</v>
      </c>
      <c r="E47" s="632">
        <f t="shared" ref="E47" si="7">D47</f>
        <v>0.17</v>
      </c>
      <c r="F47" s="579"/>
      <c r="L47" s="5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4" t="s">
        <v>23</v>
      </c>
      <c r="O47" s="34">
        <f>IF(Select2=1,E47,E$36)</f>
        <v>0.17</v>
      </c>
    </row>
    <row r="48" spans="2:15" ht="13.5" thickBot="1">
      <c r="B48" s="37"/>
      <c r="C48" s="17"/>
      <c r="D48" s="38"/>
      <c r="E48" s="20"/>
      <c r="F48" s="38"/>
    </row>
    <row r="49" spans="1:18" ht="13.5" thickBot="1">
      <c r="B49" s="50" t="s">
        <v>42</v>
      </c>
      <c r="C49" s="53"/>
      <c r="D49" s="46">
        <v>6</v>
      </c>
      <c r="E49" s="633">
        <v>6</v>
      </c>
      <c r="F49" s="57"/>
    </row>
    <row r="50" spans="1:18" ht="13.5" thickBot="1">
      <c r="B50" s="37"/>
      <c r="C50" s="17"/>
      <c r="D50" s="38"/>
      <c r="E50" s="39"/>
      <c r="F50" s="38"/>
    </row>
    <row r="51" spans="1:18" ht="13.5" thickBot="1">
      <c r="B51" s="50" t="s">
        <v>207</v>
      </c>
      <c r="C51" s="53"/>
      <c r="D51" s="36">
        <v>0.5</v>
      </c>
      <c r="E51" s="633">
        <f>D51</f>
        <v>0.5</v>
      </c>
      <c r="F51" s="57"/>
    </row>
    <row r="52" spans="1:18" ht="13.5" thickBot="1">
      <c r="B52" s="37"/>
      <c r="C52" s="17"/>
      <c r="D52" s="38"/>
      <c r="E52" s="20"/>
      <c r="F52" s="38"/>
    </row>
    <row r="53" spans="1:18" ht="16.5" thickBot="1">
      <c r="B53" s="50" t="s">
        <v>21</v>
      </c>
      <c r="C53" s="53"/>
      <c r="D53" s="41">
        <f>16/12</f>
        <v>1.3333333333333333</v>
      </c>
      <c r="E53" s="42">
        <f>16/12</f>
        <v>1.3333333333333333</v>
      </c>
      <c r="F53" s="43"/>
    </row>
    <row r="54" spans="1:18" ht="13.5" thickBot="1">
      <c r="B54" s="37"/>
      <c r="C54" s="17"/>
      <c r="D54" s="38"/>
      <c r="E54" s="20"/>
      <c r="F54" s="38"/>
    </row>
    <row r="55" spans="1:18" ht="13.5" thickBot="1">
      <c r="B55" s="50" t="s">
        <v>22</v>
      </c>
      <c r="C55" s="53"/>
      <c r="D55" s="36">
        <v>0</v>
      </c>
      <c r="E55" s="633">
        <f>D55</f>
        <v>0</v>
      </c>
      <c r="F55" s="57"/>
    </row>
    <row r="56" spans="1:18" ht="13.5" thickBot="1">
      <c r="B56" s="44"/>
      <c r="C56" s="17"/>
      <c r="D56" s="45"/>
      <c r="E56" s="40"/>
      <c r="F56" s="38"/>
    </row>
    <row r="57" spans="1:18" ht="13.5" thickBot="1">
      <c r="A57" s="31"/>
      <c r="B57" s="50" t="s">
        <v>80</v>
      </c>
      <c r="C57" s="53"/>
      <c r="D57" s="51"/>
      <c r="E57" s="52"/>
      <c r="F57" s="51"/>
      <c r="L57" s="31"/>
    </row>
    <row r="58" spans="1:18">
      <c r="A58" s="31"/>
      <c r="B58" s="315" t="s">
        <v>195</v>
      </c>
      <c r="C58" s="307"/>
      <c r="D58" s="312">
        <v>0</v>
      </c>
      <c r="E58" s="634">
        <f>D58</f>
        <v>0</v>
      </c>
      <c r="F58" s="114"/>
      <c r="L58" s="31"/>
    </row>
    <row r="59" spans="1:18" ht="13.5" thickBot="1">
      <c r="B59" s="316" t="s">
        <v>196</v>
      </c>
      <c r="C59" s="313"/>
      <c r="D59" s="314">
        <v>0</v>
      </c>
      <c r="E59" s="635">
        <f>D59</f>
        <v>0</v>
      </c>
      <c r="F59" s="56"/>
    </row>
    <row r="60" spans="1:18" ht="13.5" thickBot="1">
      <c r="B60" s="158"/>
      <c r="C60" s="294"/>
      <c r="D60" s="295"/>
      <c r="E60" s="297"/>
      <c r="F60" s="296"/>
    </row>
    <row r="61" spans="1:18" s="31" customFormat="1" ht="26.25" thickBot="1">
      <c r="A61"/>
      <c r="B61" s="303" t="s">
        <v>209</v>
      </c>
      <c r="C61" s="177"/>
      <c r="D61" s="761" t="s">
        <v>250</v>
      </c>
      <c r="E61" s="762"/>
      <c r="F61" s="763"/>
      <c r="H61" s="53"/>
      <c r="I61" s="761" t="s">
        <v>251</v>
      </c>
      <c r="J61" s="762"/>
      <c r="K61" s="763"/>
      <c r="L61"/>
      <c r="N61"/>
      <c r="O61"/>
      <c r="P61"/>
    </row>
    <row r="62" spans="1:18" s="31" customFormat="1" ht="13.5" thickBot="1">
      <c r="A62"/>
      <c r="B62" s="304" t="str">
        <f>IF(Select2=1,"","DOC for garden waste")</f>
        <v/>
      </c>
      <c r="C62" s="307"/>
      <c r="D62" s="310" t="str">
        <f>IF(Select2=1,"",INDEX(DOC_table,3,1))</f>
        <v/>
      </c>
      <c r="E62" s="322" t="str">
        <f>D62</f>
        <v/>
      </c>
      <c r="F62" s="323"/>
      <c r="H62" s="307"/>
      <c r="I62" s="310" t="str">
        <f>IF(Select2=1,"",INDEX(DOC_table,3,3))</f>
        <v/>
      </c>
      <c r="J62" s="322" t="str">
        <f>I62</f>
        <v/>
      </c>
      <c r="K62" s="323"/>
      <c r="L62"/>
      <c r="N62" s="462" t="s">
        <v>278</v>
      </c>
      <c r="O62" s="55" t="str">
        <f>IF(Select2=2,E62,"")</f>
        <v/>
      </c>
      <c r="Q62" s="462" t="s">
        <v>278</v>
      </c>
      <c r="R62" s="55" t="str">
        <f>IF(Select2=2,J62,"")</f>
        <v/>
      </c>
    </row>
    <row r="63" spans="1:18" ht="13.5" thickBot="1">
      <c r="B63" s="305" t="str">
        <f>IF(Select2=1,"","DOC for paper and cardboard")</f>
        <v/>
      </c>
      <c r="C63" s="308"/>
      <c r="D63" s="311" t="str">
        <f>IF(Select2=1,"",INDEX(DOC_table,2,1))</f>
        <v/>
      </c>
      <c r="E63" s="324" t="str">
        <f>D63</f>
        <v/>
      </c>
      <c r="F63" s="325"/>
      <c r="H63" s="308"/>
      <c r="I63" s="311" t="str">
        <f>IF(Select2=1,"",INDEX(DOC_table,2,3))</f>
        <v/>
      </c>
      <c r="J63" s="324" t="str">
        <f>I63</f>
        <v/>
      </c>
      <c r="K63" s="325"/>
      <c r="N63" s="462" t="s">
        <v>279</v>
      </c>
      <c r="O63" s="2" t="str">
        <f>IF(Select2=2,E63,"")</f>
        <v/>
      </c>
      <c r="P63" s="31"/>
      <c r="Q63" s="462" t="s">
        <v>279</v>
      </c>
      <c r="R63" s="2" t="str">
        <f>IF(Select2=2,J63,"")</f>
        <v/>
      </c>
    </row>
    <row r="64" spans="1:18" ht="13.5" thickBot="1">
      <c r="B64" s="306" t="str">
        <f>IF(Select2=1,"","DOC for wood and straw")</f>
        <v/>
      </c>
      <c r="C64" s="309"/>
      <c r="D64" s="317" t="str">
        <f>IF(Select2=1,"",INDEX(DOC_table,6,1))</f>
        <v/>
      </c>
      <c r="E64" s="326" t="str">
        <f>D64</f>
        <v/>
      </c>
      <c r="F64" s="327"/>
      <c r="H64" s="309"/>
      <c r="I64" s="317" t="str">
        <f>IF(Select2=1,"",INDEX(DOC_table,6,3))</f>
        <v/>
      </c>
      <c r="J64" s="326" t="str">
        <f>I64</f>
        <v/>
      </c>
      <c r="K64" s="327"/>
      <c r="N64" s="462" t="s">
        <v>280</v>
      </c>
      <c r="O64" s="34" t="str">
        <f>IF(Select2=2,E64,"")</f>
        <v/>
      </c>
      <c r="Q64" s="462" t="s">
        <v>280</v>
      </c>
      <c r="R64" s="34" t="str">
        <f>IF(Select2=2,J64,"")</f>
        <v/>
      </c>
    </row>
    <row r="69" spans="2:8">
      <c r="B69" s="613" t="s">
        <v>336</v>
      </c>
    </row>
    <row r="71" spans="2:8">
      <c r="B71" s="776" t="s">
        <v>317</v>
      </c>
      <c r="C71" s="776"/>
      <c r="D71" s="777" t="s">
        <v>318</v>
      </c>
      <c r="E71" s="777"/>
      <c r="F71" s="777"/>
      <c r="G71" s="777"/>
      <c r="H71" s="777"/>
    </row>
    <row r="72" spans="2:8">
      <c r="B72" s="776" t="s">
        <v>319</v>
      </c>
      <c r="C72" s="776"/>
      <c r="D72" s="777" t="s">
        <v>320</v>
      </c>
      <c r="E72" s="777"/>
      <c r="F72" s="777"/>
      <c r="G72" s="777"/>
      <c r="H72" s="777"/>
    </row>
    <row r="73" spans="2:8">
      <c r="B73" s="776" t="s">
        <v>321</v>
      </c>
      <c r="C73" s="776"/>
      <c r="D73" s="777" t="s">
        <v>322</v>
      </c>
      <c r="E73" s="777"/>
      <c r="F73" s="777"/>
      <c r="G73" s="777"/>
      <c r="H73" s="777"/>
    </row>
    <row r="74" spans="2:8">
      <c r="B74" s="776" t="s">
        <v>323</v>
      </c>
      <c r="C74" s="776"/>
      <c r="D74" s="777" t="s">
        <v>324</v>
      </c>
      <c r="E74" s="777"/>
      <c r="F74" s="777"/>
      <c r="G74" s="777"/>
      <c r="H74" s="777"/>
    </row>
    <row r="75" spans="2:8">
      <c r="B75" s="611"/>
      <c r="C75" s="612"/>
      <c r="D75" s="612"/>
      <c r="E75" s="612"/>
      <c r="F75" s="612"/>
      <c r="G75" s="612"/>
      <c r="H75" s="612"/>
    </row>
    <row r="76" spans="2:8">
      <c r="B76" s="614"/>
      <c r="C76" s="615" t="s">
        <v>325</v>
      </c>
      <c r="D76" s="616" t="s">
        <v>87</v>
      </c>
      <c r="E76" s="616" t="s">
        <v>88</v>
      </c>
    </row>
    <row r="77" spans="2:8">
      <c r="B77" s="782" t="s">
        <v>133</v>
      </c>
      <c r="C77" s="617" t="s">
        <v>326</v>
      </c>
      <c r="D77" s="618" t="s">
        <v>327</v>
      </c>
      <c r="E77" s="618" t="s">
        <v>9</v>
      </c>
      <c r="F77" s="525"/>
      <c r="G77" s="597"/>
      <c r="H77" s="6"/>
    </row>
    <row r="78" spans="2:8">
      <c r="B78" s="783"/>
      <c r="C78" s="619"/>
      <c r="D78" s="620"/>
      <c r="E78" s="621"/>
      <c r="F78" s="6"/>
      <c r="G78" s="525"/>
      <c r="H78" s="6"/>
    </row>
    <row r="79" spans="2:8">
      <c r="B79" s="783"/>
      <c r="C79" s="619"/>
      <c r="D79" s="620"/>
      <c r="E79" s="621"/>
      <c r="F79" s="6"/>
      <c r="G79" s="525"/>
      <c r="H79" s="6"/>
    </row>
    <row r="80" spans="2:8">
      <c r="B80" s="783"/>
      <c r="C80" s="619"/>
      <c r="D80" s="620"/>
      <c r="E80" s="621"/>
      <c r="F80" s="6"/>
      <c r="G80" s="525"/>
      <c r="H80" s="6"/>
    </row>
    <row r="81" spans="2:8">
      <c r="B81" s="783"/>
      <c r="C81" s="619"/>
      <c r="D81" s="620"/>
      <c r="E81" s="621"/>
      <c r="F81" s="6"/>
      <c r="G81" s="525"/>
      <c r="H81" s="6"/>
    </row>
    <row r="82" spans="2:8">
      <c r="B82" s="783"/>
      <c r="C82" s="619"/>
      <c r="D82" s="620" t="s">
        <v>328</v>
      </c>
      <c r="E82" s="621"/>
      <c r="F82" s="6"/>
      <c r="G82" s="525"/>
      <c r="H82" s="6"/>
    </row>
    <row r="83" spans="2:8" ht="13.5" thickBot="1">
      <c r="B83" s="784"/>
      <c r="C83" s="622"/>
      <c r="D83" s="622"/>
      <c r="E83" s="623" t="s">
        <v>329</v>
      </c>
      <c r="F83" s="6"/>
      <c r="G83" s="6"/>
      <c r="H83" s="6"/>
    </row>
    <row r="84" spans="2:8" ht="13.5" thickTop="1">
      <c r="B84" s="614"/>
      <c r="C84" s="621"/>
      <c r="D84" s="614"/>
      <c r="E84" s="624"/>
      <c r="F84" s="6"/>
      <c r="G84" s="6"/>
      <c r="H84" s="6"/>
    </row>
    <row r="85" spans="2:8">
      <c r="B85" s="778" t="s">
        <v>330</v>
      </c>
      <c r="C85" s="779"/>
      <c r="D85" s="779"/>
      <c r="E85" s="780"/>
      <c r="F85" s="6"/>
      <c r="G85" s="6"/>
      <c r="H85" s="6"/>
    </row>
    <row r="86" spans="2:8">
      <c r="B86" s="625" t="s">
        <v>6</v>
      </c>
      <c r="C86" s="626">
        <v>0.63560000000000005</v>
      </c>
      <c r="D86" s="627">
        <v>0.15</v>
      </c>
      <c r="E86" s="627">
        <f>C86*D86</f>
        <v>9.5340000000000008E-2</v>
      </c>
      <c r="F86" s="6"/>
      <c r="G86" s="6"/>
      <c r="H86" s="6"/>
    </row>
    <row r="87" spans="2:8">
      <c r="B87" s="625" t="s">
        <v>256</v>
      </c>
      <c r="C87" s="626">
        <v>0.1042</v>
      </c>
      <c r="D87" s="627">
        <v>0.4</v>
      </c>
      <c r="E87" s="627">
        <f t="shared" ref="E87:E94" si="8">C87*D87</f>
        <v>4.1680000000000002E-2</v>
      </c>
      <c r="F87" s="6"/>
      <c r="G87" s="6"/>
      <c r="H87" s="6"/>
    </row>
    <row r="88" spans="2:8">
      <c r="B88" s="625" t="s">
        <v>2</v>
      </c>
      <c r="C88" s="626">
        <v>0</v>
      </c>
      <c r="D88" s="627">
        <v>0.43</v>
      </c>
      <c r="E88" s="627">
        <f t="shared" si="8"/>
        <v>0</v>
      </c>
      <c r="F88" s="6"/>
      <c r="G88" s="6"/>
      <c r="H88" s="6"/>
    </row>
    <row r="89" spans="2:8">
      <c r="B89" s="625" t="s">
        <v>16</v>
      </c>
      <c r="C89" s="626">
        <v>0</v>
      </c>
      <c r="D89" s="627">
        <v>0.24</v>
      </c>
      <c r="E89" s="627">
        <f t="shared" si="8"/>
        <v>0</v>
      </c>
      <c r="F89" s="6"/>
      <c r="G89" s="6"/>
      <c r="H89" s="6"/>
    </row>
    <row r="90" spans="2:8">
      <c r="B90" s="625" t="s">
        <v>331</v>
      </c>
      <c r="C90" s="626">
        <v>0</v>
      </c>
      <c r="D90" s="627">
        <v>0.39</v>
      </c>
      <c r="E90" s="627">
        <f t="shared" si="8"/>
        <v>0</v>
      </c>
    </row>
    <row r="91" spans="2:8">
      <c r="B91" s="625" t="s">
        <v>332</v>
      </c>
      <c r="C91" s="626">
        <v>1.4500000000000001E-2</v>
      </c>
      <c r="D91" s="627">
        <v>0</v>
      </c>
      <c r="E91" s="627">
        <f t="shared" si="8"/>
        <v>0</v>
      </c>
    </row>
    <row r="92" spans="2:8">
      <c r="B92" s="625" t="s">
        <v>231</v>
      </c>
      <c r="C92" s="626">
        <v>9.7600000000000006E-2</v>
      </c>
      <c r="D92" s="627">
        <v>0</v>
      </c>
      <c r="E92" s="627">
        <f t="shared" si="8"/>
        <v>0</v>
      </c>
    </row>
    <row r="93" spans="2:8">
      <c r="B93" s="625" t="s">
        <v>232</v>
      </c>
      <c r="C93" s="626">
        <v>1.7000000000000001E-2</v>
      </c>
      <c r="D93" s="627">
        <v>0</v>
      </c>
      <c r="E93" s="627">
        <f t="shared" si="8"/>
        <v>0</v>
      </c>
    </row>
    <row r="94" spans="2:8">
      <c r="B94" s="625" t="s">
        <v>233</v>
      </c>
      <c r="C94" s="626">
        <f>(0.95+12.16)/100</f>
        <v>0.13109999999999999</v>
      </c>
      <c r="D94" s="627">
        <v>0</v>
      </c>
      <c r="E94" s="627">
        <f t="shared" si="8"/>
        <v>0</v>
      </c>
    </row>
    <row r="95" spans="2:8">
      <c r="B95" s="781" t="s">
        <v>333</v>
      </c>
      <c r="C95" s="781"/>
      <c r="D95" s="781"/>
      <c r="E95" s="628">
        <f>SUM(E86:E94)</f>
        <v>0.13702</v>
      </c>
    </row>
    <row r="96" spans="2:8">
      <c r="B96" s="778" t="s">
        <v>334</v>
      </c>
      <c r="C96" s="779"/>
      <c r="D96" s="779"/>
      <c r="E96" s="780"/>
    </row>
    <row r="97" spans="2:5">
      <c r="B97" s="625" t="s">
        <v>6</v>
      </c>
      <c r="C97" s="626">
        <f>79.37/100</f>
        <v>0.79370000000000007</v>
      </c>
      <c r="D97" s="627">
        <v>0.15</v>
      </c>
      <c r="E97" s="627">
        <f>C97*D97</f>
        <v>0.11905500000000001</v>
      </c>
    </row>
    <row r="98" spans="2:5">
      <c r="B98" s="625" t="s">
        <v>256</v>
      </c>
      <c r="C98" s="626">
        <f>8.57/100</f>
        <v>8.5699999999999998E-2</v>
      </c>
      <c r="D98" s="627">
        <v>0.4</v>
      </c>
      <c r="E98" s="627">
        <f t="shared" ref="E98:E105" si="9">C98*D98</f>
        <v>3.4279999999999998E-2</v>
      </c>
    </row>
    <row r="99" spans="2:5">
      <c r="B99" s="625" t="s">
        <v>2</v>
      </c>
      <c r="C99" s="626">
        <f>0.75/100</f>
        <v>7.4999999999999997E-3</v>
      </c>
      <c r="D99" s="627">
        <v>0.43</v>
      </c>
      <c r="E99" s="627">
        <f t="shared" si="9"/>
        <v>3.225E-3</v>
      </c>
    </row>
    <row r="100" spans="2:5">
      <c r="B100" s="625" t="s">
        <v>16</v>
      </c>
      <c r="C100" s="626">
        <f>0.79/100</f>
        <v>7.9000000000000008E-3</v>
      </c>
      <c r="D100" s="627">
        <v>0.24</v>
      </c>
      <c r="E100" s="627">
        <f t="shared" si="9"/>
        <v>1.8960000000000001E-3</v>
      </c>
    </row>
    <row r="101" spans="2:5">
      <c r="B101" s="625" t="s">
        <v>331</v>
      </c>
      <c r="C101" s="626">
        <f>0.35/100</f>
        <v>3.4999999999999996E-3</v>
      </c>
      <c r="D101" s="627">
        <v>0.39</v>
      </c>
      <c r="E101" s="627">
        <f t="shared" si="9"/>
        <v>1.3649999999999999E-3</v>
      </c>
    </row>
    <row r="102" spans="2:5">
      <c r="B102" s="625" t="s">
        <v>332</v>
      </c>
      <c r="C102" s="626">
        <f>6.51/100</f>
        <v>6.5099999999999991E-2</v>
      </c>
      <c r="D102" s="627">
        <v>0</v>
      </c>
      <c r="E102" s="627">
        <f t="shared" si="9"/>
        <v>0</v>
      </c>
    </row>
    <row r="103" spans="2:5">
      <c r="B103" s="625" t="s">
        <v>231</v>
      </c>
      <c r="C103" s="626">
        <f>1.45/100</f>
        <v>1.4499999999999999E-2</v>
      </c>
      <c r="D103" s="627">
        <v>0</v>
      </c>
      <c r="E103" s="627">
        <f t="shared" si="9"/>
        <v>0</v>
      </c>
    </row>
    <row r="104" spans="2:5">
      <c r="B104" s="625" t="s">
        <v>232</v>
      </c>
      <c r="C104" s="626">
        <f>1.54/100</f>
        <v>1.54E-2</v>
      </c>
      <c r="D104" s="627">
        <v>0</v>
      </c>
      <c r="E104" s="627">
        <f t="shared" si="9"/>
        <v>0</v>
      </c>
    </row>
    <row r="105" spans="2:5">
      <c r="B105" s="625" t="s">
        <v>233</v>
      </c>
      <c r="C105" s="626">
        <f>0.67/100</f>
        <v>6.7000000000000002E-3</v>
      </c>
      <c r="D105" s="627">
        <v>0</v>
      </c>
      <c r="E105" s="627">
        <f t="shared" si="9"/>
        <v>0</v>
      </c>
    </row>
    <row r="106" spans="2:5">
      <c r="B106" s="781" t="s">
        <v>333</v>
      </c>
      <c r="C106" s="781"/>
      <c r="D106" s="781"/>
      <c r="E106" s="628">
        <f>SUM(E97:E105)</f>
        <v>0.15982100000000002</v>
      </c>
    </row>
    <row r="107" spans="2:5">
      <c r="B107" s="778" t="s">
        <v>335</v>
      </c>
      <c r="C107" s="779"/>
      <c r="D107" s="779"/>
      <c r="E107" s="780"/>
    </row>
    <row r="108" spans="2:5">
      <c r="B108" s="625" t="s">
        <v>6</v>
      </c>
      <c r="C108" s="626">
        <f>(59.47+6.92)/100</f>
        <v>0.66390000000000005</v>
      </c>
      <c r="D108" s="627">
        <v>0.15</v>
      </c>
      <c r="E108" s="627">
        <f>C108*D108</f>
        <v>9.9585000000000007E-2</v>
      </c>
    </row>
    <row r="109" spans="2:5">
      <c r="B109" s="625" t="s">
        <v>256</v>
      </c>
      <c r="C109" s="626">
        <f>12.85/100</f>
        <v>0.1285</v>
      </c>
      <c r="D109" s="627">
        <v>0.4</v>
      </c>
      <c r="E109" s="627">
        <f t="shared" ref="E109:E116" si="10">C109*D109</f>
        <v>5.1400000000000001E-2</v>
      </c>
    </row>
    <row r="110" spans="2:5">
      <c r="B110" s="625" t="s">
        <v>2</v>
      </c>
      <c r="C110" s="626">
        <v>0</v>
      </c>
      <c r="D110" s="627">
        <v>0.43</v>
      </c>
      <c r="E110" s="627">
        <f t="shared" si="10"/>
        <v>0</v>
      </c>
    </row>
    <row r="111" spans="2:5">
      <c r="B111" s="625" t="s">
        <v>16</v>
      </c>
      <c r="C111" s="626">
        <f>0.81/100</f>
        <v>8.1000000000000013E-3</v>
      </c>
      <c r="D111" s="627">
        <v>0.24</v>
      </c>
      <c r="E111" s="627">
        <f t="shared" si="10"/>
        <v>1.9440000000000002E-3</v>
      </c>
    </row>
    <row r="112" spans="2:5">
      <c r="B112" s="625" t="s">
        <v>331</v>
      </c>
      <c r="C112" s="626">
        <v>0</v>
      </c>
      <c r="D112" s="627">
        <v>0.39</v>
      </c>
      <c r="E112" s="627">
        <f t="shared" si="10"/>
        <v>0</v>
      </c>
    </row>
    <row r="113" spans="2:5">
      <c r="B113" s="625" t="s">
        <v>332</v>
      </c>
      <c r="C113" s="626">
        <f>10.71/100</f>
        <v>0.10710000000000001</v>
      </c>
      <c r="D113" s="627">
        <v>0</v>
      </c>
      <c r="E113" s="627">
        <f t="shared" si="10"/>
        <v>0</v>
      </c>
    </row>
    <row r="114" spans="2:5">
      <c r="B114" s="625" t="s">
        <v>231</v>
      </c>
      <c r="C114" s="626">
        <f>1.77/100</f>
        <v>1.77E-2</v>
      </c>
      <c r="D114" s="627">
        <v>0</v>
      </c>
      <c r="E114" s="627">
        <f t="shared" si="10"/>
        <v>0</v>
      </c>
    </row>
    <row r="115" spans="2:5">
      <c r="B115" s="625" t="s">
        <v>232</v>
      </c>
      <c r="C115" s="626">
        <f>1.33/100</f>
        <v>1.3300000000000001E-2</v>
      </c>
      <c r="D115" s="627">
        <v>0</v>
      </c>
      <c r="E115" s="627">
        <f t="shared" si="10"/>
        <v>0</v>
      </c>
    </row>
    <row r="116" spans="2:5">
      <c r="B116" s="625" t="s">
        <v>233</v>
      </c>
      <c r="C116" s="626">
        <f>6.21/100</f>
        <v>6.2100000000000002E-2</v>
      </c>
      <c r="D116" s="627">
        <v>0</v>
      </c>
      <c r="E116" s="627">
        <f t="shared" si="10"/>
        <v>0</v>
      </c>
    </row>
    <row r="117" spans="2:5">
      <c r="B117" s="781" t="s">
        <v>333</v>
      </c>
      <c r="C117" s="781"/>
      <c r="D117" s="781"/>
      <c r="E117" s="6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309</v>
      </c>
      <c r="C2" s="251"/>
      <c r="D2" s="251"/>
      <c r="E2" s="252"/>
      <c r="F2" s="253"/>
      <c r="G2" s="253"/>
      <c r="H2" s="253"/>
      <c r="I2" s="253"/>
      <c r="J2" s="253"/>
      <c r="K2" s="253"/>
    </row>
    <row r="3" spans="1:23" ht="15">
      <c r="B3" s="275" t="str">
        <f>IF(Select2=1,"This sheet applies only to the bulk waste option and can be deleted when the waste composition option has been chosen","")</f>
        <v>This sheet applies only to the bulk waste option and can be deleted when the waste composition option has been chosen</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Parameters!O26</f>
        <v>0</v>
      </c>
      <c r="O6" s="257"/>
      <c r="P6" s="258"/>
      <c r="Q6" s="249"/>
      <c r="R6" s="128" t="s">
        <v>9</v>
      </c>
      <c r="S6" s="129"/>
      <c r="T6" s="129"/>
      <c r="U6" s="133"/>
      <c r="V6" s="140" t="s">
        <v>9</v>
      </c>
      <c r="W6" s="293">
        <f>Parameters!R26</f>
        <v>0</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Parameters!O45</f>
        <v>0</v>
      </c>
      <c r="O8" s="67"/>
      <c r="P8" s="67"/>
      <c r="Q8" s="249"/>
      <c r="R8" s="128" t="s">
        <v>192</v>
      </c>
      <c r="S8" s="129"/>
      <c r="T8" s="129"/>
      <c r="U8" s="133"/>
      <c r="V8" s="140" t="s">
        <v>188</v>
      </c>
      <c r="W8" s="134">
        <f>Parameters!O45</f>
        <v>0</v>
      </c>
    </row>
    <row r="9" spans="1:23" ht="15.75">
      <c r="F9" s="279" t="s">
        <v>190</v>
      </c>
      <c r="G9" s="280"/>
      <c r="H9" s="280"/>
      <c r="I9" s="281"/>
      <c r="J9" s="282" t="s">
        <v>189</v>
      </c>
      <c r="K9" s="288" t="e">
        <f>LN(2)/$K$8</f>
        <v>#DIV/0!</v>
      </c>
      <c r="O9" s="67"/>
      <c r="P9" s="67"/>
      <c r="Q9" s="249"/>
      <c r="R9" s="279" t="s">
        <v>190</v>
      </c>
      <c r="S9" s="280"/>
      <c r="T9" s="280"/>
      <c r="U9" s="281"/>
      <c r="V9" s="282" t="s">
        <v>189</v>
      </c>
      <c r="W9" s="288" t="e">
        <f>LN(2)/$W$8</f>
        <v>#DIV/0!</v>
      </c>
    </row>
    <row r="10" spans="1:23">
      <c r="F10" s="130" t="s">
        <v>84</v>
      </c>
      <c r="G10" s="131"/>
      <c r="H10" s="131"/>
      <c r="I10" s="132"/>
      <c r="J10" s="141" t="s">
        <v>148</v>
      </c>
      <c r="K10" s="69">
        <f>EXP(-$K$8)</f>
        <v>1</v>
      </c>
      <c r="O10" s="67"/>
      <c r="P10" s="67"/>
      <c r="Q10" s="249"/>
      <c r="R10" s="130" t="s">
        <v>84</v>
      </c>
      <c r="S10" s="131"/>
      <c r="T10" s="131"/>
      <c r="U10" s="132"/>
      <c r="V10" s="141" t="s">
        <v>148</v>
      </c>
      <c r="W10" s="69">
        <f>EXP(-$W$8)</f>
        <v>1</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Amnt_Deposited!O14</f>
        <v>32.145558324</v>
      </c>
      <c r="D19" s="451">
        <f>Dry_Matter_Content!O6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Amnt_Deposited!O14</f>
        <v>32.145558324</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Amnt_Deposited!O15</f>
        <v>32.789183328</v>
      </c>
      <c r="D20" s="453">
        <f>Dry_Matter_Content!O7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Amnt_Deposited!O15</f>
        <v>32.789183328</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Amnt_Deposited!O16</f>
        <v>33.537048336000005</v>
      </c>
      <c r="D21" s="453">
        <f>Dry_Matter_Content!O8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Amnt_Deposited!O16</f>
        <v>33.537048336000005</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Amnt_Deposited!O17</f>
        <v>34.611318323999996</v>
      </c>
      <c r="D22" s="453">
        <f>Dry_Matter_Content!O9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Amnt_Deposited!O17</f>
        <v>34.611318323999996</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Amnt_Deposited!O18</f>
        <v>35.013607067999999</v>
      </c>
      <c r="D23" s="453">
        <f>Dry_Matter_Content!O10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Amnt_Deposited!O18</f>
        <v>35.013607067999999</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Amnt_Deposited!O19</f>
        <v>35.986904183999997</v>
      </c>
      <c r="D24" s="453">
        <f>Dry_Matter_Content!O11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Amnt_Deposited!O19</f>
        <v>35.986904183999997</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Amnt_Deposited!O20</f>
        <v>36.401953236000004</v>
      </c>
      <c r="D25" s="453">
        <f>Dry_Matter_Content!O12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Amnt_Deposited!O20</f>
        <v>36.401953236000004</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Amnt_Deposited!O21</f>
        <v>36.806091300000006</v>
      </c>
      <c r="D26" s="453">
        <f>Dry_Matter_Content!O13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Amnt_Deposited!O21</f>
        <v>36.806091300000006</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Amnt_Deposited!O22</f>
        <v>37.195311515999997</v>
      </c>
      <c r="D27" s="453">
        <f>Dry_Matter_Content!O14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Amnt_Deposited!O22</f>
        <v>37.195311515999997</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Amnt_Deposited!O23</f>
        <v>37.564620720000001</v>
      </c>
      <c r="D28" s="453">
        <f>Dry_Matter_Content!O15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Amnt_Deposited!O23</f>
        <v>37.564620720000001</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Amnt_Deposited!O24</f>
        <v>44.846010000000007</v>
      </c>
      <c r="D29" s="453">
        <f>Dry_Matter_Content!O16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Amnt_Deposited!O24</f>
        <v>44.846010000000007</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Amnt_Deposited!O25</f>
        <v>0</v>
      </c>
      <c r="D30" s="453">
        <f>Dry_Matter_Content!O17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Amnt_Deposited!O25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Amnt_Deposited!O26</f>
        <v>0</v>
      </c>
      <c r="D31" s="453">
        <f>Dry_Matter_Content!O18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Amnt_Deposited!O26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Amnt_Deposited!O27</f>
        <v>0</v>
      </c>
      <c r="D32" s="453">
        <f>Dry_Matter_Content!O19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Amnt_Deposited!O27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Amnt_Deposited!O28</f>
        <v>0</v>
      </c>
      <c r="D33" s="453">
        <f>Dry_Matter_Content!O20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Amnt_Deposited!O28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Amnt_Deposited!O29</f>
        <v>0</v>
      </c>
      <c r="D34" s="453">
        <f>Dry_Matter_Content!O21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Amnt_Deposited!O29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Amnt_Deposited!O30</f>
        <v>0</v>
      </c>
      <c r="D35" s="453">
        <f>Dry_Matter_Content!O22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Amnt_Deposited!O30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Amnt_Deposited!O31</f>
        <v>0</v>
      </c>
      <c r="D36" s="453">
        <f>Dry_Matter_Content!O23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Amnt_Deposited!O31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Amnt_Deposited!O32</f>
        <v>0</v>
      </c>
      <c r="D37" s="453">
        <f>Dry_Matter_Content!O24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Amnt_Deposited!O32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Amnt_Deposited!O33</f>
        <v>0</v>
      </c>
      <c r="D38" s="453">
        <f>Dry_Matter_Content!O25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Amnt_Deposited!O33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Amnt_Deposited!O34</f>
        <v>0</v>
      </c>
      <c r="D39" s="453">
        <f>Dry_Matter_Content!O26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Amnt_Deposited!O34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Amnt_Deposited!O35</f>
        <v>0</v>
      </c>
      <c r="D40" s="453">
        <f>Dry_Matter_Content!O27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Amnt_Deposited!O35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Amnt_Deposited!O36</f>
        <v>0</v>
      </c>
      <c r="D41" s="453">
        <f>Dry_Matter_Content!O28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Amnt_Deposited!O36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Amnt_Deposited!O37</f>
        <v>0</v>
      </c>
      <c r="D42" s="453">
        <f>Dry_Matter_Content!O29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Amnt_Deposited!O37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Amnt_Deposited!O38</f>
        <v>0</v>
      </c>
      <c r="D43" s="453">
        <f>Dry_Matter_Content!O30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Amnt_Deposited!O38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Amnt_Deposited!O39</f>
        <v>0</v>
      </c>
      <c r="D44" s="453">
        <f>Dry_Matter_Content!O31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Amnt_Deposited!O39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Amnt_Deposited!O40</f>
        <v>0</v>
      </c>
      <c r="D45" s="453">
        <f>Dry_Matter_Content!O32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Amnt_Deposited!O40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Amnt_Deposited!O41</f>
        <v>0</v>
      </c>
      <c r="D46" s="453">
        <f>Dry_Matter_Content!O33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Amnt_Deposited!O41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Amnt_Deposited!O42</f>
        <v>0</v>
      </c>
      <c r="D47" s="453">
        <f>Dry_Matter_Content!O34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Amnt_Deposited!O42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Amnt_Deposited!O43</f>
        <v>0</v>
      </c>
      <c r="D48" s="453">
        <f>Dry_Matter_Content!O35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Amnt_Deposited!O43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Amnt_Deposited!O44</f>
        <v>0</v>
      </c>
      <c r="D49" s="453">
        <f>Dry_Matter_Content!O36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Amnt_Deposited!O44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Amnt_Deposited!O45</f>
        <v>0</v>
      </c>
      <c r="D50" s="453">
        <f>Dry_Matter_Content!O37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Amnt_Deposited!O45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Amnt_Deposited!O46</f>
        <v>0</v>
      </c>
      <c r="D51" s="453">
        <f>Dry_Matter_Content!O38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Amnt_Deposited!O46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Amnt_Deposited!O47</f>
        <v>0</v>
      </c>
      <c r="D52" s="453">
        <f>Dry_Matter_Content!O39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Amnt_Deposited!O47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Amnt_Deposited!O48</f>
        <v>0</v>
      </c>
      <c r="D53" s="453">
        <f>Dry_Matter_Content!O40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Amnt_Deposited!O48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Amnt_Deposited!O49</f>
        <v>0</v>
      </c>
      <c r="D54" s="453">
        <f>Dry_Matter_Content!O41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Amnt_Deposited!O49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Amnt_Deposited!O50</f>
        <v>0</v>
      </c>
      <c r="D55" s="453">
        <f>Dry_Matter_Content!O42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Amnt_Deposited!O50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Amnt_Deposited!O51</f>
        <v>0</v>
      </c>
      <c r="D56" s="453">
        <f>Dry_Matter_Content!O43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Amnt_Deposited!O51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Amnt_Deposited!O52</f>
        <v>0</v>
      </c>
      <c r="D57" s="453">
        <f>Dry_Matter_Content!O44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Amnt_Deposited!O52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Amnt_Deposited!O53</f>
        <v>0</v>
      </c>
      <c r="D58" s="453">
        <f>Dry_Matter_Content!O45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Amnt_Deposited!O53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Amnt_Deposited!O54</f>
        <v>0</v>
      </c>
      <c r="D59" s="453">
        <f>Dry_Matter_Content!O46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Amnt_Deposited!O54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Amnt_Deposited!O55</f>
        <v>0</v>
      </c>
      <c r="D60" s="453">
        <f>Dry_Matter_Content!O47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Amnt_Deposited!O55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Amnt_Deposited!O56</f>
        <v>0</v>
      </c>
      <c r="D61" s="453">
        <f>Dry_Matter_Content!O48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Amnt_Deposited!O56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Amnt_Deposited!O57</f>
        <v>0</v>
      </c>
      <c r="D62" s="453">
        <f>Dry_Matter_Content!O49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Amnt_Deposited!O57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Amnt_Deposited!O58</f>
        <v>0</v>
      </c>
      <c r="D63" s="453">
        <f>Dry_Matter_Content!O50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Amnt_Deposited!O58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Amnt_Deposited!O59</f>
        <v>0</v>
      </c>
      <c r="D64" s="453">
        <f>Dry_Matter_Content!O51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Amnt_Deposited!O59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Amnt_Deposited!O60</f>
        <v>0</v>
      </c>
      <c r="D65" s="453">
        <f>Dry_Matter_Content!O52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Amnt_Deposited!O60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Amnt_Deposited!O61</f>
        <v>0</v>
      </c>
      <c r="D66" s="453">
        <f>Dry_Matter_Content!O53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Amnt_Deposited!O61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Amnt_Deposited!O62</f>
        <v>0</v>
      </c>
      <c r="D67" s="453">
        <f>Dry_Matter_Content!O54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Amnt_Deposited!O62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Amnt_Deposited!O63</f>
        <v>0</v>
      </c>
      <c r="D68" s="453">
        <f>Dry_Matter_Content!O55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Amnt_Deposited!O63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Amnt_Deposited!O64</f>
        <v>0</v>
      </c>
      <c r="D69" s="453">
        <f>Dry_Matter_Content!O56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Amnt_Deposited!O64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Amnt_Deposited!O65</f>
        <v>0</v>
      </c>
      <c r="D70" s="453">
        <f>Dry_Matter_Content!O57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Amnt_Deposited!O65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Amnt_Deposited!O66</f>
        <v>0</v>
      </c>
      <c r="D71" s="453">
        <f>Dry_Matter_Content!O58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Amnt_Deposited!O66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Amnt_Deposited!O67</f>
        <v>0</v>
      </c>
      <c r="D72" s="453">
        <f>Dry_Matter_Content!O59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Amnt_Deposited!O67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Amnt_Deposited!O68</f>
        <v>0</v>
      </c>
      <c r="D73" s="453">
        <f>Dry_Matter_Content!O60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Amnt_Deposited!O68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Amnt_Deposited!O69</f>
        <v>0</v>
      </c>
      <c r="D74" s="453">
        <f>Dry_Matter_Content!O61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Amnt_Deposited!O69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Amnt_Deposited!O70</f>
        <v>0</v>
      </c>
      <c r="D75" s="453">
        <f>Dry_Matter_Content!O62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Amnt_Deposited!O70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Amnt_Deposited!O71</f>
        <v>0</v>
      </c>
      <c r="D76" s="453">
        <f>Dry_Matter_Content!O63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Amnt_Deposited!O71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Amnt_Deposited!O72</f>
        <v>0</v>
      </c>
      <c r="D77" s="453">
        <f>Dry_Matter_Content!O64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Amnt_Deposited!O72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Amnt_Deposited!O73</f>
        <v>0</v>
      </c>
      <c r="D78" s="453">
        <f>Dry_Matter_Content!O65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Amnt_Deposited!O73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Amnt_Deposited!O74</f>
        <v>0</v>
      </c>
      <c r="D79" s="453">
        <f>Dry_Matter_Content!O66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Amnt_Deposited!O74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Amnt_Deposited!O75</f>
        <v>0</v>
      </c>
      <c r="D80" s="453">
        <f>Dry_Matter_Content!O67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Amnt_Deposited!O75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Amnt_Deposited!O76</f>
        <v>0</v>
      </c>
      <c r="D81" s="453">
        <f>Dry_Matter_Content!O68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Amnt_Deposited!O76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Amnt_Deposited!O77</f>
        <v>0</v>
      </c>
      <c r="D82" s="453">
        <f>Dry_Matter_Content!O69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Amnt_Deposited!O77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Amnt_Deposited!O78</f>
        <v>0</v>
      </c>
      <c r="D83" s="453">
        <f>Dry_Matter_Content!O70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Amnt_Deposited!O78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Amnt_Deposited!O79</f>
        <v>0</v>
      </c>
      <c r="D84" s="453">
        <f>Dry_Matter_Content!O71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Amnt_Deposited!O79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Amnt_Deposited!O80</f>
        <v>0</v>
      </c>
      <c r="D85" s="453">
        <f>Dry_Matter_Content!O72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Amnt_Deposited!O80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Amnt_Deposited!O81</f>
        <v>0</v>
      </c>
      <c r="D86" s="453">
        <f>Dry_Matter_Content!O73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Amnt_Deposited!O81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Amnt_Deposited!O82</f>
        <v>0</v>
      </c>
      <c r="D87" s="453">
        <f>Dry_Matter_Content!O74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Amnt_Deposited!O82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Amnt_Deposited!O83</f>
        <v>0</v>
      </c>
      <c r="D88" s="453">
        <f>Dry_Matter_Content!O75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Amnt_Deposited!O83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Amnt_Deposited!O84</f>
        <v>0</v>
      </c>
      <c r="D89" s="453">
        <f>Dry_Matter_Content!O76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Amnt_Deposited!O84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Amnt_Deposited!O85</f>
        <v>0</v>
      </c>
      <c r="D90" s="453">
        <f>Dry_Matter_Content!O77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Amnt_Deposited!O85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Amnt_Deposited!O86</f>
        <v>0</v>
      </c>
      <c r="D91" s="453">
        <f>Dry_Matter_Content!O78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Amnt_Deposited!O86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Amnt_Deposited!O87</f>
        <v>0</v>
      </c>
      <c r="D92" s="453">
        <f>Dry_Matter_Content!O79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Amnt_Deposited!O87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Amnt_Deposited!O88</f>
        <v>0</v>
      </c>
      <c r="D93" s="453">
        <f>Dry_Matter_Content!O80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Amnt_Deposited!O88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Amnt_Deposited!O89</f>
        <v>0</v>
      </c>
      <c r="D94" s="453">
        <f>Dry_Matter_Content!O81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Amnt_Deposited!O89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Amnt_Deposited!O90</f>
        <v>0</v>
      </c>
      <c r="D95" s="453">
        <f>Dry_Matter_Content!O82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Amnt_Deposited!O90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Amnt_Deposited!O91</f>
        <v>0</v>
      </c>
      <c r="D96" s="453">
        <f>Dry_Matter_Content!O83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Amnt_Deposited!O91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Amnt_Deposited!O92</f>
        <v>0</v>
      </c>
      <c r="D97" s="453">
        <f>Dry_Matter_Content!O84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Amnt_Deposited!O92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Amnt_Deposited!O93</f>
        <v>0</v>
      </c>
      <c r="D98" s="453">
        <f>Dry_Matter_Content!O85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Amnt_Deposited!O93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Amnt_Deposited!O94</f>
        <v>0</v>
      </c>
      <c r="D99" s="454">
        <f>Dry_Matter_Content!O86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Amnt_Deposited!O94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Parameters!O28</f>
        <v>0</v>
      </c>
      <c r="O6" s="257"/>
      <c r="P6" s="258"/>
      <c r="Q6" s="249"/>
      <c r="R6" s="128" t="s">
        <v>9</v>
      </c>
      <c r="S6" s="129"/>
      <c r="T6" s="129"/>
      <c r="U6" s="133"/>
      <c r="V6" s="140" t="s">
        <v>9</v>
      </c>
      <c r="W6" s="293">
        <f>Parameters!R28</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Parameters!O47</f>
        <v>0.17</v>
      </c>
      <c r="O8" s="67"/>
      <c r="P8" s="67"/>
      <c r="Q8" s="249"/>
      <c r="R8" s="128" t="s">
        <v>192</v>
      </c>
      <c r="S8" s="129"/>
      <c r="T8" s="129"/>
      <c r="U8" s="133"/>
      <c r="V8" s="140" t="s">
        <v>188</v>
      </c>
      <c r="W8" s="134">
        <f>Parameters!O47</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Amnt_Deposited!P14</f>
        <v>0</v>
      </c>
      <c r="D19" s="451">
        <f>Dry_Matter_Content!P6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Amnt_Deposited!P14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Amnt_Deposited!P15</f>
        <v>0</v>
      </c>
      <c r="D20" s="453">
        <f>Dry_Matter_Content!P7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Amnt_Deposited!P15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Amnt_Deposited!P16</f>
        <v>0</v>
      </c>
      <c r="D21" s="453">
        <f>Dry_Matter_Content!P8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Amnt_Deposited!P16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Amnt_Deposited!P17</f>
        <v>0</v>
      </c>
      <c r="D22" s="453">
        <f>Dry_Matter_Content!P9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Amnt_Deposited!P17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Amnt_Deposited!P18</f>
        <v>0</v>
      </c>
      <c r="D23" s="453">
        <f>Dry_Matter_Content!P10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Amnt_Deposited!P18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Amnt_Deposited!P19</f>
        <v>0</v>
      </c>
      <c r="D24" s="453">
        <f>Dry_Matter_Content!P11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Amnt_Deposited!P19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Amnt_Deposited!P20</f>
        <v>0</v>
      </c>
      <c r="D25" s="453">
        <f>Dry_Matter_Content!P12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Amnt_Deposited!P20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Amnt_Deposited!P21</f>
        <v>0</v>
      </c>
      <c r="D26" s="453">
        <f>Dry_Matter_Content!P13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Amnt_Deposited!P21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Amnt_Deposited!P22</f>
        <v>0</v>
      </c>
      <c r="D27" s="453">
        <f>Dry_Matter_Content!P14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Amnt_Deposited!P22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Amnt_Deposited!P23</f>
        <v>0</v>
      </c>
      <c r="D28" s="453">
        <f>Dry_Matter_Content!P15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Amnt_Deposited!P23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Amnt_Deposited!P24</f>
        <v>0</v>
      </c>
      <c r="D29" s="453">
        <f>Dry_Matter_Content!P16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Amnt_Deposited!P24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Amnt_Deposited!P25</f>
        <v>0</v>
      </c>
      <c r="D30" s="453">
        <f>Dry_Matter_Content!P17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Amnt_Deposited!P25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Amnt_Deposited!P26</f>
        <v>0</v>
      </c>
      <c r="D31" s="453">
        <f>Dry_Matter_Content!P18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Amnt_Deposited!P26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Amnt_Deposited!P27</f>
        <v>0</v>
      </c>
      <c r="D32" s="453">
        <f>Dry_Matter_Content!P19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Amnt_Deposited!P27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Amnt_Deposited!P28</f>
        <v>0</v>
      </c>
      <c r="D33" s="453">
        <f>Dry_Matter_Content!P20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Amnt_Deposited!P28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Amnt_Deposited!P29</f>
        <v>0</v>
      </c>
      <c r="D34" s="453">
        <f>Dry_Matter_Content!P21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Amnt_Deposited!P29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Amnt_Deposited!P30</f>
        <v>0</v>
      </c>
      <c r="D35" s="453">
        <f>Dry_Matter_Content!P22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Amnt_Deposited!P30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Amnt_Deposited!P31</f>
        <v>0</v>
      </c>
      <c r="D36" s="453">
        <f>Dry_Matter_Content!P23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Amnt_Deposited!P31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Amnt_Deposited!P32</f>
        <v>0</v>
      </c>
      <c r="D37" s="453">
        <f>Dry_Matter_Content!P24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Amnt_Deposited!P32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Amnt_Deposited!P33</f>
        <v>0</v>
      </c>
      <c r="D38" s="453">
        <f>Dry_Matter_Content!P25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Amnt_Deposited!P33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Amnt_Deposited!P34</f>
        <v>0</v>
      </c>
      <c r="D39" s="453">
        <f>Dry_Matter_Content!P26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Amnt_Deposited!P34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Amnt_Deposited!P35</f>
        <v>0</v>
      </c>
      <c r="D40" s="453">
        <f>Dry_Matter_Content!P27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Amnt_Deposited!P35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Amnt_Deposited!P36</f>
        <v>0</v>
      </c>
      <c r="D41" s="453">
        <f>Dry_Matter_Content!P28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Amnt_Deposited!P36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Amnt_Deposited!P37</f>
        <v>0</v>
      </c>
      <c r="D42" s="453">
        <f>Dry_Matter_Content!P29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Amnt_Deposited!P37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Amnt_Deposited!P38</f>
        <v>0</v>
      </c>
      <c r="D43" s="453">
        <f>Dry_Matter_Content!P30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Amnt_Deposited!P38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Amnt_Deposited!P39</f>
        <v>0</v>
      </c>
      <c r="D44" s="453">
        <f>Dry_Matter_Content!P31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Amnt_Deposited!P39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Amnt_Deposited!P40</f>
        <v>0</v>
      </c>
      <c r="D45" s="453">
        <f>Dry_Matter_Content!P32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Amnt_Deposited!P40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Amnt_Deposited!P41</f>
        <v>0</v>
      </c>
      <c r="D46" s="453">
        <f>Dry_Matter_Content!P33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Amnt_Deposited!P41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Amnt_Deposited!P42</f>
        <v>0</v>
      </c>
      <c r="D47" s="453">
        <f>Dry_Matter_Content!P34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Amnt_Deposited!P42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Amnt_Deposited!P43</f>
        <v>0</v>
      </c>
      <c r="D48" s="453">
        <f>Dry_Matter_Content!P35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Amnt_Deposited!P43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Amnt_Deposited!P44</f>
        <v>0</v>
      </c>
      <c r="D49" s="453">
        <f>Dry_Matter_Content!P36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Amnt_Deposited!P44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Amnt_Deposited!P45</f>
        <v>0</v>
      </c>
      <c r="D50" s="453">
        <f>Dry_Matter_Content!P37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Amnt_Deposited!P45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Amnt_Deposited!P46</f>
        <v>0</v>
      </c>
      <c r="D51" s="453">
        <f>Dry_Matter_Content!P38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Amnt_Deposited!P46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Amnt_Deposited!P47</f>
        <v>0</v>
      </c>
      <c r="D52" s="453">
        <f>Dry_Matter_Content!P39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Amnt_Deposited!P47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Amnt_Deposited!P48</f>
        <v>0</v>
      </c>
      <c r="D53" s="453">
        <f>Dry_Matter_Content!P40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Amnt_Deposited!P48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Amnt_Deposited!P49</f>
        <v>0</v>
      </c>
      <c r="D54" s="453">
        <f>Dry_Matter_Content!P41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Amnt_Deposited!P49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Amnt_Deposited!P50</f>
        <v>0</v>
      </c>
      <c r="D55" s="453">
        <f>Dry_Matter_Content!P42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Amnt_Deposited!P50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Amnt_Deposited!P51</f>
        <v>0</v>
      </c>
      <c r="D56" s="453">
        <f>Dry_Matter_Content!P43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Amnt_Deposited!P51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Amnt_Deposited!P52</f>
        <v>0</v>
      </c>
      <c r="D57" s="453">
        <f>Dry_Matter_Content!P44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Amnt_Deposited!P52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Amnt_Deposited!P53</f>
        <v>0</v>
      </c>
      <c r="D58" s="453">
        <f>Dry_Matter_Content!P45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Amnt_Deposited!P53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Amnt_Deposited!P54</f>
        <v>0</v>
      </c>
      <c r="D59" s="453">
        <f>Dry_Matter_Content!P46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Amnt_Deposited!P54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Amnt_Deposited!P55</f>
        <v>0</v>
      </c>
      <c r="D60" s="453">
        <f>Dry_Matter_Content!P47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Amnt_Deposited!P55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Amnt_Deposited!P56</f>
        <v>0</v>
      </c>
      <c r="D61" s="453">
        <f>Dry_Matter_Content!P48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Amnt_Deposited!P56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Amnt_Deposited!P57</f>
        <v>0</v>
      </c>
      <c r="D62" s="453">
        <f>Dry_Matter_Content!P49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Amnt_Deposited!P57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Amnt_Deposited!P58</f>
        <v>0</v>
      </c>
      <c r="D63" s="453">
        <f>Dry_Matter_Content!P50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Amnt_Deposited!P58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Amnt_Deposited!P59</f>
        <v>0</v>
      </c>
      <c r="D64" s="453">
        <f>Dry_Matter_Content!P51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Amnt_Deposited!P59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Amnt_Deposited!P60</f>
        <v>0</v>
      </c>
      <c r="D65" s="453">
        <f>Dry_Matter_Content!P52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Amnt_Deposited!P60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Amnt_Deposited!P61</f>
        <v>0</v>
      </c>
      <c r="D66" s="453">
        <f>Dry_Matter_Content!P53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Amnt_Deposited!P61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Amnt_Deposited!P62</f>
        <v>0</v>
      </c>
      <c r="D67" s="453">
        <f>Dry_Matter_Content!P54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Amnt_Deposited!P62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Amnt_Deposited!P63</f>
        <v>0</v>
      </c>
      <c r="D68" s="453">
        <f>Dry_Matter_Content!P55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Amnt_Deposited!P63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Amnt_Deposited!P64</f>
        <v>0</v>
      </c>
      <c r="D69" s="453">
        <f>Dry_Matter_Content!P56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Amnt_Deposited!P64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Amnt_Deposited!P65</f>
        <v>0</v>
      </c>
      <c r="D70" s="453">
        <f>Dry_Matter_Content!P57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Amnt_Deposited!P65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Amnt_Deposited!P66</f>
        <v>0</v>
      </c>
      <c r="D71" s="453">
        <f>Dry_Matter_Content!P58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Amnt_Deposited!P66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Amnt_Deposited!P67</f>
        <v>0</v>
      </c>
      <c r="D72" s="453">
        <f>Dry_Matter_Content!P59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Amnt_Deposited!P67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Amnt_Deposited!P68</f>
        <v>0</v>
      </c>
      <c r="D73" s="453">
        <f>Dry_Matter_Content!P60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Amnt_Deposited!P68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Amnt_Deposited!P69</f>
        <v>0</v>
      </c>
      <c r="D74" s="453">
        <f>Dry_Matter_Content!P61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Amnt_Deposited!P69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Amnt_Deposited!P70</f>
        <v>0</v>
      </c>
      <c r="D75" s="453">
        <f>Dry_Matter_Content!P62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Amnt_Deposited!P70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Amnt_Deposited!P71</f>
        <v>0</v>
      </c>
      <c r="D76" s="453">
        <f>Dry_Matter_Content!P63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Amnt_Deposited!P71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Amnt_Deposited!P72</f>
        <v>0</v>
      </c>
      <c r="D77" s="453">
        <f>Dry_Matter_Content!P64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Amnt_Deposited!P72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Amnt_Deposited!P73</f>
        <v>0</v>
      </c>
      <c r="D78" s="453">
        <f>Dry_Matter_Content!P65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Amnt_Deposited!P73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Amnt_Deposited!P74</f>
        <v>0</v>
      </c>
      <c r="D79" s="453">
        <f>Dry_Matter_Content!P66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Amnt_Deposited!P74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Amnt_Deposited!P75</f>
        <v>0</v>
      </c>
      <c r="D80" s="453">
        <f>Dry_Matter_Content!P67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Amnt_Deposited!P75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Amnt_Deposited!P76</f>
        <v>0</v>
      </c>
      <c r="D81" s="453">
        <f>Dry_Matter_Content!P68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Amnt_Deposited!P76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Amnt_Deposited!P77</f>
        <v>0</v>
      </c>
      <c r="D82" s="453">
        <f>Dry_Matter_Content!P69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Amnt_Deposited!P77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Amnt_Deposited!P78</f>
        <v>0</v>
      </c>
      <c r="D83" s="453">
        <f>Dry_Matter_Content!P70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Amnt_Deposited!P78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Amnt_Deposited!P79</f>
        <v>0</v>
      </c>
      <c r="D84" s="453">
        <f>Dry_Matter_Content!P71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Amnt_Deposited!P79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Amnt_Deposited!P80</f>
        <v>0</v>
      </c>
      <c r="D85" s="453">
        <f>Dry_Matter_Content!P72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Amnt_Deposited!P80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Amnt_Deposited!P81</f>
        <v>0</v>
      </c>
      <c r="D86" s="453">
        <f>Dry_Matter_Content!P73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Amnt_Deposited!P81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Amnt_Deposited!P82</f>
        <v>0</v>
      </c>
      <c r="D87" s="453">
        <f>Dry_Matter_Content!P74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Amnt_Deposited!P82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Amnt_Deposited!P83</f>
        <v>0</v>
      </c>
      <c r="D88" s="453">
        <f>Dry_Matter_Content!P75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Amnt_Deposited!P83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Amnt_Deposited!P84</f>
        <v>0</v>
      </c>
      <c r="D89" s="453">
        <f>Dry_Matter_Content!P76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Amnt_Deposited!P84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Amnt_Deposited!P85</f>
        <v>0</v>
      </c>
      <c r="D90" s="453">
        <f>Dry_Matter_Content!P77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Amnt_Deposited!P85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Amnt_Deposited!P86</f>
        <v>0</v>
      </c>
      <c r="D91" s="453">
        <f>Dry_Matter_Content!P78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Amnt_Deposited!P86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Amnt_Deposited!P87</f>
        <v>0</v>
      </c>
      <c r="D92" s="453">
        <f>Dry_Matter_Content!P79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Amnt_Deposited!P87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Amnt_Deposited!P88</f>
        <v>0</v>
      </c>
      <c r="D93" s="453">
        <f>Dry_Matter_Content!P80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Amnt_Deposited!P88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Amnt_Deposited!P89</f>
        <v>0</v>
      </c>
      <c r="D94" s="453">
        <f>Dry_Matter_Content!P81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Amnt_Deposited!P89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Amnt_Deposited!P90</f>
        <v>0</v>
      </c>
      <c r="D95" s="453">
        <f>Dry_Matter_Content!P82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Amnt_Deposited!P90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Amnt_Deposited!P91</f>
        <v>0</v>
      </c>
      <c r="D96" s="453">
        <f>Dry_Matter_Content!P83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Amnt_Deposited!P91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Amnt_Deposited!P92</f>
        <v>0</v>
      </c>
      <c r="D97" s="453">
        <f>Dry_Matter_Content!P84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Amnt_Deposited!P92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Amnt_Deposited!P93</f>
        <v>0</v>
      </c>
      <c r="D98" s="453">
        <f>Dry_Matter_Content!P85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Amnt_Deposited!P93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Amnt_Deposited!P94</f>
        <v>0</v>
      </c>
      <c r="D99" s="453">
        <f>Dry_Matter_Content!P86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Amnt_Deposited!P94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H10" sqref="H10"/>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88" t="s">
        <v>107</v>
      </c>
      <c r="R2" s="788"/>
      <c r="S2" s="788"/>
      <c r="T2" s="788"/>
    </row>
    <row r="4" spans="2:20">
      <c r="C4" t="s">
        <v>26</v>
      </c>
    </row>
    <row r="5" spans="2:20">
      <c r="C5" t="s">
        <v>281</v>
      </c>
    </row>
    <row r="6" spans="2:20">
      <c r="C6" t="s">
        <v>29</v>
      </c>
    </row>
    <row r="7" spans="2:20">
      <c r="C7" t="s">
        <v>109</v>
      </c>
    </row>
    <row r="8" spans="2:20" ht="13.5" thickBot="1"/>
    <row r="9" spans="2:20" ht="13.5" thickBot="1">
      <c r="C9" s="789" t="s">
        <v>95</v>
      </c>
      <c r="D9" s="790"/>
      <c r="E9" s="790"/>
      <c r="F9" s="790"/>
      <c r="G9" s="790"/>
      <c r="H9" s="791"/>
      <c r="I9" s="797" t="s">
        <v>308</v>
      </c>
      <c r="J9" s="798"/>
      <c r="K9" s="798"/>
      <c r="L9" s="798"/>
      <c r="M9" s="798"/>
      <c r="N9" s="799"/>
      <c r="R9" s="174" t="s">
        <v>95</v>
      </c>
      <c r="S9" s="467" t="s">
        <v>308</v>
      </c>
    </row>
    <row r="10" spans="2:20" s="1" customFormat="1" ht="38.25" customHeight="1">
      <c r="B10" s="26"/>
      <c r="C10" s="637" t="s">
        <v>341</v>
      </c>
      <c r="D10" s="27" t="s">
        <v>340</v>
      </c>
      <c r="E10" s="27" t="s">
        <v>338</v>
      </c>
      <c r="F10" s="27" t="s">
        <v>206</v>
      </c>
      <c r="G10" s="27" t="s">
        <v>339</v>
      </c>
      <c r="H10" s="28" t="s">
        <v>161</v>
      </c>
      <c r="I10" s="584" t="s">
        <v>104</v>
      </c>
      <c r="J10" s="585" t="s">
        <v>105</v>
      </c>
      <c r="K10" s="585" t="s">
        <v>0</v>
      </c>
      <c r="L10" s="585" t="s">
        <v>206</v>
      </c>
      <c r="M10" s="585" t="s">
        <v>103</v>
      </c>
      <c r="N10" s="586" t="s">
        <v>161</v>
      </c>
      <c r="O10" s="466" t="s">
        <v>28</v>
      </c>
      <c r="R10" s="792" t="s">
        <v>147</v>
      </c>
      <c r="S10" s="792" t="s">
        <v>315</v>
      </c>
    </row>
    <row r="11" spans="2:20" s="3" customFormat="1" ht="13.5" thickBot="1">
      <c r="B11" s="23"/>
      <c r="C11" s="23" t="s">
        <v>11</v>
      </c>
      <c r="D11" s="24" t="s">
        <v>11</v>
      </c>
      <c r="E11" s="24" t="s">
        <v>11</v>
      </c>
      <c r="F11" s="24" t="s">
        <v>11</v>
      </c>
      <c r="G11" s="24" t="s">
        <v>11</v>
      </c>
      <c r="H11" s="25"/>
      <c r="I11" s="23" t="s">
        <v>11</v>
      </c>
      <c r="J11" s="24" t="s">
        <v>11</v>
      </c>
      <c r="K11" s="24" t="s">
        <v>11</v>
      </c>
      <c r="L11" s="24" t="s">
        <v>11</v>
      </c>
      <c r="M11" s="24" t="s">
        <v>11</v>
      </c>
      <c r="N11" s="25"/>
      <c r="O11" s="587"/>
      <c r="R11" s="793"/>
      <c r="S11" s="793"/>
    </row>
    <row r="12" spans="2:20" s="3" customFormat="1" ht="13.5" thickBot="1">
      <c r="B12" s="172" t="s">
        <v>25</v>
      </c>
      <c r="C12" s="170">
        <v>0.4</v>
      </c>
      <c r="D12" s="22">
        <v>0.8</v>
      </c>
      <c r="E12" s="22">
        <v>1</v>
      </c>
      <c r="F12" s="22">
        <v>0.5</v>
      </c>
      <c r="G12" s="22">
        <v>0.6</v>
      </c>
      <c r="H12" s="14"/>
      <c r="I12" s="170">
        <v>0.4</v>
      </c>
      <c r="J12" s="22">
        <v>0.8</v>
      </c>
      <c r="K12" s="22">
        <v>1</v>
      </c>
      <c r="L12" s="22">
        <v>0.5</v>
      </c>
      <c r="M12" s="22">
        <v>0.6</v>
      </c>
      <c r="N12" s="14"/>
      <c r="O12" s="588"/>
      <c r="R12" s="793"/>
      <c r="S12" s="793"/>
    </row>
    <row r="13" spans="2:20" s="3" customFormat="1" ht="26.25" thickBot="1">
      <c r="B13" s="172" t="s">
        <v>159</v>
      </c>
      <c r="C13" s="171">
        <f>C12</f>
        <v>0.4</v>
      </c>
      <c r="D13" s="60">
        <f>D12</f>
        <v>0.8</v>
      </c>
      <c r="E13" s="60">
        <f>E12</f>
        <v>1</v>
      </c>
      <c r="F13" s="60">
        <f>F12</f>
        <v>0.5</v>
      </c>
      <c r="G13" s="60">
        <f>G12</f>
        <v>0.6</v>
      </c>
      <c r="H13" s="168"/>
      <c r="I13" s="171">
        <v>0.4</v>
      </c>
      <c r="J13" s="60">
        <v>0.8</v>
      </c>
      <c r="K13" s="60">
        <v>1</v>
      </c>
      <c r="L13" s="60">
        <v>0.5</v>
      </c>
      <c r="M13" s="60">
        <v>0.6</v>
      </c>
      <c r="N13" s="168"/>
      <c r="O13" s="589"/>
      <c r="R13" s="793"/>
      <c r="S13" s="793"/>
    </row>
    <row r="14" spans="2:20" s="3" customFormat="1" ht="13.5" thickBot="1">
      <c r="B14" s="32"/>
      <c r="C14" s="32"/>
      <c r="D14" s="21"/>
      <c r="E14" s="21"/>
      <c r="F14" s="21"/>
      <c r="G14" s="21"/>
      <c r="H14" s="169"/>
      <c r="I14" s="32"/>
      <c r="J14" s="21"/>
      <c r="K14" s="21"/>
      <c r="L14" s="21"/>
      <c r="M14" s="21"/>
      <c r="N14" s="169"/>
      <c r="O14" s="590"/>
      <c r="R14" s="793"/>
      <c r="S14" s="793"/>
    </row>
    <row r="15" spans="2:20" s="3" customFormat="1" ht="12.75" customHeight="1" thickBot="1">
      <c r="B15" s="266"/>
      <c r="C15" s="785" t="s">
        <v>158</v>
      </c>
      <c r="D15" s="786"/>
      <c r="E15" s="786"/>
      <c r="F15" s="786"/>
      <c r="G15" s="786"/>
      <c r="H15" s="787"/>
      <c r="I15" s="785" t="s">
        <v>158</v>
      </c>
      <c r="J15" s="786"/>
      <c r="K15" s="786"/>
      <c r="L15" s="786"/>
      <c r="M15" s="786"/>
      <c r="N15" s="787"/>
      <c r="O15" s="591"/>
      <c r="R15" s="793"/>
      <c r="S15" s="793"/>
    </row>
    <row r="16" spans="2:20" s="3" customFormat="1" ht="26.25" thickBot="1">
      <c r="B16" s="172" t="s">
        <v>160</v>
      </c>
      <c r="C16" s="269">
        <v>0</v>
      </c>
      <c r="D16" s="270">
        <v>1</v>
      </c>
      <c r="E16" s="270">
        <v>0</v>
      </c>
      <c r="F16" s="270">
        <v>0</v>
      </c>
      <c r="G16" s="270">
        <v>0</v>
      </c>
      <c r="H16" s="795" t="s">
        <v>36</v>
      </c>
      <c r="I16" s="592">
        <v>0.2</v>
      </c>
      <c r="J16" s="593">
        <v>0.3</v>
      </c>
      <c r="K16" s="593">
        <v>0.25</v>
      </c>
      <c r="L16" s="593">
        <v>0.05</v>
      </c>
      <c r="M16" s="593">
        <v>0.2</v>
      </c>
      <c r="N16" s="795" t="s">
        <v>36</v>
      </c>
      <c r="O16" s="594"/>
      <c r="R16" s="794"/>
      <c r="S16" s="794"/>
    </row>
    <row r="17" spans="2:19" s="3" customFormat="1" ht="13.5" thickBot="1">
      <c r="B17" s="15" t="s">
        <v>1</v>
      </c>
      <c r="C17" s="15" t="s">
        <v>24</v>
      </c>
      <c r="D17" s="16" t="s">
        <v>24</v>
      </c>
      <c r="E17" s="16" t="s">
        <v>24</v>
      </c>
      <c r="F17" s="16" t="s">
        <v>24</v>
      </c>
      <c r="G17" s="16" t="s">
        <v>24</v>
      </c>
      <c r="H17" s="796"/>
      <c r="I17" s="15" t="s">
        <v>24</v>
      </c>
      <c r="J17" s="16" t="s">
        <v>24</v>
      </c>
      <c r="K17" s="16" t="s">
        <v>24</v>
      </c>
      <c r="L17" s="16" t="s">
        <v>24</v>
      </c>
      <c r="M17" s="16" t="s">
        <v>24</v>
      </c>
      <c r="N17" s="796"/>
      <c r="O17" s="587"/>
      <c r="R17" s="172" t="s">
        <v>157</v>
      </c>
      <c r="S17" s="595" t="s">
        <v>157</v>
      </c>
    </row>
    <row r="18" spans="2:19">
      <c r="B18" s="300">
        <f>year</f>
        <v>2000</v>
      </c>
      <c r="C18" s="267">
        <f>C$16</f>
        <v>0</v>
      </c>
      <c r="D18" s="268">
        <f t="shared" ref="D18:G33" si="0">D$16</f>
        <v>1</v>
      </c>
      <c r="E18" s="268">
        <f t="shared" si="0"/>
        <v>0</v>
      </c>
      <c r="F18" s="268">
        <f t="shared" si="0"/>
        <v>0</v>
      </c>
      <c r="G18" s="268">
        <f t="shared" si="0"/>
        <v>0</v>
      </c>
      <c r="H18" s="33">
        <f>SUM(C18:G18)</f>
        <v>1</v>
      </c>
      <c r="I18" s="267">
        <f>I$16</f>
        <v>0.2</v>
      </c>
      <c r="J18" s="268">
        <f t="shared" ref="J18:M33" si="1">J$16</f>
        <v>0.3</v>
      </c>
      <c r="K18" s="268">
        <f t="shared" si="1"/>
        <v>0.25</v>
      </c>
      <c r="L18" s="268">
        <f t="shared" si="1"/>
        <v>0.05</v>
      </c>
      <c r="M18" s="268">
        <f t="shared" si="1"/>
        <v>0.2</v>
      </c>
      <c r="N18" s="33">
        <f>SUM(I18:M18)</f>
        <v>1</v>
      </c>
      <c r="O18" s="58"/>
      <c r="R18" s="173">
        <f>C18*C$13+D18*D$13+E18*E$13+F18*F$13+G18*G$13</f>
        <v>0.8</v>
      </c>
      <c r="S18" s="596">
        <f>I18*I$13+J18*J$13+K18*K$13+L18*L$13+M18*M$13</f>
        <v>0.71500000000000008</v>
      </c>
    </row>
    <row r="19" spans="2:19">
      <c r="B19" s="301">
        <f t="shared" ref="B19:B50" si="2">B18+1</f>
        <v>2001</v>
      </c>
      <c r="C19" s="61">
        <f t="shared" ref="C19:G50" si="3">C$16</f>
        <v>0</v>
      </c>
      <c r="D19" s="62">
        <f t="shared" si="0"/>
        <v>1</v>
      </c>
      <c r="E19" s="62">
        <f t="shared" si="0"/>
        <v>0</v>
      </c>
      <c r="F19" s="62">
        <f t="shared" si="0"/>
        <v>0</v>
      </c>
      <c r="G19" s="62">
        <f t="shared" si="0"/>
        <v>0</v>
      </c>
      <c r="H19" s="29">
        <f t="shared" ref="H19:H82" si="4">SUM(C19:G19)</f>
        <v>1</v>
      </c>
      <c r="I19" s="61">
        <f t="shared" ref="I19:M50" si="5">I$16</f>
        <v>0.2</v>
      </c>
      <c r="J19" s="62">
        <f t="shared" si="1"/>
        <v>0.3</v>
      </c>
      <c r="K19" s="62">
        <f t="shared" si="1"/>
        <v>0.25</v>
      </c>
      <c r="L19" s="62">
        <f t="shared" si="1"/>
        <v>0.05</v>
      </c>
      <c r="M19" s="62">
        <f t="shared" si="1"/>
        <v>0.2</v>
      </c>
      <c r="N19" s="29">
        <f t="shared" ref="N19:N82" si="6">SUM(I19:M19)</f>
        <v>1</v>
      </c>
      <c r="O19" s="271"/>
      <c r="R19" s="173">
        <f t="shared" ref="R19:R82" si="7">C19*C$13+D19*D$13+E19*E$13+F19*F$13+G19*G$13</f>
        <v>0.8</v>
      </c>
      <c r="S19" s="596">
        <f t="shared" ref="S19:S82" si="8">I19*I$13+J19*J$13+K19*K$13+L19*L$13+M19*M$13</f>
        <v>0.71500000000000008</v>
      </c>
    </row>
    <row r="20" spans="2:19">
      <c r="B20" s="301">
        <f t="shared" si="2"/>
        <v>2002</v>
      </c>
      <c r="C20" s="61">
        <f t="shared" si="3"/>
        <v>0</v>
      </c>
      <c r="D20" s="62">
        <f t="shared" si="0"/>
        <v>1</v>
      </c>
      <c r="E20" s="62">
        <f t="shared" si="0"/>
        <v>0</v>
      </c>
      <c r="F20" s="62">
        <f t="shared" si="0"/>
        <v>0</v>
      </c>
      <c r="G20" s="62">
        <f t="shared" si="0"/>
        <v>0</v>
      </c>
      <c r="H20" s="29">
        <f t="shared" si="4"/>
        <v>1</v>
      </c>
      <c r="I20" s="61">
        <f t="shared" si="5"/>
        <v>0.2</v>
      </c>
      <c r="J20" s="62">
        <f t="shared" si="1"/>
        <v>0.3</v>
      </c>
      <c r="K20" s="62">
        <f t="shared" si="1"/>
        <v>0.25</v>
      </c>
      <c r="L20" s="62">
        <f t="shared" si="1"/>
        <v>0.05</v>
      </c>
      <c r="M20" s="62">
        <f t="shared" si="1"/>
        <v>0.2</v>
      </c>
      <c r="N20" s="29">
        <f t="shared" si="6"/>
        <v>1</v>
      </c>
      <c r="O20" s="271"/>
      <c r="R20" s="173">
        <f t="shared" si="7"/>
        <v>0.8</v>
      </c>
      <c r="S20" s="596">
        <f t="shared" si="8"/>
        <v>0.71500000000000008</v>
      </c>
    </row>
    <row r="21" spans="2:19">
      <c r="B21" s="301">
        <f t="shared" si="2"/>
        <v>2003</v>
      </c>
      <c r="C21" s="61">
        <f t="shared" si="3"/>
        <v>0</v>
      </c>
      <c r="D21" s="62">
        <f t="shared" si="0"/>
        <v>1</v>
      </c>
      <c r="E21" s="62">
        <f t="shared" si="0"/>
        <v>0</v>
      </c>
      <c r="F21" s="62">
        <f t="shared" si="0"/>
        <v>0</v>
      </c>
      <c r="G21" s="62">
        <f t="shared" si="0"/>
        <v>0</v>
      </c>
      <c r="H21" s="29">
        <f t="shared" si="4"/>
        <v>1</v>
      </c>
      <c r="I21" s="61">
        <f t="shared" si="5"/>
        <v>0.2</v>
      </c>
      <c r="J21" s="62">
        <f t="shared" si="1"/>
        <v>0.3</v>
      </c>
      <c r="K21" s="62">
        <f t="shared" si="1"/>
        <v>0.25</v>
      </c>
      <c r="L21" s="62">
        <f t="shared" si="1"/>
        <v>0.05</v>
      </c>
      <c r="M21" s="62">
        <f t="shared" si="1"/>
        <v>0.2</v>
      </c>
      <c r="N21" s="29">
        <f t="shared" si="6"/>
        <v>1</v>
      </c>
      <c r="O21" s="271"/>
      <c r="R21" s="173">
        <f t="shared" si="7"/>
        <v>0.8</v>
      </c>
      <c r="S21" s="596">
        <f t="shared" si="8"/>
        <v>0.71500000000000008</v>
      </c>
    </row>
    <row r="22" spans="2:19">
      <c r="B22" s="301">
        <f t="shared" si="2"/>
        <v>2004</v>
      </c>
      <c r="C22" s="61">
        <f t="shared" si="3"/>
        <v>0</v>
      </c>
      <c r="D22" s="62">
        <f t="shared" si="0"/>
        <v>1</v>
      </c>
      <c r="E22" s="62">
        <f t="shared" si="0"/>
        <v>0</v>
      </c>
      <c r="F22" s="62">
        <f t="shared" si="0"/>
        <v>0</v>
      </c>
      <c r="G22" s="62">
        <f t="shared" si="0"/>
        <v>0</v>
      </c>
      <c r="H22" s="29">
        <f t="shared" si="4"/>
        <v>1</v>
      </c>
      <c r="I22" s="61">
        <f t="shared" si="5"/>
        <v>0.2</v>
      </c>
      <c r="J22" s="62">
        <f t="shared" si="1"/>
        <v>0.3</v>
      </c>
      <c r="K22" s="62">
        <f t="shared" si="1"/>
        <v>0.25</v>
      </c>
      <c r="L22" s="62">
        <f t="shared" si="1"/>
        <v>0.05</v>
      </c>
      <c r="M22" s="62">
        <f t="shared" si="1"/>
        <v>0.2</v>
      </c>
      <c r="N22" s="29">
        <f t="shared" si="6"/>
        <v>1</v>
      </c>
      <c r="O22" s="271"/>
      <c r="R22" s="173">
        <f t="shared" si="7"/>
        <v>0.8</v>
      </c>
      <c r="S22" s="596">
        <f t="shared" si="8"/>
        <v>0.71500000000000008</v>
      </c>
    </row>
    <row r="23" spans="2:19">
      <c r="B23" s="301">
        <f t="shared" si="2"/>
        <v>2005</v>
      </c>
      <c r="C23" s="61">
        <f t="shared" si="3"/>
        <v>0</v>
      </c>
      <c r="D23" s="62">
        <f t="shared" si="0"/>
        <v>1</v>
      </c>
      <c r="E23" s="62">
        <f t="shared" si="0"/>
        <v>0</v>
      </c>
      <c r="F23" s="62">
        <f t="shared" si="0"/>
        <v>0</v>
      </c>
      <c r="G23" s="62">
        <f t="shared" si="0"/>
        <v>0</v>
      </c>
      <c r="H23" s="29">
        <f t="shared" si="4"/>
        <v>1</v>
      </c>
      <c r="I23" s="61">
        <f t="shared" si="5"/>
        <v>0.2</v>
      </c>
      <c r="J23" s="62">
        <f t="shared" si="1"/>
        <v>0.3</v>
      </c>
      <c r="K23" s="62">
        <f t="shared" si="1"/>
        <v>0.25</v>
      </c>
      <c r="L23" s="62">
        <f t="shared" si="1"/>
        <v>0.05</v>
      </c>
      <c r="M23" s="62">
        <f t="shared" si="1"/>
        <v>0.2</v>
      </c>
      <c r="N23" s="29">
        <f t="shared" si="6"/>
        <v>1</v>
      </c>
      <c r="O23" s="271"/>
      <c r="R23" s="173">
        <f t="shared" si="7"/>
        <v>0.8</v>
      </c>
      <c r="S23" s="596">
        <f t="shared" si="8"/>
        <v>0.71500000000000008</v>
      </c>
    </row>
    <row r="24" spans="2:19">
      <c r="B24" s="301">
        <f t="shared" si="2"/>
        <v>2006</v>
      </c>
      <c r="C24" s="61">
        <f t="shared" si="3"/>
        <v>0</v>
      </c>
      <c r="D24" s="62">
        <f t="shared" si="0"/>
        <v>1</v>
      </c>
      <c r="E24" s="62">
        <f t="shared" si="0"/>
        <v>0</v>
      </c>
      <c r="F24" s="62">
        <f t="shared" si="0"/>
        <v>0</v>
      </c>
      <c r="G24" s="62">
        <f t="shared" si="0"/>
        <v>0</v>
      </c>
      <c r="H24" s="29">
        <f t="shared" si="4"/>
        <v>1</v>
      </c>
      <c r="I24" s="61">
        <f t="shared" si="5"/>
        <v>0.2</v>
      </c>
      <c r="J24" s="62">
        <f t="shared" si="1"/>
        <v>0.3</v>
      </c>
      <c r="K24" s="62">
        <f t="shared" si="1"/>
        <v>0.25</v>
      </c>
      <c r="L24" s="62">
        <f t="shared" si="1"/>
        <v>0.05</v>
      </c>
      <c r="M24" s="62">
        <f t="shared" si="1"/>
        <v>0.2</v>
      </c>
      <c r="N24" s="29">
        <f t="shared" si="6"/>
        <v>1</v>
      </c>
      <c r="O24" s="271"/>
      <c r="R24" s="173">
        <f t="shared" si="7"/>
        <v>0.8</v>
      </c>
      <c r="S24" s="596">
        <f t="shared" si="8"/>
        <v>0.71500000000000008</v>
      </c>
    </row>
    <row r="25" spans="2:19">
      <c r="B25" s="301">
        <f t="shared" si="2"/>
        <v>2007</v>
      </c>
      <c r="C25" s="61">
        <f t="shared" si="3"/>
        <v>0</v>
      </c>
      <c r="D25" s="62">
        <f t="shared" si="0"/>
        <v>1</v>
      </c>
      <c r="E25" s="62">
        <f t="shared" si="0"/>
        <v>0</v>
      </c>
      <c r="F25" s="62">
        <f t="shared" si="0"/>
        <v>0</v>
      </c>
      <c r="G25" s="62">
        <f t="shared" si="0"/>
        <v>0</v>
      </c>
      <c r="H25" s="29">
        <f t="shared" si="4"/>
        <v>1</v>
      </c>
      <c r="I25" s="61">
        <f t="shared" si="5"/>
        <v>0.2</v>
      </c>
      <c r="J25" s="62">
        <f t="shared" si="1"/>
        <v>0.3</v>
      </c>
      <c r="K25" s="62">
        <f t="shared" si="1"/>
        <v>0.25</v>
      </c>
      <c r="L25" s="62">
        <f t="shared" si="1"/>
        <v>0.05</v>
      </c>
      <c r="M25" s="62">
        <f t="shared" si="1"/>
        <v>0.2</v>
      </c>
      <c r="N25" s="29">
        <f t="shared" si="6"/>
        <v>1</v>
      </c>
      <c r="O25" s="271"/>
      <c r="R25" s="173">
        <f t="shared" si="7"/>
        <v>0.8</v>
      </c>
      <c r="S25" s="596">
        <f t="shared" si="8"/>
        <v>0.71500000000000008</v>
      </c>
    </row>
    <row r="26" spans="2:19">
      <c r="B26" s="301">
        <f t="shared" si="2"/>
        <v>2008</v>
      </c>
      <c r="C26" s="61">
        <f t="shared" si="3"/>
        <v>0</v>
      </c>
      <c r="D26" s="62">
        <f t="shared" si="0"/>
        <v>1</v>
      </c>
      <c r="E26" s="62">
        <f t="shared" si="0"/>
        <v>0</v>
      </c>
      <c r="F26" s="62">
        <f t="shared" si="0"/>
        <v>0</v>
      </c>
      <c r="G26" s="62">
        <f t="shared" si="0"/>
        <v>0</v>
      </c>
      <c r="H26" s="29">
        <f t="shared" si="4"/>
        <v>1</v>
      </c>
      <c r="I26" s="61">
        <f t="shared" si="5"/>
        <v>0.2</v>
      </c>
      <c r="J26" s="62">
        <f t="shared" si="1"/>
        <v>0.3</v>
      </c>
      <c r="K26" s="62">
        <f t="shared" si="1"/>
        <v>0.25</v>
      </c>
      <c r="L26" s="62">
        <f t="shared" si="1"/>
        <v>0.05</v>
      </c>
      <c r="M26" s="62">
        <f t="shared" si="1"/>
        <v>0.2</v>
      </c>
      <c r="N26" s="29">
        <f t="shared" si="6"/>
        <v>1</v>
      </c>
      <c r="O26" s="271"/>
      <c r="R26" s="173">
        <f t="shared" si="7"/>
        <v>0.8</v>
      </c>
      <c r="S26" s="596">
        <f t="shared" si="8"/>
        <v>0.71500000000000008</v>
      </c>
    </row>
    <row r="27" spans="2:19">
      <c r="B27" s="301">
        <f t="shared" si="2"/>
        <v>2009</v>
      </c>
      <c r="C27" s="61">
        <f t="shared" si="3"/>
        <v>0</v>
      </c>
      <c r="D27" s="62">
        <f t="shared" si="0"/>
        <v>1</v>
      </c>
      <c r="E27" s="62">
        <f t="shared" si="0"/>
        <v>0</v>
      </c>
      <c r="F27" s="62">
        <f t="shared" si="0"/>
        <v>0</v>
      </c>
      <c r="G27" s="62">
        <f t="shared" si="0"/>
        <v>0</v>
      </c>
      <c r="H27" s="29">
        <f t="shared" si="4"/>
        <v>1</v>
      </c>
      <c r="I27" s="61">
        <f t="shared" si="5"/>
        <v>0.2</v>
      </c>
      <c r="J27" s="62">
        <f t="shared" si="1"/>
        <v>0.3</v>
      </c>
      <c r="K27" s="62">
        <f t="shared" si="1"/>
        <v>0.25</v>
      </c>
      <c r="L27" s="62">
        <f t="shared" si="1"/>
        <v>0.05</v>
      </c>
      <c r="M27" s="62">
        <f t="shared" si="1"/>
        <v>0.2</v>
      </c>
      <c r="N27" s="29">
        <f t="shared" si="6"/>
        <v>1</v>
      </c>
      <c r="O27" s="271"/>
      <c r="R27" s="173">
        <f t="shared" si="7"/>
        <v>0.8</v>
      </c>
      <c r="S27" s="596">
        <f t="shared" si="8"/>
        <v>0.71500000000000008</v>
      </c>
    </row>
    <row r="28" spans="2:19">
      <c r="B28" s="301">
        <f t="shared" si="2"/>
        <v>2010</v>
      </c>
      <c r="C28" s="61">
        <f t="shared" si="3"/>
        <v>0</v>
      </c>
      <c r="D28" s="62">
        <f t="shared" si="0"/>
        <v>1</v>
      </c>
      <c r="E28" s="62">
        <f t="shared" si="0"/>
        <v>0</v>
      </c>
      <c r="F28" s="62">
        <f t="shared" si="0"/>
        <v>0</v>
      </c>
      <c r="G28" s="62">
        <f t="shared" si="0"/>
        <v>0</v>
      </c>
      <c r="H28" s="29">
        <f t="shared" si="4"/>
        <v>1</v>
      </c>
      <c r="I28" s="61">
        <f t="shared" si="5"/>
        <v>0.2</v>
      </c>
      <c r="J28" s="62">
        <f t="shared" si="1"/>
        <v>0.3</v>
      </c>
      <c r="K28" s="62">
        <f t="shared" si="1"/>
        <v>0.25</v>
      </c>
      <c r="L28" s="62">
        <f t="shared" si="1"/>
        <v>0.05</v>
      </c>
      <c r="M28" s="62">
        <f t="shared" si="1"/>
        <v>0.2</v>
      </c>
      <c r="N28" s="29">
        <f t="shared" si="6"/>
        <v>1</v>
      </c>
      <c r="O28" s="271"/>
      <c r="R28" s="173">
        <f t="shared" si="7"/>
        <v>0.8</v>
      </c>
      <c r="S28" s="596">
        <f t="shared" si="8"/>
        <v>0.71500000000000008</v>
      </c>
    </row>
    <row r="29" spans="2:19">
      <c r="B29" s="301">
        <f t="shared" si="2"/>
        <v>2011</v>
      </c>
      <c r="C29" s="61">
        <f t="shared" si="3"/>
        <v>0</v>
      </c>
      <c r="D29" s="62">
        <f t="shared" si="0"/>
        <v>1</v>
      </c>
      <c r="E29" s="62">
        <f t="shared" si="0"/>
        <v>0</v>
      </c>
      <c r="F29" s="62">
        <f t="shared" si="0"/>
        <v>0</v>
      </c>
      <c r="G29" s="62">
        <f t="shared" si="0"/>
        <v>0</v>
      </c>
      <c r="H29" s="29">
        <f t="shared" si="4"/>
        <v>1</v>
      </c>
      <c r="I29" s="61">
        <f t="shared" si="5"/>
        <v>0.2</v>
      </c>
      <c r="J29" s="62">
        <f t="shared" si="1"/>
        <v>0.3</v>
      </c>
      <c r="K29" s="62">
        <f t="shared" si="1"/>
        <v>0.25</v>
      </c>
      <c r="L29" s="62">
        <f t="shared" si="1"/>
        <v>0.05</v>
      </c>
      <c r="M29" s="62">
        <f t="shared" si="1"/>
        <v>0.2</v>
      </c>
      <c r="N29" s="29">
        <f t="shared" si="6"/>
        <v>1</v>
      </c>
      <c r="O29" s="271"/>
      <c r="R29" s="173">
        <f t="shared" si="7"/>
        <v>0.8</v>
      </c>
      <c r="S29" s="596">
        <f t="shared" si="8"/>
        <v>0.71500000000000008</v>
      </c>
    </row>
    <row r="30" spans="2:19">
      <c r="B30" s="301">
        <f t="shared" si="2"/>
        <v>2012</v>
      </c>
      <c r="C30" s="61">
        <f t="shared" si="3"/>
        <v>0</v>
      </c>
      <c r="D30" s="62">
        <f t="shared" si="0"/>
        <v>1</v>
      </c>
      <c r="E30" s="62">
        <f t="shared" si="0"/>
        <v>0</v>
      </c>
      <c r="F30" s="62">
        <f t="shared" si="0"/>
        <v>0</v>
      </c>
      <c r="G30" s="62">
        <f t="shared" si="0"/>
        <v>0</v>
      </c>
      <c r="H30" s="29">
        <f t="shared" si="4"/>
        <v>1</v>
      </c>
      <c r="I30" s="61">
        <f t="shared" si="5"/>
        <v>0.2</v>
      </c>
      <c r="J30" s="62">
        <f t="shared" si="1"/>
        <v>0.3</v>
      </c>
      <c r="K30" s="62">
        <f t="shared" si="1"/>
        <v>0.25</v>
      </c>
      <c r="L30" s="62">
        <f t="shared" si="1"/>
        <v>0.05</v>
      </c>
      <c r="M30" s="62">
        <f t="shared" si="1"/>
        <v>0.2</v>
      </c>
      <c r="N30" s="29">
        <f t="shared" si="6"/>
        <v>1</v>
      </c>
      <c r="O30" s="271"/>
      <c r="R30" s="173">
        <f t="shared" si="7"/>
        <v>0.8</v>
      </c>
      <c r="S30" s="596">
        <f t="shared" si="8"/>
        <v>0.71500000000000008</v>
      </c>
    </row>
    <row r="31" spans="2:19">
      <c r="B31" s="301">
        <f t="shared" si="2"/>
        <v>2013</v>
      </c>
      <c r="C31" s="61">
        <f t="shared" si="3"/>
        <v>0</v>
      </c>
      <c r="D31" s="62">
        <f t="shared" si="0"/>
        <v>1</v>
      </c>
      <c r="E31" s="62">
        <f t="shared" si="0"/>
        <v>0</v>
      </c>
      <c r="F31" s="62">
        <f t="shared" si="0"/>
        <v>0</v>
      </c>
      <c r="G31" s="62">
        <f t="shared" si="0"/>
        <v>0</v>
      </c>
      <c r="H31" s="29">
        <f t="shared" si="4"/>
        <v>1</v>
      </c>
      <c r="I31" s="61">
        <f t="shared" si="5"/>
        <v>0.2</v>
      </c>
      <c r="J31" s="62">
        <f t="shared" si="1"/>
        <v>0.3</v>
      </c>
      <c r="K31" s="62">
        <f t="shared" si="1"/>
        <v>0.25</v>
      </c>
      <c r="L31" s="62">
        <f t="shared" si="1"/>
        <v>0.05</v>
      </c>
      <c r="M31" s="62">
        <f t="shared" si="1"/>
        <v>0.2</v>
      </c>
      <c r="N31" s="29">
        <f t="shared" si="6"/>
        <v>1</v>
      </c>
      <c r="O31" s="271"/>
      <c r="R31" s="173">
        <f t="shared" si="7"/>
        <v>0.8</v>
      </c>
      <c r="S31" s="596">
        <f t="shared" si="8"/>
        <v>0.71500000000000008</v>
      </c>
    </row>
    <row r="32" spans="2:19">
      <c r="B32" s="301">
        <f t="shared" si="2"/>
        <v>2014</v>
      </c>
      <c r="C32" s="61">
        <f t="shared" si="3"/>
        <v>0</v>
      </c>
      <c r="D32" s="62">
        <f t="shared" si="0"/>
        <v>1</v>
      </c>
      <c r="E32" s="62">
        <f t="shared" si="0"/>
        <v>0</v>
      </c>
      <c r="F32" s="62">
        <f t="shared" si="0"/>
        <v>0</v>
      </c>
      <c r="G32" s="62">
        <f t="shared" si="0"/>
        <v>0</v>
      </c>
      <c r="H32" s="29">
        <f t="shared" si="4"/>
        <v>1</v>
      </c>
      <c r="I32" s="61">
        <f t="shared" si="5"/>
        <v>0.2</v>
      </c>
      <c r="J32" s="62">
        <f t="shared" si="1"/>
        <v>0.3</v>
      </c>
      <c r="K32" s="62">
        <f t="shared" si="1"/>
        <v>0.25</v>
      </c>
      <c r="L32" s="62">
        <f t="shared" si="1"/>
        <v>0.05</v>
      </c>
      <c r="M32" s="62">
        <f t="shared" si="1"/>
        <v>0.2</v>
      </c>
      <c r="N32" s="29">
        <f t="shared" si="6"/>
        <v>1</v>
      </c>
      <c r="O32" s="271"/>
      <c r="R32" s="173">
        <f t="shared" si="7"/>
        <v>0.8</v>
      </c>
      <c r="S32" s="596">
        <f t="shared" si="8"/>
        <v>0.71500000000000008</v>
      </c>
    </row>
    <row r="33" spans="2:19">
      <c r="B33" s="301">
        <f t="shared" si="2"/>
        <v>2015</v>
      </c>
      <c r="C33" s="61">
        <f t="shared" si="3"/>
        <v>0</v>
      </c>
      <c r="D33" s="62">
        <f t="shared" si="0"/>
        <v>1</v>
      </c>
      <c r="E33" s="62">
        <f t="shared" si="0"/>
        <v>0</v>
      </c>
      <c r="F33" s="62">
        <f t="shared" si="0"/>
        <v>0</v>
      </c>
      <c r="G33" s="62">
        <f t="shared" si="0"/>
        <v>0</v>
      </c>
      <c r="H33" s="29">
        <f t="shared" si="4"/>
        <v>1</v>
      </c>
      <c r="I33" s="61">
        <f t="shared" si="5"/>
        <v>0.2</v>
      </c>
      <c r="J33" s="62">
        <f t="shared" si="1"/>
        <v>0.3</v>
      </c>
      <c r="K33" s="62">
        <f t="shared" si="1"/>
        <v>0.25</v>
      </c>
      <c r="L33" s="62">
        <f t="shared" si="1"/>
        <v>0.05</v>
      </c>
      <c r="M33" s="62">
        <f t="shared" si="1"/>
        <v>0.2</v>
      </c>
      <c r="N33" s="29">
        <f t="shared" si="6"/>
        <v>1</v>
      </c>
      <c r="O33" s="271"/>
      <c r="R33" s="173">
        <f t="shared" si="7"/>
        <v>0.8</v>
      </c>
      <c r="S33" s="596">
        <f t="shared" si="8"/>
        <v>0.71500000000000008</v>
      </c>
    </row>
    <row r="34" spans="2:19">
      <c r="B34" s="301">
        <f t="shared" si="2"/>
        <v>2016</v>
      </c>
      <c r="C34" s="61">
        <f t="shared" si="3"/>
        <v>0</v>
      </c>
      <c r="D34" s="62">
        <f t="shared" si="3"/>
        <v>1</v>
      </c>
      <c r="E34" s="62">
        <f t="shared" si="3"/>
        <v>0</v>
      </c>
      <c r="F34" s="62">
        <f t="shared" si="3"/>
        <v>0</v>
      </c>
      <c r="G34" s="62">
        <f t="shared" si="3"/>
        <v>0</v>
      </c>
      <c r="H34" s="29">
        <f t="shared" si="4"/>
        <v>1</v>
      </c>
      <c r="I34" s="61">
        <f t="shared" si="5"/>
        <v>0.2</v>
      </c>
      <c r="J34" s="62">
        <f t="shared" si="5"/>
        <v>0.3</v>
      </c>
      <c r="K34" s="62">
        <f t="shared" si="5"/>
        <v>0.25</v>
      </c>
      <c r="L34" s="62">
        <f t="shared" si="5"/>
        <v>0.05</v>
      </c>
      <c r="M34" s="62">
        <f t="shared" si="5"/>
        <v>0.2</v>
      </c>
      <c r="N34" s="29">
        <f t="shared" si="6"/>
        <v>1</v>
      </c>
      <c r="O34" s="271"/>
      <c r="R34" s="173">
        <f t="shared" si="7"/>
        <v>0.8</v>
      </c>
      <c r="S34" s="596">
        <f t="shared" si="8"/>
        <v>0.71500000000000008</v>
      </c>
    </row>
    <row r="35" spans="2:19">
      <c r="B35" s="301">
        <f t="shared" si="2"/>
        <v>2017</v>
      </c>
      <c r="C35" s="61">
        <f t="shared" si="3"/>
        <v>0</v>
      </c>
      <c r="D35" s="62">
        <f t="shared" si="3"/>
        <v>1</v>
      </c>
      <c r="E35" s="62">
        <f t="shared" si="3"/>
        <v>0</v>
      </c>
      <c r="F35" s="62">
        <f t="shared" si="3"/>
        <v>0</v>
      </c>
      <c r="G35" s="62">
        <f t="shared" si="3"/>
        <v>0</v>
      </c>
      <c r="H35" s="29">
        <f t="shared" si="4"/>
        <v>1</v>
      </c>
      <c r="I35" s="61">
        <f t="shared" si="5"/>
        <v>0.2</v>
      </c>
      <c r="J35" s="62">
        <f t="shared" si="5"/>
        <v>0.3</v>
      </c>
      <c r="K35" s="62">
        <f t="shared" si="5"/>
        <v>0.25</v>
      </c>
      <c r="L35" s="62">
        <f t="shared" si="5"/>
        <v>0.05</v>
      </c>
      <c r="M35" s="62">
        <f t="shared" si="5"/>
        <v>0.2</v>
      </c>
      <c r="N35" s="29">
        <f t="shared" si="6"/>
        <v>1</v>
      </c>
      <c r="O35" s="271"/>
      <c r="R35" s="173">
        <f t="shared" si="7"/>
        <v>0.8</v>
      </c>
      <c r="S35" s="596">
        <f t="shared" si="8"/>
        <v>0.71500000000000008</v>
      </c>
    </row>
    <row r="36" spans="2:19">
      <c r="B36" s="301">
        <f t="shared" si="2"/>
        <v>2018</v>
      </c>
      <c r="C36" s="61">
        <f t="shared" si="3"/>
        <v>0</v>
      </c>
      <c r="D36" s="62">
        <f t="shared" si="3"/>
        <v>1</v>
      </c>
      <c r="E36" s="62">
        <f t="shared" si="3"/>
        <v>0</v>
      </c>
      <c r="F36" s="62">
        <f t="shared" si="3"/>
        <v>0</v>
      </c>
      <c r="G36" s="62">
        <f t="shared" si="3"/>
        <v>0</v>
      </c>
      <c r="H36" s="29">
        <f t="shared" si="4"/>
        <v>1</v>
      </c>
      <c r="I36" s="61">
        <f t="shared" si="5"/>
        <v>0.2</v>
      </c>
      <c r="J36" s="62">
        <f t="shared" si="5"/>
        <v>0.3</v>
      </c>
      <c r="K36" s="62">
        <f t="shared" si="5"/>
        <v>0.25</v>
      </c>
      <c r="L36" s="62">
        <f t="shared" si="5"/>
        <v>0.05</v>
      </c>
      <c r="M36" s="62">
        <f t="shared" si="5"/>
        <v>0.2</v>
      </c>
      <c r="N36" s="29">
        <f t="shared" si="6"/>
        <v>1</v>
      </c>
      <c r="O36" s="271"/>
      <c r="R36" s="173">
        <f t="shared" si="7"/>
        <v>0.8</v>
      </c>
      <c r="S36" s="596">
        <f t="shared" si="8"/>
        <v>0.71500000000000008</v>
      </c>
    </row>
    <row r="37" spans="2:19">
      <c r="B37" s="301">
        <f t="shared" si="2"/>
        <v>2019</v>
      </c>
      <c r="C37" s="61">
        <f t="shared" si="3"/>
        <v>0</v>
      </c>
      <c r="D37" s="62">
        <f t="shared" si="3"/>
        <v>1</v>
      </c>
      <c r="E37" s="62">
        <f t="shared" si="3"/>
        <v>0</v>
      </c>
      <c r="F37" s="62">
        <f t="shared" si="3"/>
        <v>0</v>
      </c>
      <c r="G37" s="62">
        <f t="shared" si="3"/>
        <v>0</v>
      </c>
      <c r="H37" s="29">
        <f t="shared" si="4"/>
        <v>1</v>
      </c>
      <c r="I37" s="61">
        <f t="shared" si="5"/>
        <v>0.2</v>
      </c>
      <c r="J37" s="62">
        <f t="shared" si="5"/>
        <v>0.3</v>
      </c>
      <c r="K37" s="62">
        <f t="shared" si="5"/>
        <v>0.25</v>
      </c>
      <c r="L37" s="62">
        <f t="shared" si="5"/>
        <v>0.05</v>
      </c>
      <c r="M37" s="62">
        <f t="shared" si="5"/>
        <v>0.2</v>
      </c>
      <c r="N37" s="29">
        <f t="shared" si="6"/>
        <v>1</v>
      </c>
      <c r="O37" s="271"/>
      <c r="R37" s="173">
        <f t="shared" si="7"/>
        <v>0.8</v>
      </c>
      <c r="S37" s="596">
        <f t="shared" si="8"/>
        <v>0.71500000000000008</v>
      </c>
    </row>
    <row r="38" spans="2:19">
      <c r="B38" s="301">
        <f t="shared" si="2"/>
        <v>2020</v>
      </c>
      <c r="C38" s="61">
        <f t="shared" si="3"/>
        <v>0</v>
      </c>
      <c r="D38" s="62">
        <f t="shared" si="3"/>
        <v>1</v>
      </c>
      <c r="E38" s="62">
        <f t="shared" si="3"/>
        <v>0</v>
      </c>
      <c r="F38" s="62">
        <f t="shared" si="3"/>
        <v>0</v>
      </c>
      <c r="G38" s="62">
        <f t="shared" si="3"/>
        <v>0</v>
      </c>
      <c r="H38" s="29">
        <f t="shared" si="4"/>
        <v>1</v>
      </c>
      <c r="I38" s="61">
        <f t="shared" si="5"/>
        <v>0.2</v>
      </c>
      <c r="J38" s="62">
        <f t="shared" si="5"/>
        <v>0.3</v>
      </c>
      <c r="K38" s="62">
        <f t="shared" si="5"/>
        <v>0.25</v>
      </c>
      <c r="L38" s="62">
        <f t="shared" si="5"/>
        <v>0.05</v>
      </c>
      <c r="M38" s="62">
        <f t="shared" si="5"/>
        <v>0.2</v>
      </c>
      <c r="N38" s="29">
        <f t="shared" si="6"/>
        <v>1</v>
      </c>
      <c r="O38" s="271"/>
      <c r="R38" s="173">
        <f t="shared" si="7"/>
        <v>0.8</v>
      </c>
      <c r="S38" s="596">
        <f t="shared" si="8"/>
        <v>0.71500000000000008</v>
      </c>
    </row>
    <row r="39" spans="2:19">
      <c r="B39" s="301">
        <f t="shared" si="2"/>
        <v>2021</v>
      </c>
      <c r="C39" s="61">
        <f t="shared" si="3"/>
        <v>0</v>
      </c>
      <c r="D39" s="62">
        <f t="shared" si="3"/>
        <v>1</v>
      </c>
      <c r="E39" s="62">
        <f t="shared" si="3"/>
        <v>0</v>
      </c>
      <c r="F39" s="62">
        <f t="shared" si="3"/>
        <v>0</v>
      </c>
      <c r="G39" s="62">
        <f t="shared" si="3"/>
        <v>0</v>
      </c>
      <c r="H39" s="29">
        <f t="shared" si="4"/>
        <v>1</v>
      </c>
      <c r="I39" s="61">
        <f t="shared" si="5"/>
        <v>0.2</v>
      </c>
      <c r="J39" s="62">
        <f t="shared" si="5"/>
        <v>0.3</v>
      </c>
      <c r="K39" s="62">
        <f t="shared" si="5"/>
        <v>0.25</v>
      </c>
      <c r="L39" s="62">
        <f t="shared" si="5"/>
        <v>0.05</v>
      </c>
      <c r="M39" s="62">
        <f t="shared" si="5"/>
        <v>0.2</v>
      </c>
      <c r="N39" s="29">
        <f t="shared" si="6"/>
        <v>1</v>
      </c>
      <c r="O39" s="271"/>
      <c r="R39" s="173">
        <f t="shared" si="7"/>
        <v>0.8</v>
      </c>
      <c r="S39" s="596">
        <f t="shared" si="8"/>
        <v>0.71500000000000008</v>
      </c>
    </row>
    <row r="40" spans="2:19">
      <c r="B40" s="301">
        <f t="shared" si="2"/>
        <v>2022</v>
      </c>
      <c r="C40" s="61">
        <f t="shared" si="3"/>
        <v>0</v>
      </c>
      <c r="D40" s="62">
        <f t="shared" si="3"/>
        <v>1</v>
      </c>
      <c r="E40" s="62">
        <f t="shared" si="3"/>
        <v>0</v>
      </c>
      <c r="F40" s="62">
        <f t="shared" si="3"/>
        <v>0</v>
      </c>
      <c r="G40" s="62">
        <f t="shared" si="3"/>
        <v>0</v>
      </c>
      <c r="H40" s="29">
        <f t="shared" si="4"/>
        <v>1</v>
      </c>
      <c r="I40" s="61">
        <f t="shared" si="5"/>
        <v>0.2</v>
      </c>
      <c r="J40" s="62">
        <f t="shared" si="5"/>
        <v>0.3</v>
      </c>
      <c r="K40" s="62">
        <f t="shared" si="5"/>
        <v>0.25</v>
      </c>
      <c r="L40" s="62">
        <f t="shared" si="5"/>
        <v>0.05</v>
      </c>
      <c r="M40" s="62">
        <f t="shared" si="5"/>
        <v>0.2</v>
      </c>
      <c r="N40" s="29">
        <f t="shared" si="6"/>
        <v>1</v>
      </c>
      <c r="O40" s="271"/>
      <c r="R40" s="173">
        <f t="shared" si="7"/>
        <v>0.8</v>
      </c>
      <c r="S40" s="596">
        <f t="shared" si="8"/>
        <v>0.71500000000000008</v>
      </c>
    </row>
    <row r="41" spans="2:19">
      <c r="B41" s="301">
        <f t="shared" si="2"/>
        <v>2023</v>
      </c>
      <c r="C41" s="61">
        <f t="shared" si="3"/>
        <v>0</v>
      </c>
      <c r="D41" s="62">
        <f t="shared" si="3"/>
        <v>1</v>
      </c>
      <c r="E41" s="62">
        <f t="shared" si="3"/>
        <v>0</v>
      </c>
      <c r="F41" s="62">
        <f t="shared" si="3"/>
        <v>0</v>
      </c>
      <c r="G41" s="62">
        <f t="shared" si="3"/>
        <v>0</v>
      </c>
      <c r="H41" s="29">
        <f t="shared" si="4"/>
        <v>1</v>
      </c>
      <c r="I41" s="61">
        <f t="shared" si="5"/>
        <v>0.2</v>
      </c>
      <c r="J41" s="62">
        <f t="shared" si="5"/>
        <v>0.3</v>
      </c>
      <c r="K41" s="62">
        <f t="shared" si="5"/>
        <v>0.25</v>
      </c>
      <c r="L41" s="62">
        <f t="shared" si="5"/>
        <v>0.05</v>
      </c>
      <c r="M41" s="62">
        <f t="shared" si="5"/>
        <v>0.2</v>
      </c>
      <c r="N41" s="29">
        <f t="shared" si="6"/>
        <v>1</v>
      </c>
      <c r="O41" s="271"/>
      <c r="R41" s="173">
        <f t="shared" si="7"/>
        <v>0.8</v>
      </c>
      <c r="S41" s="596">
        <f t="shared" si="8"/>
        <v>0.71500000000000008</v>
      </c>
    </row>
    <row r="42" spans="2:19">
      <c r="B42" s="301">
        <f t="shared" si="2"/>
        <v>2024</v>
      </c>
      <c r="C42" s="61">
        <f t="shared" si="3"/>
        <v>0</v>
      </c>
      <c r="D42" s="62">
        <f t="shared" si="3"/>
        <v>1</v>
      </c>
      <c r="E42" s="62">
        <f t="shared" si="3"/>
        <v>0</v>
      </c>
      <c r="F42" s="62">
        <f t="shared" si="3"/>
        <v>0</v>
      </c>
      <c r="G42" s="62">
        <f t="shared" si="3"/>
        <v>0</v>
      </c>
      <c r="H42" s="29">
        <f t="shared" si="4"/>
        <v>1</v>
      </c>
      <c r="I42" s="61">
        <f t="shared" si="5"/>
        <v>0.2</v>
      </c>
      <c r="J42" s="62">
        <f t="shared" si="5"/>
        <v>0.3</v>
      </c>
      <c r="K42" s="62">
        <f t="shared" si="5"/>
        <v>0.25</v>
      </c>
      <c r="L42" s="62">
        <f t="shared" si="5"/>
        <v>0.05</v>
      </c>
      <c r="M42" s="62">
        <f t="shared" si="5"/>
        <v>0.2</v>
      </c>
      <c r="N42" s="29">
        <f t="shared" si="6"/>
        <v>1</v>
      </c>
      <c r="O42" s="271"/>
      <c r="R42" s="173">
        <f t="shared" si="7"/>
        <v>0.8</v>
      </c>
      <c r="S42" s="596">
        <f t="shared" si="8"/>
        <v>0.71500000000000008</v>
      </c>
    </row>
    <row r="43" spans="2:19">
      <c r="B43" s="301">
        <f t="shared" si="2"/>
        <v>2025</v>
      </c>
      <c r="C43" s="61">
        <f t="shared" si="3"/>
        <v>0</v>
      </c>
      <c r="D43" s="62">
        <f t="shared" si="3"/>
        <v>1</v>
      </c>
      <c r="E43" s="62">
        <f t="shared" si="3"/>
        <v>0</v>
      </c>
      <c r="F43" s="62">
        <f t="shared" si="3"/>
        <v>0</v>
      </c>
      <c r="G43" s="62">
        <f t="shared" si="3"/>
        <v>0</v>
      </c>
      <c r="H43" s="29">
        <f t="shared" si="4"/>
        <v>1</v>
      </c>
      <c r="I43" s="61">
        <f t="shared" si="5"/>
        <v>0.2</v>
      </c>
      <c r="J43" s="62">
        <f t="shared" si="5"/>
        <v>0.3</v>
      </c>
      <c r="K43" s="62">
        <f t="shared" si="5"/>
        <v>0.25</v>
      </c>
      <c r="L43" s="62">
        <f t="shared" si="5"/>
        <v>0.05</v>
      </c>
      <c r="M43" s="62">
        <f t="shared" si="5"/>
        <v>0.2</v>
      </c>
      <c r="N43" s="29">
        <f t="shared" si="6"/>
        <v>1</v>
      </c>
      <c r="O43" s="271"/>
      <c r="R43" s="173">
        <f t="shared" si="7"/>
        <v>0.8</v>
      </c>
      <c r="S43" s="596">
        <f t="shared" si="8"/>
        <v>0.71500000000000008</v>
      </c>
    </row>
    <row r="44" spans="2:19">
      <c r="B44" s="301">
        <f t="shared" si="2"/>
        <v>2026</v>
      </c>
      <c r="C44" s="61">
        <f t="shared" si="3"/>
        <v>0</v>
      </c>
      <c r="D44" s="62">
        <f t="shared" si="3"/>
        <v>1</v>
      </c>
      <c r="E44" s="62">
        <f t="shared" si="3"/>
        <v>0</v>
      </c>
      <c r="F44" s="62">
        <f t="shared" si="3"/>
        <v>0</v>
      </c>
      <c r="G44" s="62">
        <f t="shared" si="3"/>
        <v>0</v>
      </c>
      <c r="H44" s="29">
        <f t="shared" si="4"/>
        <v>1</v>
      </c>
      <c r="I44" s="61">
        <f t="shared" si="5"/>
        <v>0.2</v>
      </c>
      <c r="J44" s="62">
        <f t="shared" si="5"/>
        <v>0.3</v>
      </c>
      <c r="K44" s="62">
        <f t="shared" si="5"/>
        <v>0.25</v>
      </c>
      <c r="L44" s="62">
        <f t="shared" si="5"/>
        <v>0.05</v>
      </c>
      <c r="M44" s="62">
        <f t="shared" si="5"/>
        <v>0.2</v>
      </c>
      <c r="N44" s="29">
        <f t="shared" si="6"/>
        <v>1</v>
      </c>
      <c r="O44" s="271"/>
      <c r="R44" s="173">
        <f t="shared" si="7"/>
        <v>0.8</v>
      </c>
      <c r="S44" s="596">
        <f t="shared" si="8"/>
        <v>0.71500000000000008</v>
      </c>
    </row>
    <row r="45" spans="2:19">
      <c r="B45" s="301">
        <f t="shared" si="2"/>
        <v>2027</v>
      </c>
      <c r="C45" s="61">
        <f t="shared" si="3"/>
        <v>0</v>
      </c>
      <c r="D45" s="62">
        <f t="shared" si="3"/>
        <v>1</v>
      </c>
      <c r="E45" s="62">
        <f t="shared" si="3"/>
        <v>0</v>
      </c>
      <c r="F45" s="62">
        <f t="shared" si="3"/>
        <v>0</v>
      </c>
      <c r="G45" s="62">
        <f t="shared" si="3"/>
        <v>0</v>
      </c>
      <c r="H45" s="29">
        <f t="shared" si="4"/>
        <v>1</v>
      </c>
      <c r="I45" s="61">
        <f t="shared" si="5"/>
        <v>0.2</v>
      </c>
      <c r="J45" s="62">
        <f t="shared" si="5"/>
        <v>0.3</v>
      </c>
      <c r="K45" s="62">
        <f t="shared" si="5"/>
        <v>0.25</v>
      </c>
      <c r="L45" s="62">
        <f t="shared" si="5"/>
        <v>0.05</v>
      </c>
      <c r="M45" s="62">
        <f t="shared" si="5"/>
        <v>0.2</v>
      </c>
      <c r="N45" s="29">
        <f t="shared" si="6"/>
        <v>1</v>
      </c>
      <c r="O45" s="271"/>
      <c r="R45" s="173">
        <f t="shared" si="7"/>
        <v>0.8</v>
      </c>
      <c r="S45" s="596">
        <f t="shared" si="8"/>
        <v>0.71500000000000008</v>
      </c>
    </row>
    <row r="46" spans="2:19">
      <c r="B46" s="301">
        <f t="shared" si="2"/>
        <v>2028</v>
      </c>
      <c r="C46" s="61">
        <f t="shared" si="3"/>
        <v>0</v>
      </c>
      <c r="D46" s="62">
        <f t="shared" si="3"/>
        <v>1</v>
      </c>
      <c r="E46" s="62">
        <f t="shared" si="3"/>
        <v>0</v>
      </c>
      <c r="F46" s="62">
        <f t="shared" si="3"/>
        <v>0</v>
      </c>
      <c r="G46" s="62">
        <f t="shared" si="3"/>
        <v>0</v>
      </c>
      <c r="H46" s="29">
        <f t="shared" si="4"/>
        <v>1</v>
      </c>
      <c r="I46" s="61">
        <f t="shared" si="5"/>
        <v>0.2</v>
      </c>
      <c r="J46" s="62">
        <f t="shared" si="5"/>
        <v>0.3</v>
      </c>
      <c r="K46" s="62">
        <f t="shared" si="5"/>
        <v>0.25</v>
      </c>
      <c r="L46" s="62">
        <f t="shared" si="5"/>
        <v>0.05</v>
      </c>
      <c r="M46" s="62">
        <f t="shared" si="5"/>
        <v>0.2</v>
      </c>
      <c r="N46" s="29">
        <f t="shared" si="6"/>
        <v>1</v>
      </c>
      <c r="O46" s="271"/>
      <c r="R46" s="173">
        <f t="shared" si="7"/>
        <v>0.8</v>
      </c>
      <c r="S46" s="596">
        <f t="shared" si="8"/>
        <v>0.71500000000000008</v>
      </c>
    </row>
    <row r="47" spans="2:19">
      <c r="B47" s="301">
        <f t="shared" si="2"/>
        <v>2029</v>
      </c>
      <c r="C47" s="61">
        <f t="shared" si="3"/>
        <v>0</v>
      </c>
      <c r="D47" s="62">
        <f t="shared" si="3"/>
        <v>1</v>
      </c>
      <c r="E47" s="62">
        <f t="shared" si="3"/>
        <v>0</v>
      </c>
      <c r="F47" s="62">
        <f t="shared" si="3"/>
        <v>0</v>
      </c>
      <c r="G47" s="62">
        <f t="shared" si="3"/>
        <v>0</v>
      </c>
      <c r="H47" s="29">
        <f t="shared" si="4"/>
        <v>1</v>
      </c>
      <c r="I47" s="61">
        <f t="shared" si="5"/>
        <v>0.2</v>
      </c>
      <c r="J47" s="62">
        <f t="shared" si="5"/>
        <v>0.3</v>
      </c>
      <c r="K47" s="62">
        <f t="shared" si="5"/>
        <v>0.25</v>
      </c>
      <c r="L47" s="62">
        <f t="shared" si="5"/>
        <v>0.05</v>
      </c>
      <c r="M47" s="62">
        <f t="shared" si="5"/>
        <v>0.2</v>
      </c>
      <c r="N47" s="29">
        <f t="shared" si="6"/>
        <v>1</v>
      </c>
      <c r="O47" s="271"/>
      <c r="R47" s="173">
        <f t="shared" si="7"/>
        <v>0.8</v>
      </c>
      <c r="S47" s="596">
        <f t="shared" si="8"/>
        <v>0.71500000000000008</v>
      </c>
    </row>
    <row r="48" spans="2:19">
      <c r="B48" s="301">
        <f t="shared" si="2"/>
        <v>2030</v>
      </c>
      <c r="C48" s="61">
        <f t="shared" si="3"/>
        <v>0</v>
      </c>
      <c r="D48" s="62">
        <f t="shared" si="3"/>
        <v>1</v>
      </c>
      <c r="E48" s="62">
        <f t="shared" si="3"/>
        <v>0</v>
      </c>
      <c r="F48" s="62">
        <f t="shared" si="3"/>
        <v>0</v>
      </c>
      <c r="G48" s="62">
        <f t="shared" si="3"/>
        <v>0</v>
      </c>
      <c r="H48" s="29">
        <f t="shared" si="4"/>
        <v>1</v>
      </c>
      <c r="I48" s="61">
        <f t="shared" si="5"/>
        <v>0.2</v>
      </c>
      <c r="J48" s="62">
        <f t="shared" si="5"/>
        <v>0.3</v>
      </c>
      <c r="K48" s="62">
        <f t="shared" si="5"/>
        <v>0.25</v>
      </c>
      <c r="L48" s="62">
        <f t="shared" si="5"/>
        <v>0.05</v>
      </c>
      <c r="M48" s="62">
        <f t="shared" si="5"/>
        <v>0.2</v>
      </c>
      <c r="N48" s="29">
        <f t="shared" si="6"/>
        <v>1</v>
      </c>
      <c r="O48" s="271"/>
      <c r="R48" s="173">
        <f t="shared" si="7"/>
        <v>0.8</v>
      </c>
      <c r="S48" s="596">
        <f t="shared" si="8"/>
        <v>0.71500000000000008</v>
      </c>
    </row>
    <row r="49" spans="2:19">
      <c r="B49" s="301">
        <f t="shared" si="2"/>
        <v>2031</v>
      </c>
      <c r="C49" s="61">
        <f t="shared" si="3"/>
        <v>0</v>
      </c>
      <c r="D49" s="62">
        <f t="shared" si="3"/>
        <v>1</v>
      </c>
      <c r="E49" s="62">
        <f t="shared" si="3"/>
        <v>0</v>
      </c>
      <c r="F49" s="62">
        <f t="shared" si="3"/>
        <v>0</v>
      </c>
      <c r="G49" s="62">
        <f t="shared" si="3"/>
        <v>0</v>
      </c>
      <c r="H49" s="29">
        <f t="shared" si="4"/>
        <v>1</v>
      </c>
      <c r="I49" s="61">
        <f t="shared" si="5"/>
        <v>0.2</v>
      </c>
      <c r="J49" s="62">
        <f t="shared" si="5"/>
        <v>0.3</v>
      </c>
      <c r="K49" s="62">
        <f t="shared" si="5"/>
        <v>0.25</v>
      </c>
      <c r="L49" s="62">
        <f t="shared" si="5"/>
        <v>0.05</v>
      </c>
      <c r="M49" s="62">
        <f t="shared" si="5"/>
        <v>0.2</v>
      </c>
      <c r="N49" s="29">
        <f t="shared" si="6"/>
        <v>1</v>
      </c>
      <c r="O49" s="271"/>
      <c r="R49" s="173">
        <f t="shared" si="7"/>
        <v>0.8</v>
      </c>
      <c r="S49" s="596">
        <f t="shared" si="8"/>
        <v>0.71500000000000008</v>
      </c>
    </row>
    <row r="50" spans="2:19">
      <c r="B50" s="301">
        <f t="shared" si="2"/>
        <v>2032</v>
      </c>
      <c r="C50" s="61">
        <f t="shared" si="3"/>
        <v>0</v>
      </c>
      <c r="D50" s="62">
        <f t="shared" si="3"/>
        <v>1</v>
      </c>
      <c r="E50" s="62">
        <f t="shared" si="3"/>
        <v>0</v>
      </c>
      <c r="F50" s="62">
        <f t="shared" si="3"/>
        <v>0</v>
      </c>
      <c r="G50" s="62">
        <f t="shared" si="3"/>
        <v>0</v>
      </c>
      <c r="H50" s="29">
        <f t="shared" si="4"/>
        <v>1</v>
      </c>
      <c r="I50" s="61">
        <f t="shared" si="5"/>
        <v>0.2</v>
      </c>
      <c r="J50" s="62">
        <f t="shared" si="5"/>
        <v>0.3</v>
      </c>
      <c r="K50" s="62">
        <f t="shared" si="5"/>
        <v>0.25</v>
      </c>
      <c r="L50" s="62">
        <f t="shared" si="5"/>
        <v>0.05</v>
      </c>
      <c r="M50" s="62">
        <f t="shared" si="5"/>
        <v>0.2</v>
      </c>
      <c r="N50" s="29">
        <f t="shared" si="6"/>
        <v>1</v>
      </c>
      <c r="O50" s="271"/>
      <c r="R50" s="173">
        <f t="shared" si="7"/>
        <v>0.8</v>
      </c>
      <c r="S50" s="596">
        <f t="shared" si="8"/>
        <v>0.71500000000000008</v>
      </c>
    </row>
    <row r="51" spans="2:19">
      <c r="B51" s="301">
        <f t="shared" ref="B51:B82" si="9">B50+1</f>
        <v>2033</v>
      </c>
      <c r="C51" s="61">
        <f t="shared" ref="C51:G98" si="10">C$16</f>
        <v>0</v>
      </c>
      <c r="D51" s="62">
        <f t="shared" si="10"/>
        <v>1</v>
      </c>
      <c r="E51" s="62">
        <f t="shared" si="10"/>
        <v>0</v>
      </c>
      <c r="F51" s="62">
        <f t="shared" si="10"/>
        <v>0</v>
      </c>
      <c r="G51" s="62">
        <f t="shared" si="10"/>
        <v>0</v>
      </c>
      <c r="H51" s="29">
        <f t="shared" si="4"/>
        <v>1</v>
      </c>
      <c r="I51" s="61">
        <f t="shared" ref="I51:M98" si="11">I$16</f>
        <v>0.2</v>
      </c>
      <c r="J51" s="62">
        <f t="shared" si="11"/>
        <v>0.3</v>
      </c>
      <c r="K51" s="62">
        <f t="shared" si="11"/>
        <v>0.25</v>
      </c>
      <c r="L51" s="62">
        <f t="shared" si="11"/>
        <v>0.05</v>
      </c>
      <c r="M51" s="62">
        <f t="shared" si="11"/>
        <v>0.2</v>
      </c>
      <c r="N51" s="29">
        <f t="shared" si="6"/>
        <v>1</v>
      </c>
      <c r="O51" s="271"/>
      <c r="R51" s="173">
        <f t="shared" si="7"/>
        <v>0.8</v>
      </c>
      <c r="S51" s="596">
        <f t="shared" si="8"/>
        <v>0.71500000000000008</v>
      </c>
    </row>
    <row r="52" spans="2:19">
      <c r="B52" s="301">
        <f t="shared" si="9"/>
        <v>2034</v>
      </c>
      <c r="C52" s="61">
        <f t="shared" si="10"/>
        <v>0</v>
      </c>
      <c r="D52" s="62">
        <f t="shared" si="10"/>
        <v>1</v>
      </c>
      <c r="E52" s="62">
        <f t="shared" si="10"/>
        <v>0</v>
      </c>
      <c r="F52" s="62">
        <f t="shared" si="10"/>
        <v>0</v>
      </c>
      <c r="G52" s="62">
        <f t="shared" si="10"/>
        <v>0</v>
      </c>
      <c r="H52" s="29">
        <f t="shared" si="4"/>
        <v>1</v>
      </c>
      <c r="I52" s="61">
        <f t="shared" si="11"/>
        <v>0.2</v>
      </c>
      <c r="J52" s="62">
        <f t="shared" si="11"/>
        <v>0.3</v>
      </c>
      <c r="K52" s="62">
        <f t="shared" si="11"/>
        <v>0.25</v>
      </c>
      <c r="L52" s="62">
        <f t="shared" si="11"/>
        <v>0.05</v>
      </c>
      <c r="M52" s="62">
        <f t="shared" si="11"/>
        <v>0.2</v>
      </c>
      <c r="N52" s="29">
        <f t="shared" si="6"/>
        <v>1</v>
      </c>
      <c r="O52" s="271"/>
      <c r="R52" s="173">
        <f t="shared" si="7"/>
        <v>0.8</v>
      </c>
      <c r="S52" s="596">
        <f t="shared" si="8"/>
        <v>0.71500000000000008</v>
      </c>
    </row>
    <row r="53" spans="2:19">
      <c r="B53" s="301">
        <f t="shared" si="9"/>
        <v>2035</v>
      </c>
      <c r="C53" s="61">
        <f t="shared" si="10"/>
        <v>0</v>
      </c>
      <c r="D53" s="62">
        <f t="shared" si="10"/>
        <v>1</v>
      </c>
      <c r="E53" s="62">
        <f t="shared" si="10"/>
        <v>0</v>
      </c>
      <c r="F53" s="62">
        <f t="shared" si="10"/>
        <v>0</v>
      </c>
      <c r="G53" s="62">
        <f t="shared" si="10"/>
        <v>0</v>
      </c>
      <c r="H53" s="29">
        <f t="shared" si="4"/>
        <v>1</v>
      </c>
      <c r="I53" s="61">
        <f t="shared" si="11"/>
        <v>0.2</v>
      </c>
      <c r="J53" s="62">
        <f t="shared" si="11"/>
        <v>0.3</v>
      </c>
      <c r="K53" s="62">
        <f t="shared" si="11"/>
        <v>0.25</v>
      </c>
      <c r="L53" s="62">
        <f t="shared" si="11"/>
        <v>0.05</v>
      </c>
      <c r="M53" s="62">
        <f t="shared" si="11"/>
        <v>0.2</v>
      </c>
      <c r="N53" s="29">
        <f t="shared" si="6"/>
        <v>1</v>
      </c>
      <c r="O53" s="271"/>
      <c r="R53" s="173">
        <f t="shared" si="7"/>
        <v>0.8</v>
      </c>
      <c r="S53" s="596">
        <f t="shared" si="8"/>
        <v>0.71500000000000008</v>
      </c>
    </row>
    <row r="54" spans="2:19">
      <c r="B54" s="301">
        <f t="shared" si="9"/>
        <v>2036</v>
      </c>
      <c r="C54" s="61">
        <f t="shared" si="10"/>
        <v>0</v>
      </c>
      <c r="D54" s="62">
        <f t="shared" si="10"/>
        <v>1</v>
      </c>
      <c r="E54" s="62">
        <f t="shared" si="10"/>
        <v>0</v>
      </c>
      <c r="F54" s="62">
        <f t="shared" si="10"/>
        <v>0</v>
      </c>
      <c r="G54" s="62">
        <f t="shared" si="10"/>
        <v>0</v>
      </c>
      <c r="H54" s="29">
        <f t="shared" si="4"/>
        <v>1</v>
      </c>
      <c r="I54" s="61">
        <f t="shared" si="11"/>
        <v>0.2</v>
      </c>
      <c r="J54" s="62">
        <f t="shared" si="11"/>
        <v>0.3</v>
      </c>
      <c r="K54" s="62">
        <f t="shared" si="11"/>
        <v>0.25</v>
      </c>
      <c r="L54" s="62">
        <f t="shared" si="11"/>
        <v>0.05</v>
      </c>
      <c r="M54" s="62">
        <f t="shared" si="11"/>
        <v>0.2</v>
      </c>
      <c r="N54" s="29">
        <f t="shared" si="6"/>
        <v>1</v>
      </c>
      <c r="O54" s="271"/>
      <c r="R54" s="173">
        <f t="shared" si="7"/>
        <v>0.8</v>
      </c>
      <c r="S54" s="596">
        <f t="shared" si="8"/>
        <v>0.71500000000000008</v>
      </c>
    </row>
    <row r="55" spans="2:19">
      <c r="B55" s="301">
        <f t="shared" si="9"/>
        <v>2037</v>
      </c>
      <c r="C55" s="61">
        <f t="shared" si="10"/>
        <v>0</v>
      </c>
      <c r="D55" s="62">
        <f t="shared" si="10"/>
        <v>1</v>
      </c>
      <c r="E55" s="62">
        <f t="shared" si="10"/>
        <v>0</v>
      </c>
      <c r="F55" s="62">
        <f t="shared" si="10"/>
        <v>0</v>
      </c>
      <c r="G55" s="62">
        <f t="shared" si="10"/>
        <v>0</v>
      </c>
      <c r="H55" s="29">
        <f t="shared" si="4"/>
        <v>1</v>
      </c>
      <c r="I55" s="61">
        <f t="shared" si="11"/>
        <v>0.2</v>
      </c>
      <c r="J55" s="62">
        <f t="shared" si="11"/>
        <v>0.3</v>
      </c>
      <c r="K55" s="62">
        <f t="shared" si="11"/>
        <v>0.25</v>
      </c>
      <c r="L55" s="62">
        <f t="shared" si="11"/>
        <v>0.05</v>
      </c>
      <c r="M55" s="62">
        <f t="shared" si="11"/>
        <v>0.2</v>
      </c>
      <c r="N55" s="29">
        <f t="shared" si="6"/>
        <v>1</v>
      </c>
      <c r="O55" s="271"/>
      <c r="R55" s="173">
        <f t="shared" si="7"/>
        <v>0.8</v>
      </c>
      <c r="S55" s="596">
        <f t="shared" si="8"/>
        <v>0.71500000000000008</v>
      </c>
    </row>
    <row r="56" spans="2:19">
      <c r="B56" s="301">
        <f t="shared" si="9"/>
        <v>2038</v>
      </c>
      <c r="C56" s="61">
        <f t="shared" si="10"/>
        <v>0</v>
      </c>
      <c r="D56" s="62">
        <f t="shared" si="10"/>
        <v>1</v>
      </c>
      <c r="E56" s="62">
        <f t="shared" si="10"/>
        <v>0</v>
      </c>
      <c r="F56" s="62">
        <f t="shared" si="10"/>
        <v>0</v>
      </c>
      <c r="G56" s="62">
        <f t="shared" si="10"/>
        <v>0</v>
      </c>
      <c r="H56" s="29">
        <f t="shared" si="4"/>
        <v>1</v>
      </c>
      <c r="I56" s="61">
        <f t="shared" si="11"/>
        <v>0.2</v>
      </c>
      <c r="J56" s="62">
        <f t="shared" si="11"/>
        <v>0.3</v>
      </c>
      <c r="K56" s="62">
        <f t="shared" si="11"/>
        <v>0.25</v>
      </c>
      <c r="L56" s="62">
        <f t="shared" si="11"/>
        <v>0.05</v>
      </c>
      <c r="M56" s="62">
        <f t="shared" si="11"/>
        <v>0.2</v>
      </c>
      <c r="N56" s="29">
        <f t="shared" si="6"/>
        <v>1</v>
      </c>
      <c r="O56" s="271"/>
      <c r="R56" s="173">
        <f t="shared" si="7"/>
        <v>0.8</v>
      </c>
      <c r="S56" s="596">
        <f t="shared" si="8"/>
        <v>0.71500000000000008</v>
      </c>
    </row>
    <row r="57" spans="2:19">
      <c r="B57" s="301">
        <f t="shared" si="9"/>
        <v>2039</v>
      </c>
      <c r="C57" s="61">
        <f t="shared" si="10"/>
        <v>0</v>
      </c>
      <c r="D57" s="62">
        <f t="shared" si="10"/>
        <v>1</v>
      </c>
      <c r="E57" s="62">
        <f t="shared" si="10"/>
        <v>0</v>
      </c>
      <c r="F57" s="62">
        <f t="shared" si="10"/>
        <v>0</v>
      </c>
      <c r="G57" s="62">
        <f t="shared" si="10"/>
        <v>0</v>
      </c>
      <c r="H57" s="29">
        <f t="shared" si="4"/>
        <v>1</v>
      </c>
      <c r="I57" s="61">
        <f t="shared" si="11"/>
        <v>0.2</v>
      </c>
      <c r="J57" s="62">
        <f t="shared" si="11"/>
        <v>0.3</v>
      </c>
      <c r="K57" s="62">
        <f t="shared" si="11"/>
        <v>0.25</v>
      </c>
      <c r="L57" s="62">
        <f t="shared" si="11"/>
        <v>0.05</v>
      </c>
      <c r="M57" s="62">
        <f t="shared" si="11"/>
        <v>0.2</v>
      </c>
      <c r="N57" s="29">
        <f t="shared" si="6"/>
        <v>1</v>
      </c>
      <c r="O57" s="271"/>
      <c r="R57" s="173">
        <f t="shared" si="7"/>
        <v>0.8</v>
      </c>
      <c r="S57" s="596">
        <f t="shared" si="8"/>
        <v>0.71500000000000008</v>
      </c>
    </row>
    <row r="58" spans="2:19">
      <c r="B58" s="301">
        <f t="shared" si="9"/>
        <v>2040</v>
      </c>
      <c r="C58" s="61">
        <f t="shared" si="10"/>
        <v>0</v>
      </c>
      <c r="D58" s="62">
        <f t="shared" si="10"/>
        <v>1</v>
      </c>
      <c r="E58" s="62">
        <f t="shared" si="10"/>
        <v>0</v>
      </c>
      <c r="F58" s="62">
        <f t="shared" si="10"/>
        <v>0</v>
      </c>
      <c r="G58" s="62">
        <f t="shared" si="10"/>
        <v>0</v>
      </c>
      <c r="H58" s="29">
        <f t="shared" si="4"/>
        <v>1</v>
      </c>
      <c r="I58" s="61">
        <f t="shared" si="11"/>
        <v>0.2</v>
      </c>
      <c r="J58" s="62">
        <f t="shared" si="11"/>
        <v>0.3</v>
      </c>
      <c r="K58" s="62">
        <f t="shared" si="11"/>
        <v>0.25</v>
      </c>
      <c r="L58" s="62">
        <f t="shared" si="11"/>
        <v>0.05</v>
      </c>
      <c r="M58" s="62">
        <f t="shared" si="11"/>
        <v>0.2</v>
      </c>
      <c r="N58" s="29">
        <f t="shared" si="6"/>
        <v>1</v>
      </c>
      <c r="O58" s="271"/>
      <c r="R58" s="173">
        <f t="shared" si="7"/>
        <v>0.8</v>
      </c>
      <c r="S58" s="596">
        <f t="shared" si="8"/>
        <v>0.71500000000000008</v>
      </c>
    </row>
    <row r="59" spans="2:19">
      <c r="B59" s="301">
        <f t="shared" si="9"/>
        <v>2041</v>
      </c>
      <c r="C59" s="61">
        <f t="shared" si="10"/>
        <v>0</v>
      </c>
      <c r="D59" s="62">
        <f t="shared" si="10"/>
        <v>1</v>
      </c>
      <c r="E59" s="62">
        <f t="shared" si="10"/>
        <v>0</v>
      </c>
      <c r="F59" s="62">
        <f t="shared" si="10"/>
        <v>0</v>
      </c>
      <c r="G59" s="62">
        <f t="shared" si="10"/>
        <v>0</v>
      </c>
      <c r="H59" s="29">
        <f t="shared" si="4"/>
        <v>1</v>
      </c>
      <c r="I59" s="61">
        <f t="shared" si="11"/>
        <v>0.2</v>
      </c>
      <c r="J59" s="62">
        <f t="shared" si="11"/>
        <v>0.3</v>
      </c>
      <c r="K59" s="62">
        <f t="shared" si="11"/>
        <v>0.25</v>
      </c>
      <c r="L59" s="62">
        <f t="shared" si="11"/>
        <v>0.05</v>
      </c>
      <c r="M59" s="62">
        <f t="shared" si="11"/>
        <v>0.2</v>
      </c>
      <c r="N59" s="29">
        <f t="shared" si="6"/>
        <v>1</v>
      </c>
      <c r="O59" s="271"/>
      <c r="R59" s="173">
        <f t="shared" si="7"/>
        <v>0.8</v>
      </c>
      <c r="S59" s="596">
        <f t="shared" si="8"/>
        <v>0.71500000000000008</v>
      </c>
    </row>
    <row r="60" spans="2:19">
      <c r="B60" s="301">
        <f t="shared" si="9"/>
        <v>2042</v>
      </c>
      <c r="C60" s="61">
        <f t="shared" si="10"/>
        <v>0</v>
      </c>
      <c r="D60" s="62">
        <f t="shared" si="10"/>
        <v>1</v>
      </c>
      <c r="E60" s="62">
        <f t="shared" si="10"/>
        <v>0</v>
      </c>
      <c r="F60" s="62">
        <f t="shared" si="10"/>
        <v>0</v>
      </c>
      <c r="G60" s="62">
        <f t="shared" si="10"/>
        <v>0</v>
      </c>
      <c r="H60" s="29">
        <f t="shared" si="4"/>
        <v>1</v>
      </c>
      <c r="I60" s="61">
        <f t="shared" si="11"/>
        <v>0.2</v>
      </c>
      <c r="J60" s="62">
        <f t="shared" si="11"/>
        <v>0.3</v>
      </c>
      <c r="K60" s="62">
        <f t="shared" si="11"/>
        <v>0.25</v>
      </c>
      <c r="L60" s="62">
        <f t="shared" si="11"/>
        <v>0.05</v>
      </c>
      <c r="M60" s="62">
        <f t="shared" si="11"/>
        <v>0.2</v>
      </c>
      <c r="N60" s="29">
        <f t="shared" si="6"/>
        <v>1</v>
      </c>
      <c r="O60" s="271"/>
      <c r="R60" s="173">
        <f t="shared" si="7"/>
        <v>0.8</v>
      </c>
      <c r="S60" s="596">
        <f t="shared" si="8"/>
        <v>0.71500000000000008</v>
      </c>
    </row>
    <row r="61" spans="2:19">
      <c r="B61" s="301">
        <f t="shared" si="9"/>
        <v>2043</v>
      </c>
      <c r="C61" s="61">
        <f t="shared" si="10"/>
        <v>0</v>
      </c>
      <c r="D61" s="62">
        <f t="shared" si="10"/>
        <v>1</v>
      </c>
      <c r="E61" s="62">
        <f t="shared" si="10"/>
        <v>0</v>
      </c>
      <c r="F61" s="62">
        <f t="shared" si="10"/>
        <v>0</v>
      </c>
      <c r="G61" s="62">
        <f t="shared" si="10"/>
        <v>0</v>
      </c>
      <c r="H61" s="29">
        <f t="shared" si="4"/>
        <v>1</v>
      </c>
      <c r="I61" s="61">
        <f t="shared" si="11"/>
        <v>0.2</v>
      </c>
      <c r="J61" s="62">
        <f t="shared" si="11"/>
        <v>0.3</v>
      </c>
      <c r="K61" s="62">
        <f t="shared" si="11"/>
        <v>0.25</v>
      </c>
      <c r="L61" s="62">
        <f t="shared" si="11"/>
        <v>0.05</v>
      </c>
      <c r="M61" s="62">
        <f t="shared" si="11"/>
        <v>0.2</v>
      </c>
      <c r="N61" s="29">
        <f t="shared" si="6"/>
        <v>1</v>
      </c>
      <c r="O61" s="271"/>
      <c r="R61" s="173">
        <f t="shared" si="7"/>
        <v>0.8</v>
      </c>
      <c r="S61" s="596">
        <f t="shared" si="8"/>
        <v>0.71500000000000008</v>
      </c>
    </row>
    <row r="62" spans="2:19">
      <c r="B62" s="301">
        <f t="shared" si="9"/>
        <v>2044</v>
      </c>
      <c r="C62" s="61">
        <f t="shared" si="10"/>
        <v>0</v>
      </c>
      <c r="D62" s="62">
        <f t="shared" si="10"/>
        <v>1</v>
      </c>
      <c r="E62" s="62">
        <f t="shared" si="10"/>
        <v>0</v>
      </c>
      <c r="F62" s="62">
        <f t="shared" si="10"/>
        <v>0</v>
      </c>
      <c r="G62" s="62">
        <f t="shared" si="10"/>
        <v>0</v>
      </c>
      <c r="H62" s="29">
        <f t="shared" si="4"/>
        <v>1</v>
      </c>
      <c r="I62" s="61">
        <f t="shared" si="11"/>
        <v>0.2</v>
      </c>
      <c r="J62" s="62">
        <f t="shared" si="11"/>
        <v>0.3</v>
      </c>
      <c r="K62" s="62">
        <f t="shared" si="11"/>
        <v>0.25</v>
      </c>
      <c r="L62" s="62">
        <f t="shared" si="11"/>
        <v>0.05</v>
      </c>
      <c r="M62" s="62">
        <f t="shared" si="11"/>
        <v>0.2</v>
      </c>
      <c r="N62" s="29">
        <f t="shared" si="6"/>
        <v>1</v>
      </c>
      <c r="O62" s="271"/>
      <c r="R62" s="173">
        <f t="shared" si="7"/>
        <v>0.8</v>
      </c>
      <c r="S62" s="596">
        <f t="shared" si="8"/>
        <v>0.71500000000000008</v>
      </c>
    </row>
    <row r="63" spans="2:19">
      <c r="B63" s="301">
        <f t="shared" si="9"/>
        <v>2045</v>
      </c>
      <c r="C63" s="61">
        <f t="shared" si="10"/>
        <v>0</v>
      </c>
      <c r="D63" s="62">
        <f t="shared" si="10"/>
        <v>1</v>
      </c>
      <c r="E63" s="62">
        <f t="shared" si="10"/>
        <v>0</v>
      </c>
      <c r="F63" s="62">
        <f t="shared" si="10"/>
        <v>0</v>
      </c>
      <c r="G63" s="62">
        <f t="shared" si="10"/>
        <v>0</v>
      </c>
      <c r="H63" s="29">
        <f t="shared" si="4"/>
        <v>1</v>
      </c>
      <c r="I63" s="61">
        <f t="shared" si="11"/>
        <v>0.2</v>
      </c>
      <c r="J63" s="62">
        <f t="shared" si="11"/>
        <v>0.3</v>
      </c>
      <c r="K63" s="62">
        <f t="shared" si="11"/>
        <v>0.25</v>
      </c>
      <c r="L63" s="62">
        <f t="shared" si="11"/>
        <v>0.05</v>
      </c>
      <c r="M63" s="62">
        <f t="shared" si="11"/>
        <v>0.2</v>
      </c>
      <c r="N63" s="29">
        <f t="shared" si="6"/>
        <v>1</v>
      </c>
      <c r="O63" s="271"/>
      <c r="R63" s="173">
        <f t="shared" si="7"/>
        <v>0.8</v>
      </c>
      <c r="S63" s="596">
        <f t="shared" si="8"/>
        <v>0.71500000000000008</v>
      </c>
    </row>
    <row r="64" spans="2:19">
      <c r="B64" s="301">
        <f t="shared" si="9"/>
        <v>2046</v>
      </c>
      <c r="C64" s="61">
        <f t="shared" si="10"/>
        <v>0</v>
      </c>
      <c r="D64" s="62">
        <f t="shared" si="10"/>
        <v>1</v>
      </c>
      <c r="E64" s="62">
        <f t="shared" si="10"/>
        <v>0</v>
      </c>
      <c r="F64" s="62">
        <f t="shared" si="10"/>
        <v>0</v>
      </c>
      <c r="G64" s="62">
        <f t="shared" si="10"/>
        <v>0</v>
      </c>
      <c r="H64" s="29">
        <f t="shared" si="4"/>
        <v>1</v>
      </c>
      <c r="I64" s="61">
        <f t="shared" si="11"/>
        <v>0.2</v>
      </c>
      <c r="J64" s="62">
        <f t="shared" si="11"/>
        <v>0.3</v>
      </c>
      <c r="K64" s="62">
        <f t="shared" si="11"/>
        <v>0.25</v>
      </c>
      <c r="L64" s="62">
        <f t="shared" si="11"/>
        <v>0.05</v>
      </c>
      <c r="M64" s="62">
        <f t="shared" si="11"/>
        <v>0.2</v>
      </c>
      <c r="N64" s="29">
        <f t="shared" si="6"/>
        <v>1</v>
      </c>
      <c r="O64" s="271"/>
      <c r="R64" s="173">
        <f t="shared" si="7"/>
        <v>0.8</v>
      </c>
      <c r="S64" s="596">
        <f t="shared" si="8"/>
        <v>0.71500000000000008</v>
      </c>
    </row>
    <row r="65" spans="2:19">
      <c r="B65" s="301">
        <f t="shared" si="9"/>
        <v>2047</v>
      </c>
      <c r="C65" s="61">
        <f t="shared" si="10"/>
        <v>0</v>
      </c>
      <c r="D65" s="62">
        <f t="shared" si="10"/>
        <v>1</v>
      </c>
      <c r="E65" s="62">
        <f t="shared" si="10"/>
        <v>0</v>
      </c>
      <c r="F65" s="62">
        <f t="shared" si="10"/>
        <v>0</v>
      </c>
      <c r="G65" s="62">
        <f t="shared" si="10"/>
        <v>0</v>
      </c>
      <c r="H65" s="29">
        <f t="shared" si="4"/>
        <v>1</v>
      </c>
      <c r="I65" s="61">
        <f t="shared" si="11"/>
        <v>0.2</v>
      </c>
      <c r="J65" s="62">
        <f t="shared" si="11"/>
        <v>0.3</v>
      </c>
      <c r="K65" s="62">
        <f t="shared" si="11"/>
        <v>0.25</v>
      </c>
      <c r="L65" s="62">
        <f t="shared" si="11"/>
        <v>0.05</v>
      </c>
      <c r="M65" s="62">
        <f t="shared" si="11"/>
        <v>0.2</v>
      </c>
      <c r="N65" s="29">
        <f t="shared" si="6"/>
        <v>1</v>
      </c>
      <c r="O65" s="271"/>
      <c r="R65" s="173">
        <f t="shared" si="7"/>
        <v>0.8</v>
      </c>
      <c r="S65" s="596">
        <f t="shared" si="8"/>
        <v>0.71500000000000008</v>
      </c>
    </row>
    <row r="66" spans="2:19">
      <c r="B66" s="301">
        <f t="shared" si="9"/>
        <v>2048</v>
      </c>
      <c r="C66" s="61">
        <f t="shared" si="10"/>
        <v>0</v>
      </c>
      <c r="D66" s="62">
        <f t="shared" si="10"/>
        <v>1</v>
      </c>
      <c r="E66" s="62">
        <f t="shared" si="10"/>
        <v>0</v>
      </c>
      <c r="F66" s="62">
        <f t="shared" si="10"/>
        <v>0</v>
      </c>
      <c r="G66" s="62">
        <f t="shared" si="10"/>
        <v>0</v>
      </c>
      <c r="H66" s="29">
        <f t="shared" si="4"/>
        <v>1</v>
      </c>
      <c r="I66" s="61">
        <f t="shared" si="11"/>
        <v>0.2</v>
      </c>
      <c r="J66" s="62">
        <f t="shared" si="11"/>
        <v>0.3</v>
      </c>
      <c r="K66" s="62">
        <f t="shared" si="11"/>
        <v>0.25</v>
      </c>
      <c r="L66" s="62">
        <f t="shared" si="11"/>
        <v>0.05</v>
      </c>
      <c r="M66" s="62">
        <f t="shared" si="11"/>
        <v>0.2</v>
      </c>
      <c r="N66" s="29">
        <f t="shared" si="6"/>
        <v>1</v>
      </c>
      <c r="O66" s="271"/>
      <c r="R66" s="173">
        <f t="shared" si="7"/>
        <v>0.8</v>
      </c>
      <c r="S66" s="596">
        <f t="shared" si="8"/>
        <v>0.71500000000000008</v>
      </c>
    </row>
    <row r="67" spans="2:19">
      <c r="B67" s="301">
        <f t="shared" si="9"/>
        <v>2049</v>
      </c>
      <c r="C67" s="61">
        <f t="shared" si="10"/>
        <v>0</v>
      </c>
      <c r="D67" s="62">
        <f t="shared" si="10"/>
        <v>1</v>
      </c>
      <c r="E67" s="62">
        <f t="shared" si="10"/>
        <v>0</v>
      </c>
      <c r="F67" s="62">
        <f t="shared" si="10"/>
        <v>0</v>
      </c>
      <c r="G67" s="62">
        <f t="shared" si="10"/>
        <v>0</v>
      </c>
      <c r="H67" s="29">
        <f t="shared" si="4"/>
        <v>1</v>
      </c>
      <c r="I67" s="61">
        <f t="shared" si="11"/>
        <v>0.2</v>
      </c>
      <c r="J67" s="62">
        <f t="shared" si="11"/>
        <v>0.3</v>
      </c>
      <c r="K67" s="62">
        <f t="shared" si="11"/>
        <v>0.25</v>
      </c>
      <c r="L67" s="62">
        <f t="shared" si="11"/>
        <v>0.05</v>
      </c>
      <c r="M67" s="62">
        <f t="shared" si="11"/>
        <v>0.2</v>
      </c>
      <c r="N67" s="29">
        <f t="shared" si="6"/>
        <v>1</v>
      </c>
      <c r="O67" s="271"/>
      <c r="R67" s="173">
        <f t="shared" si="7"/>
        <v>0.8</v>
      </c>
      <c r="S67" s="596">
        <f t="shared" si="8"/>
        <v>0.71500000000000008</v>
      </c>
    </row>
    <row r="68" spans="2:19">
      <c r="B68" s="301">
        <f t="shared" si="9"/>
        <v>2050</v>
      </c>
      <c r="C68" s="61">
        <f t="shared" si="10"/>
        <v>0</v>
      </c>
      <c r="D68" s="62">
        <f t="shared" si="10"/>
        <v>1</v>
      </c>
      <c r="E68" s="62">
        <f t="shared" si="10"/>
        <v>0</v>
      </c>
      <c r="F68" s="62">
        <f t="shared" si="10"/>
        <v>0</v>
      </c>
      <c r="G68" s="62">
        <f t="shared" si="10"/>
        <v>0</v>
      </c>
      <c r="H68" s="29">
        <f t="shared" si="4"/>
        <v>1</v>
      </c>
      <c r="I68" s="61">
        <f t="shared" si="11"/>
        <v>0.2</v>
      </c>
      <c r="J68" s="62">
        <f t="shared" si="11"/>
        <v>0.3</v>
      </c>
      <c r="K68" s="62">
        <f t="shared" si="11"/>
        <v>0.25</v>
      </c>
      <c r="L68" s="62">
        <f t="shared" si="11"/>
        <v>0.05</v>
      </c>
      <c r="M68" s="62">
        <f t="shared" si="11"/>
        <v>0.2</v>
      </c>
      <c r="N68" s="29">
        <f t="shared" si="6"/>
        <v>1</v>
      </c>
      <c r="O68" s="271"/>
      <c r="R68" s="173">
        <f t="shared" si="7"/>
        <v>0.8</v>
      </c>
      <c r="S68" s="596">
        <f t="shared" si="8"/>
        <v>0.71500000000000008</v>
      </c>
    </row>
    <row r="69" spans="2:19">
      <c r="B69" s="301">
        <f t="shared" si="9"/>
        <v>2051</v>
      </c>
      <c r="C69" s="61">
        <f t="shared" si="10"/>
        <v>0</v>
      </c>
      <c r="D69" s="62">
        <f t="shared" si="10"/>
        <v>1</v>
      </c>
      <c r="E69" s="62">
        <f t="shared" si="10"/>
        <v>0</v>
      </c>
      <c r="F69" s="62">
        <f t="shared" si="10"/>
        <v>0</v>
      </c>
      <c r="G69" s="62">
        <f t="shared" si="10"/>
        <v>0</v>
      </c>
      <c r="H69" s="29">
        <f t="shared" si="4"/>
        <v>1</v>
      </c>
      <c r="I69" s="61">
        <f t="shared" si="11"/>
        <v>0.2</v>
      </c>
      <c r="J69" s="62">
        <f t="shared" si="11"/>
        <v>0.3</v>
      </c>
      <c r="K69" s="62">
        <f t="shared" si="11"/>
        <v>0.25</v>
      </c>
      <c r="L69" s="62">
        <f t="shared" si="11"/>
        <v>0.05</v>
      </c>
      <c r="M69" s="62">
        <f t="shared" si="11"/>
        <v>0.2</v>
      </c>
      <c r="N69" s="29">
        <f t="shared" si="6"/>
        <v>1</v>
      </c>
      <c r="O69" s="271"/>
      <c r="R69" s="173">
        <f t="shared" si="7"/>
        <v>0.8</v>
      </c>
      <c r="S69" s="596">
        <f t="shared" si="8"/>
        <v>0.71500000000000008</v>
      </c>
    </row>
    <row r="70" spans="2:19">
      <c r="B70" s="301">
        <f t="shared" si="9"/>
        <v>2052</v>
      </c>
      <c r="C70" s="61">
        <f t="shared" si="10"/>
        <v>0</v>
      </c>
      <c r="D70" s="62">
        <f t="shared" si="10"/>
        <v>1</v>
      </c>
      <c r="E70" s="62">
        <f t="shared" si="10"/>
        <v>0</v>
      </c>
      <c r="F70" s="62">
        <f t="shared" si="10"/>
        <v>0</v>
      </c>
      <c r="G70" s="62">
        <f t="shared" si="10"/>
        <v>0</v>
      </c>
      <c r="H70" s="29">
        <f t="shared" si="4"/>
        <v>1</v>
      </c>
      <c r="I70" s="61">
        <f t="shared" si="11"/>
        <v>0.2</v>
      </c>
      <c r="J70" s="62">
        <f t="shared" si="11"/>
        <v>0.3</v>
      </c>
      <c r="K70" s="62">
        <f t="shared" si="11"/>
        <v>0.25</v>
      </c>
      <c r="L70" s="62">
        <f t="shared" si="11"/>
        <v>0.05</v>
      </c>
      <c r="M70" s="62">
        <f t="shared" si="11"/>
        <v>0.2</v>
      </c>
      <c r="N70" s="29">
        <f t="shared" si="6"/>
        <v>1</v>
      </c>
      <c r="O70" s="271"/>
      <c r="R70" s="173">
        <f t="shared" si="7"/>
        <v>0.8</v>
      </c>
      <c r="S70" s="596">
        <f t="shared" si="8"/>
        <v>0.71500000000000008</v>
      </c>
    </row>
    <row r="71" spans="2:19">
      <c r="B71" s="301">
        <f t="shared" si="9"/>
        <v>2053</v>
      </c>
      <c r="C71" s="61">
        <f t="shared" si="10"/>
        <v>0</v>
      </c>
      <c r="D71" s="62">
        <f t="shared" si="10"/>
        <v>1</v>
      </c>
      <c r="E71" s="62">
        <f t="shared" si="10"/>
        <v>0</v>
      </c>
      <c r="F71" s="62">
        <f t="shared" si="10"/>
        <v>0</v>
      </c>
      <c r="G71" s="62">
        <f t="shared" si="10"/>
        <v>0</v>
      </c>
      <c r="H71" s="29">
        <f t="shared" si="4"/>
        <v>1</v>
      </c>
      <c r="I71" s="61">
        <f t="shared" si="11"/>
        <v>0.2</v>
      </c>
      <c r="J71" s="62">
        <f t="shared" si="11"/>
        <v>0.3</v>
      </c>
      <c r="K71" s="62">
        <f t="shared" si="11"/>
        <v>0.25</v>
      </c>
      <c r="L71" s="62">
        <f t="shared" si="11"/>
        <v>0.05</v>
      </c>
      <c r="M71" s="62">
        <f t="shared" si="11"/>
        <v>0.2</v>
      </c>
      <c r="N71" s="29">
        <f t="shared" si="6"/>
        <v>1</v>
      </c>
      <c r="O71" s="271"/>
      <c r="R71" s="173">
        <f t="shared" si="7"/>
        <v>0.8</v>
      </c>
      <c r="S71" s="596">
        <f t="shared" si="8"/>
        <v>0.71500000000000008</v>
      </c>
    </row>
    <row r="72" spans="2:19">
      <c r="B72" s="301">
        <f t="shared" si="9"/>
        <v>2054</v>
      </c>
      <c r="C72" s="61">
        <f t="shared" si="10"/>
        <v>0</v>
      </c>
      <c r="D72" s="62">
        <f t="shared" si="10"/>
        <v>1</v>
      </c>
      <c r="E72" s="62">
        <f t="shared" si="10"/>
        <v>0</v>
      </c>
      <c r="F72" s="62">
        <f t="shared" si="10"/>
        <v>0</v>
      </c>
      <c r="G72" s="62">
        <f t="shared" si="10"/>
        <v>0</v>
      </c>
      <c r="H72" s="29">
        <f t="shared" si="4"/>
        <v>1</v>
      </c>
      <c r="I72" s="61">
        <f t="shared" si="11"/>
        <v>0.2</v>
      </c>
      <c r="J72" s="62">
        <f t="shared" si="11"/>
        <v>0.3</v>
      </c>
      <c r="K72" s="62">
        <f t="shared" si="11"/>
        <v>0.25</v>
      </c>
      <c r="L72" s="62">
        <f t="shared" si="11"/>
        <v>0.05</v>
      </c>
      <c r="M72" s="62">
        <f t="shared" si="11"/>
        <v>0.2</v>
      </c>
      <c r="N72" s="29">
        <f t="shared" si="6"/>
        <v>1</v>
      </c>
      <c r="O72" s="271"/>
      <c r="R72" s="173">
        <f t="shared" si="7"/>
        <v>0.8</v>
      </c>
      <c r="S72" s="596">
        <f t="shared" si="8"/>
        <v>0.71500000000000008</v>
      </c>
    </row>
    <row r="73" spans="2:19">
      <c r="B73" s="301">
        <f t="shared" si="9"/>
        <v>2055</v>
      </c>
      <c r="C73" s="61">
        <f t="shared" si="10"/>
        <v>0</v>
      </c>
      <c r="D73" s="62">
        <f t="shared" si="10"/>
        <v>1</v>
      </c>
      <c r="E73" s="62">
        <f t="shared" si="10"/>
        <v>0</v>
      </c>
      <c r="F73" s="62">
        <f t="shared" si="10"/>
        <v>0</v>
      </c>
      <c r="G73" s="62">
        <f t="shared" si="10"/>
        <v>0</v>
      </c>
      <c r="H73" s="29">
        <f t="shared" si="4"/>
        <v>1</v>
      </c>
      <c r="I73" s="61">
        <f t="shared" si="11"/>
        <v>0.2</v>
      </c>
      <c r="J73" s="62">
        <f t="shared" si="11"/>
        <v>0.3</v>
      </c>
      <c r="K73" s="62">
        <f t="shared" si="11"/>
        <v>0.25</v>
      </c>
      <c r="L73" s="62">
        <f t="shared" si="11"/>
        <v>0.05</v>
      </c>
      <c r="M73" s="62">
        <f t="shared" si="11"/>
        <v>0.2</v>
      </c>
      <c r="N73" s="29">
        <f t="shared" si="6"/>
        <v>1</v>
      </c>
      <c r="O73" s="271"/>
      <c r="R73" s="173">
        <f t="shared" si="7"/>
        <v>0.8</v>
      </c>
      <c r="S73" s="596">
        <f t="shared" si="8"/>
        <v>0.71500000000000008</v>
      </c>
    </row>
    <row r="74" spans="2:19">
      <c r="B74" s="301">
        <f t="shared" si="9"/>
        <v>2056</v>
      </c>
      <c r="C74" s="61">
        <f t="shared" si="10"/>
        <v>0</v>
      </c>
      <c r="D74" s="62">
        <f t="shared" si="10"/>
        <v>1</v>
      </c>
      <c r="E74" s="62">
        <f t="shared" si="10"/>
        <v>0</v>
      </c>
      <c r="F74" s="62">
        <f t="shared" si="10"/>
        <v>0</v>
      </c>
      <c r="G74" s="62">
        <f t="shared" si="10"/>
        <v>0</v>
      </c>
      <c r="H74" s="29">
        <f t="shared" si="4"/>
        <v>1</v>
      </c>
      <c r="I74" s="61">
        <f t="shared" si="11"/>
        <v>0.2</v>
      </c>
      <c r="J74" s="62">
        <f t="shared" si="11"/>
        <v>0.3</v>
      </c>
      <c r="K74" s="62">
        <f t="shared" si="11"/>
        <v>0.25</v>
      </c>
      <c r="L74" s="62">
        <f t="shared" si="11"/>
        <v>0.05</v>
      </c>
      <c r="M74" s="62">
        <f t="shared" si="11"/>
        <v>0.2</v>
      </c>
      <c r="N74" s="29">
        <f t="shared" si="6"/>
        <v>1</v>
      </c>
      <c r="O74" s="271"/>
      <c r="R74" s="173">
        <f t="shared" si="7"/>
        <v>0.8</v>
      </c>
      <c r="S74" s="596">
        <f t="shared" si="8"/>
        <v>0.71500000000000008</v>
      </c>
    </row>
    <row r="75" spans="2:19">
      <c r="B75" s="301">
        <f t="shared" si="9"/>
        <v>2057</v>
      </c>
      <c r="C75" s="61">
        <f t="shared" si="10"/>
        <v>0</v>
      </c>
      <c r="D75" s="62">
        <f t="shared" si="10"/>
        <v>1</v>
      </c>
      <c r="E75" s="62">
        <f t="shared" si="10"/>
        <v>0</v>
      </c>
      <c r="F75" s="62">
        <f t="shared" si="10"/>
        <v>0</v>
      </c>
      <c r="G75" s="62">
        <f t="shared" si="10"/>
        <v>0</v>
      </c>
      <c r="H75" s="29">
        <f t="shared" si="4"/>
        <v>1</v>
      </c>
      <c r="I75" s="61">
        <f t="shared" si="11"/>
        <v>0.2</v>
      </c>
      <c r="J75" s="62">
        <f t="shared" si="11"/>
        <v>0.3</v>
      </c>
      <c r="K75" s="62">
        <f t="shared" si="11"/>
        <v>0.25</v>
      </c>
      <c r="L75" s="62">
        <f t="shared" si="11"/>
        <v>0.05</v>
      </c>
      <c r="M75" s="62">
        <f t="shared" si="11"/>
        <v>0.2</v>
      </c>
      <c r="N75" s="29">
        <f t="shared" si="6"/>
        <v>1</v>
      </c>
      <c r="O75" s="271"/>
      <c r="R75" s="173">
        <f t="shared" si="7"/>
        <v>0.8</v>
      </c>
      <c r="S75" s="596">
        <f t="shared" si="8"/>
        <v>0.71500000000000008</v>
      </c>
    </row>
    <row r="76" spans="2:19">
      <c r="B76" s="301">
        <f t="shared" si="9"/>
        <v>2058</v>
      </c>
      <c r="C76" s="61">
        <f t="shared" si="10"/>
        <v>0</v>
      </c>
      <c r="D76" s="62">
        <f t="shared" si="10"/>
        <v>1</v>
      </c>
      <c r="E76" s="62">
        <f t="shared" si="10"/>
        <v>0</v>
      </c>
      <c r="F76" s="62">
        <f t="shared" si="10"/>
        <v>0</v>
      </c>
      <c r="G76" s="62">
        <f t="shared" si="10"/>
        <v>0</v>
      </c>
      <c r="H76" s="29">
        <f t="shared" si="4"/>
        <v>1</v>
      </c>
      <c r="I76" s="61">
        <f t="shared" si="11"/>
        <v>0.2</v>
      </c>
      <c r="J76" s="62">
        <f t="shared" si="11"/>
        <v>0.3</v>
      </c>
      <c r="K76" s="62">
        <f t="shared" si="11"/>
        <v>0.25</v>
      </c>
      <c r="L76" s="62">
        <f t="shared" si="11"/>
        <v>0.05</v>
      </c>
      <c r="M76" s="62">
        <f t="shared" si="11"/>
        <v>0.2</v>
      </c>
      <c r="N76" s="29">
        <f t="shared" si="6"/>
        <v>1</v>
      </c>
      <c r="O76" s="271"/>
      <c r="R76" s="173">
        <f t="shared" si="7"/>
        <v>0.8</v>
      </c>
      <c r="S76" s="596">
        <f t="shared" si="8"/>
        <v>0.71500000000000008</v>
      </c>
    </row>
    <row r="77" spans="2:19">
      <c r="B77" s="301">
        <f t="shared" si="9"/>
        <v>2059</v>
      </c>
      <c r="C77" s="61">
        <f t="shared" si="10"/>
        <v>0</v>
      </c>
      <c r="D77" s="62">
        <f t="shared" si="10"/>
        <v>1</v>
      </c>
      <c r="E77" s="62">
        <f t="shared" si="10"/>
        <v>0</v>
      </c>
      <c r="F77" s="62">
        <f t="shared" si="10"/>
        <v>0</v>
      </c>
      <c r="G77" s="62">
        <f t="shared" si="10"/>
        <v>0</v>
      </c>
      <c r="H77" s="29">
        <f t="shared" si="4"/>
        <v>1</v>
      </c>
      <c r="I77" s="61">
        <f t="shared" si="11"/>
        <v>0.2</v>
      </c>
      <c r="J77" s="62">
        <f t="shared" si="11"/>
        <v>0.3</v>
      </c>
      <c r="K77" s="62">
        <f t="shared" si="11"/>
        <v>0.25</v>
      </c>
      <c r="L77" s="62">
        <f t="shared" si="11"/>
        <v>0.05</v>
      </c>
      <c r="M77" s="62">
        <f t="shared" si="11"/>
        <v>0.2</v>
      </c>
      <c r="N77" s="29">
        <f t="shared" si="6"/>
        <v>1</v>
      </c>
      <c r="O77" s="271"/>
      <c r="R77" s="173">
        <f t="shared" si="7"/>
        <v>0.8</v>
      </c>
      <c r="S77" s="596">
        <f t="shared" si="8"/>
        <v>0.71500000000000008</v>
      </c>
    </row>
    <row r="78" spans="2:19">
      <c r="B78" s="301">
        <f t="shared" si="9"/>
        <v>2060</v>
      </c>
      <c r="C78" s="61">
        <f t="shared" si="10"/>
        <v>0</v>
      </c>
      <c r="D78" s="62">
        <f t="shared" si="10"/>
        <v>1</v>
      </c>
      <c r="E78" s="62">
        <f t="shared" si="10"/>
        <v>0</v>
      </c>
      <c r="F78" s="62">
        <f t="shared" si="10"/>
        <v>0</v>
      </c>
      <c r="G78" s="62">
        <f t="shared" si="10"/>
        <v>0</v>
      </c>
      <c r="H78" s="29">
        <f t="shared" si="4"/>
        <v>1</v>
      </c>
      <c r="I78" s="61">
        <f t="shared" si="11"/>
        <v>0.2</v>
      </c>
      <c r="J78" s="62">
        <f t="shared" si="11"/>
        <v>0.3</v>
      </c>
      <c r="K78" s="62">
        <f t="shared" si="11"/>
        <v>0.25</v>
      </c>
      <c r="L78" s="62">
        <f t="shared" si="11"/>
        <v>0.05</v>
      </c>
      <c r="M78" s="62">
        <f t="shared" si="11"/>
        <v>0.2</v>
      </c>
      <c r="N78" s="29">
        <f t="shared" si="6"/>
        <v>1</v>
      </c>
      <c r="O78" s="271"/>
      <c r="R78" s="173">
        <f t="shared" si="7"/>
        <v>0.8</v>
      </c>
      <c r="S78" s="596">
        <f t="shared" si="8"/>
        <v>0.71500000000000008</v>
      </c>
    </row>
    <row r="79" spans="2:19">
      <c r="B79" s="301">
        <f t="shared" si="9"/>
        <v>2061</v>
      </c>
      <c r="C79" s="61">
        <f t="shared" si="10"/>
        <v>0</v>
      </c>
      <c r="D79" s="62">
        <f t="shared" si="10"/>
        <v>1</v>
      </c>
      <c r="E79" s="62">
        <f t="shared" si="10"/>
        <v>0</v>
      </c>
      <c r="F79" s="62">
        <f t="shared" si="10"/>
        <v>0</v>
      </c>
      <c r="G79" s="62">
        <f t="shared" si="10"/>
        <v>0</v>
      </c>
      <c r="H79" s="29">
        <f t="shared" si="4"/>
        <v>1</v>
      </c>
      <c r="I79" s="61">
        <f t="shared" si="11"/>
        <v>0.2</v>
      </c>
      <c r="J79" s="62">
        <f t="shared" si="11"/>
        <v>0.3</v>
      </c>
      <c r="K79" s="62">
        <f t="shared" si="11"/>
        <v>0.25</v>
      </c>
      <c r="L79" s="62">
        <f t="shared" si="11"/>
        <v>0.05</v>
      </c>
      <c r="M79" s="62">
        <f t="shared" si="11"/>
        <v>0.2</v>
      </c>
      <c r="N79" s="29">
        <f t="shared" si="6"/>
        <v>1</v>
      </c>
      <c r="O79" s="271"/>
      <c r="R79" s="173">
        <f t="shared" si="7"/>
        <v>0.8</v>
      </c>
      <c r="S79" s="596">
        <f t="shared" si="8"/>
        <v>0.71500000000000008</v>
      </c>
    </row>
    <row r="80" spans="2:19">
      <c r="B80" s="301">
        <f t="shared" si="9"/>
        <v>2062</v>
      </c>
      <c r="C80" s="61">
        <f t="shared" si="10"/>
        <v>0</v>
      </c>
      <c r="D80" s="62">
        <f t="shared" si="10"/>
        <v>1</v>
      </c>
      <c r="E80" s="62">
        <f t="shared" si="10"/>
        <v>0</v>
      </c>
      <c r="F80" s="62">
        <f t="shared" si="10"/>
        <v>0</v>
      </c>
      <c r="G80" s="62">
        <f t="shared" si="10"/>
        <v>0</v>
      </c>
      <c r="H80" s="29">
        <f t="shared" si="4"/>
        <v>1</v>
      </c>
      <c r="I80" s="61">
        <f t="shared" si="11"/>
        <v>0.2</v>
      </c>
      <c r="J80" s="62">
        <f t="shared" si="11"/>
        <v>0.3</v>
      </c>
      <c r="K80" s="62">
        <f t="shared" si="11"/>
        <v>0.25</v>
      </c>
      <c r="L80" s="62">
        <f t="shared" si="11"/>
        <v>0.05</v>
      </c>
      <c r="M80" s="62">
        <f t="shared" si="11"/>
        <v>0.2</v>
      </c>
      <c r="N80" s="29">
        <f t="shared" si="6"/>
        <v>1</v>
      </c>
      <c r="O80" s="271"/>
      <c r="R80" s="173">
        <f t="shared" si="7"/>
        <v>0.8</v>
      </c>
      <c r="S80" s="596">
        <f t="shared" si="8"/>
        <v>0.71500000000000008</v>
      </c>
    </row>
    <row r="81" spans="2:19">
      <c r="B81" s="301">
        <f t="shared" si="9"/>
        <v>2063</v>
      </c>
      <c r="C81" s="61">
        <f t="shared" si="10"/>
        <v>0</v>
      </c>
      <c r="D81" s="62">
        <f t="shared" si="10"/>
        <v>1</v>
      </c>
      <c r="E81" s="62">
        <f t="shared" si="10"/>
        <v>0</v>
      </c>
      <c r="F81" s="62">
        <f t="shared" si="10"/>
        <v>0</v>
      </c>
      <c r="G81" s="62">
        <f t="shared" si="10"/>
        <v>0</v>
      </c>
      <c r="H81" s="29">
        <f t="shared" si="4"/>
        <v>1</v>
      </c>
      <c r="I81" s="61">
        <f t="shared" si="11"/>
        <v>0.2</v>
      </c>
      <c r="J81" s="62">
        <f t="shared" si="11"/>
        <v>0.3</v>
      </c>
      <c r="K81" s="62">
        <f t="shared" si="11"/>
        <v>0.25</v>
      </c>
      <c r="L81" s="62">
        <f t="shared" si="11"/>
        <v>0.05</v>
      </c>
      <c r="M81" s="62">
        <f t="shared" si="11"/>
        <v>0.2</v>
      </c>
      <c r="N81" s="29">
        <f t="shared" si="6"/>
        <v>1</v>
      </c>
      <c r="O81" s="271"/>
      <c r="R81" s="173">
        <f t="shared" si="7"/>
        <v>0.8</v>
      </c>
      <c r="S81" s="596">
        <f t="shared" si="8"/>
        <v>0.71500000000000008</v>
      </c>
    </row>
    <row r="82" spans="2:19">
      <c r="B82" s="301">
        <f t="shared" si="9"/>
        <v>2064</v>
      </c>
      <c r="C82" s="61">
        <f t="shared" si="10"/>
        <v>0</v>
      </c>
      <c r="D82" s="62">
        <f t="shared" si="10"/>
        <v>1</v>
      </c>
      <c r="E82" s="62">
        <f t="shared" si="10"/>
        <v>0</v>
      </c>
      <c r="F82" s="62">
        <f t="shared" si="10"/>
        <v>0</v>
      </c>
      <c r="G82" s="62">
        <f t="shared" si="10"/>
        <v>0</v>
      </c>
      <c r="H82" s="29">
        <f t="shared" si="4"/>
        <v>1</v>
      </c>
      <c r="I82" s="61">
        <f t="shared" si="11"/>
        <v>0.2</v>
      </c>
      <c r="J82" s="62">
        <f t="shared" si="11"/>
        <v>0.3</v>
      </c>
      <c r="K82" s="62">
        <f t="shared" si="11"/>
        <v>0.25</v>
      </c>
      <c r="L82" s="62">
        <f t="shared" si="11"/>
        <v>0.05</v>
      </c>
      <c r="M82" s="62">
        <f t="shared" si="11"/>
        <v>0.2</v>
      </c>
      <c r="N82" s="29">
        <f t="shared" si="6"/>
        <v>1</v>
      </c>
      <c r="O82" s="271"/>
      <c r="R82" s="173">
        <f t="shared" si="7"/>
        <v>0.8</v>
      </c>
      <c r="S82" s="596">
        <f t="shared" si="8"/>
        <v>0.71500000000000008</v>
      </c>
    </row>
    <row r="83" spans="2:19">
      <c r="B83" s="301">
        <f t="shared" ref="B83:B98" si="12">B82+1</f>
        <v>2065</v>
      </c>
      <c r="C83" s="61">
        <f t="shared" si="10"/>
        <v>0</v>
      </c>
      <c r="D83" s="62">
        <f t="shared" si="10"/>
        <v>1</v>
      </c>
      <c r="E83" s="62">
        <f t="shared" si="10"/>
        <v>0</v>
      </c>
      <c r="F83" s="62">
        <f t="shared" si="10"/>
        <v>0</v>
      </c>
      <c r="G83" s="62">
        <f t="shared" si="10"/>
        <v>0</v>
      </c>
      <c r="H83" s="29">
        <f t="shared" ref="H83:H98" si="13">SUM(C83:G83)</f>
        <v>1</v>
      </c>
      <c r="I83" s="61">
        <f t="shared" si="11"/>
        <v>0.2</v>
      </c>
      <c r="J83" s="62">
        <f t="shared" si="11"/>
        <v>0.3</v>
      </c>
      <c r="K83" s="62">
        <f t="shared" si="11"/>
        <v>0.25</v>
      </c>
      <c r="L83" s="62">
        <f t="shared" si="11"/>
        <v>0.05</v>
      </c>
      <c r="M83" s="62">
        <f t="shared" si="11"/>
        <v>0.2</v>
      </c>
      <c r="N83" s="29">
        <f t="shared" ref="N83:N98" si="14">SUM(I83:M83)</f>
        <v>1</v>
      </c>
      <c r="O83" s="271"/>
      <c r="R83" s="173">
        <f t="shared" ref="R83:R98" si="15">C83*C$13+D83*D$13+E83*E$13+F83*F$13+G83*G$13</f>
        <v>0.8</v>
      </c>
      <c r="S83" s="596">
        <f t="shared" ref="S83:S98" si="16">I83*I$13+J83*J$13+K83*K$13+L83*L$13+M83*M$13</f>
        <v>0.71500000000000008</v>
      </c>
    </row>
    <row r="84" spans="2:19">
      <c r="B84" s="301">
        <f t="shared" si="12"/>
        <v>2066</v>
      </c>
      <c r="C84" s="61">
        <f t="shared" si="10"/>
        <v>0</v>
      </c>
      <c r="D84" s="62">
        <f t="shared" si="10"/>
        <v>1</v>
      </c>
      <c r="E84" s="62">
        <f t="shared" si="10"/>
        <v>0</v>
      </c>
      <c r="F84" s="62">
        <f t="shared" si="10"/>
        <v>0</v>
      </c>
      <c r="G84" s="62">
        <f t="shared" si="10"/>
        <v>0</v>
      </c>
      <c r="H84" s="29">
        <f t="shared" si="13"/>
        <v>1</v>
      </c>
      <c r="I84" s="61">
        <f t="shared" si="11"/>
        <v>0.2</v>
      </c>
      <c r="J84" s="62">
        <f t="shared" si="11"/>
        <v>0.3</v>
      </c>
      <c r="K84" s="62">
        <f t="shared" si="11"/>
        <v>0.25</v>
      </c>
      <c r="L84" s="62">
        <f t="shared" si="11"/>
        <v>0.05</v>
      </c>
      <c r="M84" s="62">
        <f t="shared" si="11"/>
        <v>0.2</v>
      </c>
      <c r="N84" s="29">
        <f t="shared" si="14"/>
        <v>1</v>
      </c>
      <c r="O84" s="271"/>
      <c r="R84" s="173">
        <f t="shared" si="15"/>
        <v>0.8</v>
      </c>
      <c r="S84" s="596">
        <f t="shared" si="16"/>
        <v>0.71500000000000008</v>
      </c>
    </row>
    <row r="85" spans="2:19">
      <c r="B85" s="301">
        <f t="shared" si="12"/>
        <v>2067</v>
      </c>
      <c r="C85" s="61">
        <f t="shared" si="10"/>
        <v>0</v>
      </c>
      <c r="D85" s="62">
        <f t="shared" si="10"/>
        <v>1</v>
      </c>
      <c r="E85" s="62">
        <f t="shared" si="10"/>
        <v>0</v>
      </c>
      <c r="F85" s="62">
        <f t="shared" si="10"/>
        <v>0</v>
      </c>
      <c r="G85" s="62">
        <f t="shared" si="10"/>
        <v>0</v>
      </c>
      <c r="H85" s="29">
        <f t="shared" si="13"/>
        <v>1</v>
      </c>
      <c r="I85" s="61">
        <f t="shared" si="11"/>
        <v>0.2</v>
      </c>
      <c r="J85" s="62">
        <f t="shared" si="11"/>
        <v>0.3</v>
      </c>
      <c r="K85" s="62">
        <f t="shared" si="11"/>
        <v>0.25</v>
      </c>
      <c r="L85" s="62">
        <f t="shared" si="11"/>
        <v>0.05</v>
      </c>
      <c r="M85" s="62">
        <f t="shared" si="11"/>
        <v>0.2</v>
      </c>
      <c r="N85" s="29">
        <f t="shared" si="14"/>
        <v>1</v>
      </c>
      <c r="O85" s="271"/>
      <c r="R85" s="173">
        <f t="shared" si="15"/>
        <v>0.8</v>
      </c>
      <c r="S85" s="596">
        <f t="shared" si="16"/>
        <v>0.71500000000000008</v>
      </c>
    </row>
    <row r="86" spans="2:19">
      <c r="B86" s="301">
        <f t="shared" si="12"/>
        <v>2068</v>
      </c>
      <c r="C86" s="61">
        <f t="shared" si="10"/>
        <v>0</v>
      </c>
      <c r="D86" s="62">
        <f t="shared" si="10"/>
        <v>1</v>
      </c>
      <c r="E86" s="62">
        <f t="shared" si="10"/>
        <v>0</v>
      </c>
      <c r="F86" s="62">
        <f t="shared" si="10"/>
        <v>0</v>
      </c>
      <c r="G86" s="62">
        <f t="shared" si="10"/>
        <v>0</v>
      </c>
      <c r="H86" s="29">
        <f t="shared" si="13"/>
        <v>1</v>
      </c>
      <c r="I86" s="61">
        <f t="shared" si="11"/>
        <v>0.2</v>
      </c>
      <c r="J86" s="62">
        <f t="shared" si="11"/>
        <v>0.3</v>
      </c>
      <c r="K86" s="62">
        <f t="shared" si="11"/>
        <v>0.25</v>
      </c>
      <c r="L86" s="62">
        <f t="shared" si="11"/>
        <v>0.05</v>
      </c>
      <c r="M86" s="62">
        <f t="shared" si="11"/>
        <v>0.2</v>
      </c>
      <c r="N86" s="29">
        <f t="shared" si="14"/>
        <v>1</v>
      </c>
      <c r="O86" s="271"/>
      <c r="R86" s="173">
        <f t="shared" si="15"/>
        <v>0.8</v>
      </c>
      <c r="S86" s="596">
        <f t="shared" si="16"/>
        <v>0.71500000000000008</v>
      </c>
    </row>
    <row r="87" spans="2:19">
      <c r="B87" s="301">
        <f t="shared" si="12"/>
        <v>2069</v>
      </c>
      <c r="C87" s="61">
        <f t="shared" si="10"/>
        <v>0</v>
      </c>
      <c r="D87" s="62">
        <f t="shared" si="10"/>
        <v>1</v>
      </c>
      <c r="E87" s="62">
        <f t="shared" si="10"/>
        <v>0</v>
      </c>
      <c r="F87" s="62">
        <f t="shared" si="10"/>
        <v>0</v>
      </c>
      <c r="G87" s="62">
        <f t="shared" si="10"/>
        <v>0</v>
      </c>
      <c r="H87" s="29">
        <f t="shared" si="13"/>
        <v>1</v>
      </c>
      <c r="I87" s="61">
        <f t="shared" si="11"/>
        <v>0.2</v>
      </c>
      <c r="J87" s="62">
        <f t="shared" si="11"/>
        <v>0.3</v>
      </c>
      <c r="K87" s="62">
        <f t="shared" si="11"/>
        <v>0.25</v>
      </c>
      <c r="L87" s="62">
        <f t="shared" si="11"/>
        <v>0.05</v>
      </c>
      <c r="M87" s="62">
        <f t="shared" si="11"/>
        <v>0.2</v>
      </c>
      <c r="N87" s="29">
        <f t="shared" si="14"/>
        <v>1</v>
      </c>
      <c r="O87" s="271"/>
      <c r="R87" s="173">
        <f t="shared" si="15"/>
        <v>0.8</v>
      </c>
      <c r="S87" s="596">
        <f t="shared" si="16"/>
        <v>0.71500000000000008</v>
      </c>
    </row>
    <row r="88" spans="2:19">
      <c r="B88" s="301">
        <f t="shared" si="12"/>
        <v>2070</v>
      </c>
      <c r="C88" s="61">
        <f t="shared" si="10"/>
        <v>0</v>
      </c>
      <c r="D88" s="62">
        <f t="shared" si="10"/>
        <v>1</v>
      </c>
      <c r="E88" s="62">
        <f t="shared" si="10"/>
        <v>0</v>
      </c>
      <c r="F88" s="62">
        <f t="shared" si="10"/>
        <v>0</v>
      </c>
      <c r="G88" s="62">
        <f t="shared" si="10"/>
        <v>0</v>
      </c>
      <c r="H88" s="29">
        <f t="shared" si="13"/>
        <v>1</v>
      </c>
      <c r="I88" s="61">
        <f t="shared" si="11"/>
        <v>0.2</v>
      </c>
      <c r="J88" s="62">
        <f t="shared" si="11"/>
        <v>0.3</v>
      </c>
      <c r="K88" s="62">
        <f t="shared" si="11"/>
        <v>0.25</v>
      </c>
      <c r="L88" s="62">
        <f t="shared" si="11"/>
        <v>0.05</v>
      </c>
      <c r="M88" s="62">
        <f t="shared" si="11"/>
        <v>0.2</v>
      </c>
      <c r="N88" s="29">
        <f t="shared" si="14"/>
        <v>1</v>
      </c>
      <c r="O88" s="271"/>
      <c r="R88" s="173">
        <f t="shared" si="15"/>
        <v>0.8</v>
      </c>
      <c r="S88" s="596">
        <f t="shared" si="16"/>
        <v>0.71500000000000008</v>
      </c>
    </row>
    <row r="89" spans="2:19">
      <c r="B89" s="301">
        <f t="shared" si="12"/>
        <v>2071</v>
      </c>
      <c r="C89" s="61">
        <f t="shared" si="10"/>
        <v>0</v>
      </c>
      <c r="D89" s="62">
        <f t="shared" si="10"/>
        <v>1</v>
      </c>
      <c r="E89" s="62">
        <f t="shared" si="10"/>
        <v>0</v>
      </c>
      <c r="F89" s="62">
        <f t="shared" si="10"/>
        <v>0</v>
      </c>
      <c r="G89" s="62">
        <f t="shared" si="10"/>
        <v>0</v>
      </c>
      <c r="H89" s="29">
        <f t="shared" si="13"/>
        <v>1</v>
      </c>
      <c r="I89" s="61">
        <f t="shared" si="11"/>
        <v>0.2</v>
      </c>
      <c r="J89" s="62">
        <f t="shared" si="11"/>
        <v>0.3</v>
      </c>
      <c r="K89" s="62">
        <f t="shared" si="11"/>
        <v>0.25</v>
      </c>
      <c r="L89" s="62">
        <f t="shared" si="11"/>
        <v>0.05</v>
      </c>
      <c r="M89" s="62">
        <f t="shared" si="11"/>
        <v>0.2</v>
      </c>
      <c r="N89" s="29">
        <f t="shared" si="14"/>
        <v>1</v>
      </c>
      <c r="O89" s="271"/>
      <c r="R89" s="173">
        <f t="shared" si="15"/>
        <v>0.8</v>
      </c>
      <c r="S89" s="596">
        <f t="shared" si="16"/>
        <v>0.71500000000000008</v>
      </c>
    </row>
    <row r="90" spans="2:19">
      <c r="B90" s="301">
        <f t="shared" si="12"/>
        <v>2072</v>
      </c>
      <c r="C90" s="61">
        <f t="shared" si="10"/>
        <v>0</v>
      </c>
      <c r="D90" s="62">
        <f t="shared" si="10"/>
        <v>1</v>
      </c>
      <c r="E90" s="62">
        <f t="shared" si="10"/>
        <v>0</v>
      </c>
      <c r="F90" s="62">
        <f t="shared" si="10"/>
        <v>0</v>
      </c>
      <c r="G90" s="62">
        <f t="shared" si="10"/>
        <v>0</v>
      </c>
      <c r="H90" s="29">
        <f t="shared" si="13"/>
        <v>1</v>
      </c>
      <c r="I90" s="61">
        <f t="shared" si="11"/>
        <v>0.2</v>
      </c>
      <c r="J90" s="62">
        <f t="shared" si="11"/>
        <v>0.3</v>
      </c>
      <c r="K90" s="62">
        <f t="shared" si="11"/>
        <v>0.25</v>
      </c>
      <c r="L90" s="62">
        <f t="shared" si="11"/>
        <v>0.05</v>
      </c>
      <c r="M90" s="62">
        <f t="shared" si="11"/>
        <v>0.2</v>
      </c>
      <c r="N90" s="29">
        <f t="shared" si="14"/>
        <v>1</v>
      </c>
      <c r="O90" s="271"/>
      <c r="R90" s="173">
        <f t="shared" si="15"/>
        <v>0.8</v>
      </c>
      <c r="S90" s="596">
        <f t="shared" si="16"/>
        <v>0.71500000000000008</v>
      </c>
    </row>
    <row r="91" spans="2:19">
      <c r="B91" s="301">
        <f t="shared" si="12"/>
        <v>2073</v>
      </c>
      <c r="C91" s="61">
        <f t="shared" si="10"/>
        <v>0</v>
      </c>
      <c r="D91" s="62">
        <f t="shared" si="10"/>
        <v>1</v>
      </c>
      <c r="E91" s="62">
        <f t="shared" si="10"/>
        <v>0</v>
      </c>
      <c r="F91" s="62">
        <f t="shared" si="10"/>
        <v>0</v>
      </c>
      <c r="G91" s="62">
        <f t="shared" si="10"/>
        <v>0</v>
      </c>
      <c r="H91" s="29">
        <f t="shared" si="13"/>
        <v>1</v>
      </c>
      <c r="I91" s="61">
        <f t="shared" si="11"/>
        <v>0.2</v>
      </c>
      <c r="J91" s="62">
        <f t="shared" si="11"/>
        <v>0.3</v>
      </c>
      <c r="K91" s="62">
        <f t="shared" si="11"/>
        <v>0.25</v>
      </c>
      <c r="L91" s="62">
        <f t="shared" si="11"/>
        <v>0.05</v>
      </c>
      <c r="M91" s="62">
        <f t="shared" si="11"/>
        <v>0.2</v>
      </c>
      <c r="N91" s="29">
        <f t="shared" si="14"/>
        <v>1</v>
      </c>
      <c r="O91" s="271"/>
      <c r="R91" s="173">
        <f t="shared" si="15"/>
        <v>0.8</v>
      </c>
      <c r="S91" s="596">
        <f t="shared" si="16"/>
        <v>0.71500000000000008</v>
      </c>
    </row>
    <row r="92" spans="2:19">
      <c r="B92" s="301">
        <f t="shared" si="12"/>
        <v>2074</v>
      </c>
      <c r="C92" s="61">
        <f t="shared" si="10"/>
        <v>0</v>
      </c>
      <c r="D92" s="62">
        <f t="shared" si="10"/>
        <v>1</v>
      </c>
      <c r="E92" s="62">
        <f t="shared" si="10"/>
        <v>0</v>
      </c>
      <c r="F92" s="62">
        <f t="shared" si="10"/>
        <v>0</v>
      </c>
      <c r="G92" s="62">
        <f t="shared" si="10"/>
        <v>0</v>
      </c>
      <c r="H92" s="29">
        <f t="shared" si="13"/>
        <v>1</v>
      </c>
      <c r="I92" s="61">
        <f t="shared" si="11"/>
        <v>0.2</v>
      </c>
      <c r="J92" s="62">
        <f t="shared" si="11"/>
        <v>0.3</v>
      </c>
      <c r="K92" s="62">
        <f t="shared" si="11"/>
        <v>0.25</v>
      </c>
      <c r="L92" s="62">
        <f t="shared" si="11"/>
        <v>0.05</v>
      </c>
      <c r="M92" s="62">
        <f t="shared" si="11"/>
        <v>0.2</v>
      </c>
      <c r="N92" s="29">
        <f t="shared" si="14"/>
        <v>1</v>
      </c>
      <c r="O92" s="271"/>
      <c r="R92" s="173">
        <f t="shared" si="15"/>
        <v>0.8</v>
      </c>
      <c r="S92" s="596">
        <f t="shared" si="16"/>
        <v>0.71500000000000008</v>
      </c>
    </row>
    <row r="93" spans="2:19">
      <c r="B93" s="301">
        <f t="shared" si="12"/>
        <v>2075</v>
      </c>
      <c r="C93" s="61">
        <f t="shared" si="10"/>
        <v>0</v>
      </c>
      <c r="D93" s="62">
        <f t="shared" si="10"/>
        <v>1</v>
      </c>
      <c r="E93" s="62">
        <f t="shared" si="10"/>
        <v>0</v>
      </c>
      <c r="F93" s="62">
        <f t="shared" si="10"/>
        <v>0</v>
      </c>
      <c r="G93" s="62">
        <f t="shared" si="10"/>
        <v>0</v>
      </c>
      <c r="H93" s="29">
        <f t="shared" si="13"/>
        <v>1</v>
      </c>
      <c r="I93" s="61">
        <f t="shared" si="11"/>
        <v>0.2</v>
      </c>
      <c r="J93" s="62">
        <f t="shared" si="11"/>
        <v>0.3</v>
      </c>
      <c r="K93" s="62">
        <f t="shared" si="11"/>
        <v>0.25</v>
      </c>
      <c r="L93" s="62">
        <f t="shared" si="11"/>
        <v>0.05</v>
      </c>
      <c r="M93" s="62">
        <f t="shared" si="11"/>
        <v>0.2</v>
      </c>
      <c r="N93" s="29">
        <f t="shared" si="14"/>
        <v>1</v>
      </c>
      <c r="O93" s="271"/>
      <c r="R93" s="173">
        <f t="shared" si="15"/>
        <v>0.8</v>
      </c>
      <c r="S93" s="596">
        <f t="shared" si="16"/>
        <v>0.71500000000000008</v>
      </c>
    </row>
    <row r="94" spans="2:19">
      <c r="B94" s="301">
        <f t="shared" si="12"/>
        <v>2076</v>
      </c>
      <c r="C94" s="61">
        <f t="shared" si="10"/>
        <v>0</v>
      </c>
      <c r="D94" s="62">
        <f t="shared" si="10"/>
        <v>1</v>
      </c>
      <c r="E94" s="62">
        <f t="shared" si="10"/>
        <v>0</v>
      </c>
      <c r="F94" s="62">
        <f t="shared" si="10"/>
        <v>0</v>
      </c>
      <c r="G94" s="62">
        <f t="shared" si="10"/>
        <v>0</v>
      </c>
      <c r="H94" s="29">
        <f t="shared" si="13"/>
        <v>1</v>
      </c>
      <c r="I94" s="61">
        <f t="shared" si="11"/>
        <v>0.2</v>
      </c>
      <c r="J94" s="62">
        <f t="shared" si="11"/>
        <v>0.3</v>
      </c>
      <c r="K94" s="62">
        <f t="shared" si="11"/>
        <v>0.25</v>
      </c>
      <c r="L94" s="62">
        <f t="shared" si="11"/>
        <v>0.05</v>
      </c>
      <c r="M94" s="62">
        <f t="shared" si="11"/>
        <v>0.2</v>
      </c>
      <c r="N94" s="29">
        <f t="shared" si="14"/>
        <v>1</v>
      </c>
      <c r="O94" s="271"/>
      <c r="R94" s="173">
        <f t="shared" si="15"/>
        <v>0.8</v>
      </c>
      <c r="S94" s="596">
        <f t="shared" si="16"/>
        <v>0.71500000000000008</v>
      </c>
    </row>
    <row r="95" spans="2:19">
      <c r="B95" s="301">
        <f t="shared" si="12"/>
        <v>2077</v>
      </c>
      <c r="C95" s="61">
        <f t="shared" si="10"/>
        <v>0</v>
      </c>
      <c r="D95" s="62">
        <f t="shared" si="10"/>
        <v>1</v>
      </c>
      <c r="E95" s="62">
        <f t="shared" si="10"/>
        <v>0</v>
      </c>
      <c r="F95" s="62">
        <f t="shared" si="10"/>
        <v>0</v>
      </c>
      <c r="G95" s="62">
        <f t="shared" si="10"/>
        <v>0</v>
      </c>
      <c r="H95" s="29">
        <f t="shared" si="13"/>
        <v>1</v>
      </c>
      <c r="I95" s="61">
        <f t="shared" si="11"/>
        <v>0.2</v>
      </c>
      <c r="J95" s="62">
        <f t="shared" si="11"/>
        <v>0.3</v>
      </c>
      <c r="K95" s="62">
        <f t="shared" si="11"/>
        <v>0.25</v>
      </c>
      <c r="L95" s="62">
        <f t="shared" si="11"/>
        <v>0.05</v>
      </c>
      <c r="M95" s="62">
        <f t="shared" si="11"/>
        <v>0.2</v>
      </c>
      <c r="N95" s="29">
        <f t="shared" si="14"/>
        <v>1</v>
      </c>
      <c r="O95" s="271"/>
      <c r="R95" s="173">
        <f t="shared" si="15"/>
        <v>0.8</v>
      </c>
      <c r="S95" s="596">
        <f t="shared" si="16"/>
        <v>0.71500000000000008</v>
      </c>
    </row>
    <row r="96" spans="2:19">
      <c r="B96" s="301">
        <f t="shared" si="12"/>
        <v>2078</v>
      </c>
      <c r="C96" s="61">
        <f t="shared" si="10"/>
        <v>0</v>
      </c>
      <c r="D96" s="62">
        <f t="shared" si="10"/>
        <v>1</v>
      </c>
      <c r="E96" s="62">
        <f t="shared" si="10"/>
        <v>0</v>
      </c>
      <c r="F96" s="62">
        <f t="shared" si="10"/>
        <v>0</v>
      </c>
      <c r="G96" s="62">
        <f t="shared" si="10"/>
        <v>0</v>
      </c>
      <c r="H96" s="29">
        <f t="shared" si="13"/>
        <v>1</v>
      </c>
      <c r="I96" s="61">
        <f t="shared" si="11"/>
        <v>0.2</v>
      </c>
      <c r="J96" s="62">
        <f t="shared" si="11"/>
        <v>0.3</v>
      </c>
      <c r="K96" s="62">
        <f t="shared" si="11"/>
        <v>0.25</v>
      </c>
      <c r="L96" s="62">
        <f t="shared" si="11"/>
        <v>0.05</v>
      </c>
      <c r="M96" s="62">
        <f t="shared" si="11"/>
        <v>0.2</v>
      </c>
      <c r="N96" s="29">
        <f t="shared" si="14"/>
        <v>1</v>
      </c>
      <c r="O96" s="271"/>
      <c r="R96" s="173">
        <f t="shared" si="15"/>
        <v>0.8</v>
      </c>
      <c r="S96" s="596">
        <f t="shared" si="16"/>
        <v>0.71500000000000008</v>
      </c>
    </row>
    <row r="97" spans="2:19">
      <c r="B97" s="301">
        <f t="shared" si="12"/>
        <v>2079</v>
      </c>
      <c r="C97" s="61">
        <f t="shared" si="10"/>
        <v>0</v>
      </c>
      <c r="D97" s="62">
        <f t="shared" si="10"/>
        <v>1</v>
      </c>
      <c r="E97" s="62">
        <f t="shared" si="10"/>
        <v>0</v>
      </c>
      <c r="F97" s="62">
        <f t="shared" si="10"/>
        <v>0</v>
      </c>
      <c r="G97" s="62">
        <f t="shared" si="10"/>
        <v>0</v>
      </c>
      <c r="H97" s="29">
        <f t="shared" si="13"/>
        <v>1</v>
      </c>
      <c r="I97" s="61">
        <f t="shared" si="11"/>
        <v>0.2</v>
      </c>
      <c r="J97" s="62">
        <f t="shared" si="11"/>
        <v>0.3</v>
      </c>
      <c r="K97" s="62">
        <f t="shared" si="11"/>
        <v>0.25</v>
      </c>
      <c r="L97" s="62">
        <f t="shared" si="11"/>
        <v>0.05</v>
      </c>
      <c r="M97" s="62">
        <f t="shared" si="11"/>
        <v>0.2</v>
      </c>
      <c r="N97" s="29">
        <f t="shared" si="14"/>
        <v>1</v>
      </c>
      <c r="O97" s="271"/>
      <c r="R97" s="173">
        <f t="shared" si="15"/>
        <v>0.8</v>
      </c>
      <c r="S97" s="596">
        <f t="shared" si="16"/>
        <v>0.71500000000000008</v>
      </c>
    </row>
    <row r="98" spans="2:19" ht="13.5" thickBot="1">
      <c r="B98" s="302">
        <f t="shared" si="12"/>
        <v>2080</v>
      </c>
      <c r="C98" s="63">
        <f t="shared" si="10"/>
        <v>0</v>
      </c>
      <c r="D98" s="64">
        <f t="shared" si="10"/>
        <v>1</v>
      </c>
      <c r="E98" s="64">
        <f t="shared" si="10"/>
        <v>0</v>
      </c>
      <c r="F98" s="64">
        <f t="shared" si="10"/>
        <v>0</v>
      </c>
      <c r="G98" s="64">
        <f t="shared" si="10"/>
        <v>0</v>
      </c>
      <c r="H98" s="30">
        <f t="shared" si="13"/>
        <v>1</v>
      </c>
      <c r="I98" s="63">
        <f t="shared" si="11"/>
        <v>0.2</v>
      </c>
      <c r="J98" s="64">
        <f t="shared" si="11"/>
        <v>0.3</v>
      </c>
      <c r="K98" s="64">
        <f t="shared" si="11"/>
        <v>0.25</v>
      </c>
      <c r="L98" s="64">
        <f t="shared" si="11"/>
        <v>0.05</v>
      </c>
      <c r="M98" s="64">
        <f t="shared" si="11"/>
        <v>0.2</v>
      </c>
      <c r="N98" s="30">
        <f t="shared" si="14"/>
        <v>1</v>
      </c>
      <c r="O98" s="579"/>
      <c r="R98" s="167">
        <f t="shared" si="15"/>
        <v>0.8</v>
      </c>
      <c r="S98" s="167">
        <f t="shared" si="16"/>
        <v>0.71500000000000008</v>
      </c>
    </row>
    <row r="99" spans="2:19">
      <c r="H99" s="31"/>
    </row>
    <row r="100" spans="2:19">
      <c r="H100" s="3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2" activePane="bottomRight" state="frozen"/>
      <selection activeCell="E19" sqref="E19"/>
      <selection pane="topRight" activeCell="E19" sqref="E19"/>
      <selection pane="bottomLeft" activeCell="E19" sqref="E19"/>
      <selection pane="bottomRight" activeCell="AB16" sqref="AB16"/>
    </sheetView>
  </sheetViews>
  <sheetFormatPr defaultColWidth="11.42578125" defaultRowHeight="12.75"/>
  <cols>
    <col min="1" max="1" width="2.28515625" style="638" customWidth="1"/>
    <col min="2" max="2" width="6.28515625" style="638" customWidth="1"/>
    <col min="3" max="3" width="9.28515625" style="638" customWidth="1"/>
    <col min="4" max="4" width="7.42578125" style="638" customWidth="1"/>
    <col min="5" max="14" width="8" style="638" customWidth="1"/>
    <col min="15" max="16" width="8.42578125" style="638" customWidth="1"/>
    <col min="17" max="17" width="3.85546875" style="638" customWidth="1"/>
    <col min="18" max="18" width="3.42578125" style="638" customWidth="1"/>
    <col min="19" max="21" width="11.42578125" style="638" hidden="1" customWidth="1"/>
    <col min="22" max="22" width="10.28515625" style="638" hidden="1" customWidth="1"/>
    <col min="23" max="23" width="9.7109375" style="638" hidden="1" customWidth="1"/>
    <col min="24" max="24" width="9.42578125" style="638" hidden="1" customWidth="1"/>
    <col min="25" max="27" width="0" style="638" hidden="1" customWidth="1"/>
    <col min="28" max="29" width="11.42578125" style="638"/>
    <col min="30" max="30" width="10.85546875" style="638" customWidth="1"/>
    <col min="31" max="16384" width="11.42578125" style="638"/>
  </cols>
  <sheetData>
    <row r="2" spans="2:30" ht="15.75">
      <c r="C2" s="639" t="s">
        <v>34</v>
      </c>
      <c r="S2" s="639" t="s">
        <v>300</v>
      </c>
      <c r="AC2" s="638" t="s">
        <v>6</v>
      </c>
      <c r="AD2" s="640">
        <v>0.66390000000000005</v>
      </c>
    </row>
    <row r="3" spans="2:30">
      <c r="B3" s="641"/>
      <c r="C3" s="641"/>
      <c r="S3" s="641"/>
      <c r="AC3" s="638" t="s">
        <v>256</v>
      </c>
      <c r="AD3" s="640">
        <v>0.1285</v>
      </c>
    </row>
    <row r="4" spans="2:30">
      <c r="B4" s="641"/>
      <c r="C4" s="641" t="s">
        <v>38</v>
      </c>
      <c r="S4" s="641" t="s">
        <v>301</v>
      </c>
      <c r="AC4" s="638" t="s">
        <v>2</v>
      </c>
      <c r="AD4" s="640">
        <v>0</v>
      </c>
    </row>
    <row r="5" spans="2:30">
      <c r="B5" s="641"/>
      <c r="C5" s="641"/>
      <c r="S5" s="641" t="s">
        <v>38</v>
      </c>
      <c r="AC5" s="638" t="s">
        <v>16</v>
      </c>
      <c r="AD5" s="640">
        <v>8.1000000000000013E-3</v>
      </c>
    </row>
    <row r="6" spans="2:30">
      <c r="B6" s="641"/>
      <c r="S6" s="641"/>
      <c r="AC6" s="638" t="s">
        <v>331</v>
      </c>
      <c r="AD6" s="640">
        <v>0</v>
      </c>
    </row>
    <row r="7" spans="2:30" ht="13.5" thickBot="1">
      <c r="B7" s="641"/>
      <c r="C7" s="642"/>
      <c r="S7" s="641"/>
      <c r="AC7" s="638" t="s">
        <v>332</v>
      </c>
      <c r="AD7" s="640">
        <v>0.10710000000000001</v>
      </c>
    </row>
    <row r="8" spans="2:30" ht="13.5" thickBot="1">
      <c r="B8" s="641"/>
      <c r="D8" s="643">
        <v>6.2100000000000002E-2</v>
      </c>
      <c r="E8" s="644">
        <v>0.66390000000000005</v>
      </c>
      <c r="F8" s="645">
        <v>0.1285</v>
      </c>
      <c r="G8" s="646">
        <v>0</v>
      </c>
      <c r="H8" s="645">
        <v>0</v>
      </c>
      <c r="I8" s="645">
        <v>0</v>
      </c>
      <c r="J8" s="645">
        <v>8.0999999999999996E-3</v>
      </c>
      <c r="K8" s="645">
        <v>0</v>
      </c>
      <c r="L8" s="645">
        <v>0.1071</v>
      </c>
      <c r="M8" s="645">
        <v>1.77E-2</v>
      </c>
      <c r="N8" s="645">
        <v>1.3299999999999999E-2</v>
      </c>
      <c r="O8" s="645">
        <v>6.2100000000000002E-2</v>
      </c>
      <c r="P8" s="647">
        <f>SUM(E8:O8)</f>
        <v>1.0006999999999999</v>
      </c>
      <c r="S8" s="641"/>
      <c r="T8" s="641"/>
      <c r="AC8" s="638" t="s">
        <v>231</v>
      </c>
      <c r="AD8" s="640">
        <v>1.77E-2</v>
      </c>
    </row>
    <row r="9" spans="2:30" ht="13.5" thickBot="1">
      <c r="B9" s="648"/>
      <c r="C9" s="649"/>
      <c r="D9" s="650"/>
      <c r="E9" s="800" t="s">
        <v>41</v>
      </c>
      <c r="F9" s="801"/>
      <c r="G9" s="801"/>
      <c r="H9" s="801"/>
      <c r="I9" s="801"/>
      <c r="J9" s="801"/>
      <c r="K9" s="801"/>
      <c r="L9" s="801"/>
      <c r="M9" s="801"/>
      <c r="N9" s="801"/>
      <c r="O9" s="801"/>
      <c r="P9" s="651"/>
      <c r="AC9" s="638" t="s">
        <v>232</v>
      </c>
      <c r="AD9" s="640">
        <v>1.3300000000000001E-2</v>
      </c>
    </row>
    <row r="10" spans="2:30" ht="21.75" customHeight="1" thickBot="1">
      <c r="B10" s="802" t="s">
        <v>1</v>
      </c>
      <c r="C10" s="802" t="s">
        <v>33</v>
      </c>
      <c r="D10" s="802" t="s">
        <v>40</v>
      </c>
      <c r="E10" s="802" t="s">
        <v>228</v>
      </c>
      <c r="F10" s="802" t="s">
        <v>271</v>
      </c>
      <c r="G10" s="792" t="s">
        <v>267</v>
      </c>
      <c r="H10" s="802" t="s">
        <v>270</v>
      </c>
      <c r="I10" s="792" t="s">
        <v>2</v>
      </c>
      <c r="J10" s="802" t="s">
        <v>16</v>
      </c>
      <c r="K10" s="792" t="s">
        <v>229</v>
      </c>
      <c r="L10" s="804" t="s">
        <v>273</v>
      </c>
      <c r="M10" s="805"/>
      <c r="N10" s="805"/>
      <c r="O10" s="806"/>
      <c r="P10" s="802" t="s">
        <v>27</v>
      </c>
      <c r="AC10" s="638" t="s">
        <v>233</v>
      </c>
      <c r="AD10" s="640">
        <v>6.2100000000000002E-2</v>
      </c>
    </row>
    <row r="11" spans="2:30" s="653" customFormat="1" ht="42" customHeight="1" thickBot="1">
      <c r="B11" s="803"/>
      <c r="C11" s="803"/>
      <c r="D11" s="803"/>
      <c r="E11" s="803"/>
      <c r="F11" s="803"/>
      <c r="G11" s="794"/>
      <c r="H11" s="803"/>
      <c r="I11" s="794"/>
      <c r="J11" s="803"/>
      <c r="K11" s="794"/>
      <c r="L11" s="652" t="s">
        <v>230</v>
      </c>
      <c r="M11" s="652" t="s">
        <v>231</v>
      </c>
      <c r="N11" s="652" t="s">
        <v>232</v>
      </c>
      <c r="O11" s="652" t="s">
        <v>233</v>
      </c>
      <c r="P11" s="803"/>
      <c r="S11" s="400" t="s">
        <v>1</v>
      </c>
      <c r="T11" s="404" t="s">
        <v>302</v>
      </c>
      <c r="U11" s="400" t="s">
        <v>303</v>
      </c>
      <c r="V11" s="404" t="s">
        <v>304</v>
      </c>
      <c r="W11" s="400" t="s">
        <v>40</v>
      </c>
      <c r="X11" s="404" t="s">
        <v>305</v>
      </c>
    </row>
    <row r="12" spans="2:30" s="660" customFormat="1" ht="26.25" thickBot="1">
      <c r="B12" s="654"/>
      <c r="C12" s="655" t="s">
        <v>15</v>
      </c>
      <c r="D12" s="655" t="s">
        <v>24</v>
      </c>
      <c r="E12" s="656" t="s">
        <v>24</v>
      </c>
      <c r="F12" s="657" t="s">
        <v>24</v>
      </c>
      <c r="G12" s="657" t="s">
        <v>24</v>
      </c>
      <c r="H12" s="657" t="s">
        <v>24</v>
      </c>
      <c r="I12" s="657" t="s">
        <v>24</v>
      </c>
      <c r="J12" s="657" t="s">
        <v>24</v>
      </c>
      <c r="K12" s="657" t="s">
        <v>24</v>
      </c>
      <c r="L12" s="657" t="s">
        <v>24</v>
      </c>
      <c r="M12" s="657" t="s">
        <v>24</v>
      </c>
      <c r="N12" s="657" t="s">
        <v>24</v>
      </c>
      <c r="O12" s="658" t="s">
        <v>24</v>
      </c>
      <c r="P12" s="659" t="s">
        <v>39</v>
      </c>
      <c r="S12" s="661"/>
      <c r="T12" s="662" t="s">
        <v>306</v>
      </c>
      <c r="U12" s="661" t="s">
        <v>307</v>
      </c>
      <c r="V12" s="662" t="s">
        <v>15</v>
      </c>
      <c r="W12" s="663" t="s">
        <v>24</v>
      </c>
      <c r="X12" s="662" t="s">
        <v>15</v>
      </c>
    </row>
    <row r="13" spans="2:30">
      <c r="B13" s="664">
        <f>year</f>
        <v>2000</v>
      </c>
      <c r="C13" s="665">
        <f>'[2]Fraksi pengelolaan sampah BaU'!C30</f>
        <v>32.145558324</v>
      </c>
      <c r="D13" s="666">
        <v>1</v>
      </c>
      <c r="E13" s="667">
        <f t="shared" ref="E13:O28" si="0">E$8</f>
        <v>0.66390000000000005</v>
      </c>
      <c r="F13" s="667">
        <f t="shared" si="0"/>
        <v>0.1285</v>
      </c>
      <c r="G13" s="667">
        <f t="shared" si="0"/>
        <v>0</v>
      </c>
      <c r="H13" s="667">
        <f t="shared" si="0"/>
        <v>0</v>
      </c>
      <c r="I13" s="667">
        <f t="shared" si="0"/>
        <v>0</v>
      </c>
      <c r="J13" s="667">
        <f t="shared" si="0"/>
        <v>8.0999999999999996E-3</v>
      </c>
      <c r="K13" s="667">
        <f t="shared" si="0"/>
        <v>0</v>
      </c>
      <c r="L13" s="667">
        <f t="shared" si="0"/>
        <v>0.1071</v>
      </c>
      <c r="M13" s="667">
        <f t="shared" si="0"/>
        <v>1.77E-2</v>
      </c>
      <c r="N13" s="667">
        <f t="shared" si="0"/>
        <v>1.3299999999999999E-2</v>
      </c>
      <c r="O13" s="667">
        <f t="shared" si="0"/>
        <v>6.2100000000000002E-2</v>
      </c>
      <c r="P13" s="668">
        <f t="shared" ref="P13:P44" si="1">SUM(E13:O13)</f>
        <v>1.0006999999999999</v>
      </c>
      <c r="S13" s="664">
        <f>year</f>
        <v>2000</v>
      </c>
      <c r="T13" s="669">
        <v>0</v>
      </c>
      <c r="U13" s="669">
        <v>5</v>
      </c>
      <c r="V13" s="670">
        <f>T13*U13</f>
        <v>0</v>
      </c>
      <c r="W13" s="671">
        <v>1</v>
      </c>
      <c r="X13" s="672">
        <f t="shared" ref="X13:X44" si="2">V13*W13</f>
        <v>0</v>
      </c>
    </row>
    <row r="14" spans="2:30">
      <c r="B14" s="673">
        <f t="shared" ref="B14:B45" si="3">B13+1</f>
        <v>2001</v>
      </c>
      <c r="C14" s="665">
        <f>'[2]Fraksi pengelolaan sampah BaU'!C31</f>
        <v>32.789183328</v>
      </c>
      <c r="D14" s="666">
        <v>1</v>
      </c>
      <c r="E14" s="667">
        <f t="shared" si="0"/>
        <v>0.66390000000000005</v>
      </c>
      <c r="F14" s="667">
        <f t="shared" si="0"/>
        <v>0.1285</v>
      </c>
      <c r="G14" s="667">
        <f t="shared" si="0"/>
        <v>0</v>
      </c>
      <c r="H14" s="667">
        <f t="shared" si="0"/>
        <v>0</v>
      </c>
      <c r="I14" s="667">
        <f t="shared" si="0"/>
        <v>0</v>
      </c>
      <c r="J14" s="667">
        <f t="shared" si="0"/>
        <v>8.0999999999999996E-3</v>
      </c>
      <c r="K14" s="667">
        <f t="shared" si="0"/>
        <v>0</v>
      </c>
      <c r="L14" s="667">
        <f t="shared" si="0"/>
        <v>0.1071</v>
      </c>
      <c r="M14" s="667">
        <f t="shared" si="0"/>
        <v>1.77E-2</v>
      </c>
      <c r="N14" s="667">
        <f t="shared" si="0"/>
        <v>1.3299999999999999E-2</v>
      </c>
      <c r="O14" s="667">
        <f t="shared" si="0"/>
        <v>6.2100000000000002E-2</v>
      </c>
      <c r="P14" s="674">
        <f t="shared" si="1"/>
        <v>1.0006999999999999</v>
      </c>
      <c r="S14" s="673">
        <f t="shared" ref="S14:S77" si="4">S13+1</f>
        <v>2001</v>
      </c>
      <c r="T14" s="675">
        <v>0</v>
      </c>
      <c r="U14" s="675">
        <v>5</v>
      </c>
      <c r="V14" s="676">
        <f>T14*U14</f>
        <v>0</v>
      </c>
      <c r="W14" s="677">
        <v>1</v>
      </c>
      <c r="X14" s="678">
        <f t="shared" si="2"/>
        <v>0</v>
      </c>
    </row>
    <row r="15" spans="2:30">
      <c r="B15" s="673">
        <f t="shared" si="3"/>
        <v>2002</v>
      </c>
      <c r="C15" s="665">
        <f>'[2]Fraksi pengelolaan sampah BaU'!C32</f>
        <v>33.537048336000005</v>
      </c>
      <c r="D15" s="666">
        <v>1</v>
      </c>
      <c r="E15" s="667">
        <f t="shared" si="0"/>
        <v>0.66390000000000005</v>
      </c>
      <c r="F15" s="667">
        <f t="shared" si="0"/>
        <v>0.1285</v>
      </c>
      <c r="G15" s="667">
        <f t="shared" si="0"/>
        <v>0</v>
      </c>
      <c r="H15" s="667">
        <f t="shared" si="0"/>
        <v>0</v>
      </c>
      <c r="I15" s="667">
        <f t="shared" si="0"/>
        <v>0</v>
      </c>
      <c r="J15" s="667">
        <f t="shared" si="0"/>
        <v>8.0999999999999996E-3</v>
      </c>
      <c r="K15" s="667">
        <f t="shared" si="0"/>
        <v>0</v>
      </c>
      <c r="L15" s="667">
        <f t="shared" si="0"/>
        <v>0.1071</v>
      </c>
      <c r="M15" s="667">
        <f t="shared" si="0"/>
        <v>1.77E-2</v>
      </c>
      <c r="N15" s="667">
        <f t="shared" si="0"/>
        <v>1.3299999999999999E-2</v>
      </c>
      <c r="O15" s="667">
        <f t="shared" si="0"/>
        <v>6.2100000000000002E-2</v>
      </c>
      <c r="P15" s="674">
        <f t="shared" si="1"/>
        <v>1.0006999999999999</v>
      </c>
      <c r="S15" s="673">
        <f t="shared" si="4"/>
        <v>2002</v>
      </c>
      <c r="T15" s="675">
        <v>0</v>
      </c>
      <c r="U15" s="675">
        <v>5</v>
      </c>
      <c r="V15" s="676">
        <f t="shared" ref="V15:V78" si="5">T15*U15</f>
        <v>0</v>
      </c>
      <c r="W15" s="677">
        <v>1</v>
      </c>
      <c r="X15" s="678">
        <f t="shared" si="2"/>
        <v>0</v>
      </c>
    </row>
    <row r="16" spans="2:30">
      <c r="B16" s="673">
        <f t="shared" si="3"/>
        <v>2003</v>
      </c>
      <c r="C16" s="665">
        <f>'[2]Fraksi pengelolaan sampah BaU'!C33</f>
        <v>34.611318323999996</v>
      </c>
      <c r="D16" s="666">
        <v>1</v>
      </c>
      <c r="E16" s="667">
        <f t="shared" si="0"/>
        <v>0.66390000000000005</v>
      </c>
      <c r="F16" s="667">
        <f t="shared" si="0"/>
        <v>0.1285</v>
      </c>
      <c r="G16" s="667">
        <f t="shared" si="0"/>
        <v>0</v>
      </c>
      <c r="H16" s="667">
        <f t="shared" si="0"/>
        <v>0</v>
      </c>
      <c r="I16" s="667">
        <f t="shared" si="0"/>
        <v>0</v>
      </c>
      <c r="J16" s="667">
        <f t="shared" si="0"/>
        <v>8.0999999999999996E-3</v>
      </c>
      <c r="K16" s="667">
        <f t="shared" si="0"/>
        <v>0</v>
      </c>
      <c r="L16" s="667">
        <f t="shared" si="0"/>
        <v>0.1071</v>
      </c>
      <c r="M16" s="667">
        <f t="shared" si="0"/>
        <v>1.77E-2</v>
      </c>
      <c r="N16" s="667">
        <f t="shared" si="0"/>
        <v>1.3299999999999999E-2</v>
      </c>
      <c r="O16" s="667">
        <f t="shared" si="0"/>
        <v>6.2100000000000002E-2</v>
      </c>
      <c r="P16" s="674">
        <f t="shared" si="1"/>
        <v>1.0006999999999999</v>
      </c>
      <c r="S16" s="673">
        <f t="shared" si="4"/>
        <v>2003</v>
      </c>
      <c r="T16" s="675">
        <v>0</v>
      </c>
      <c r="U16" s="675">
        <v>5</v>
      </c>
      <c r="V16" s="676">
        <f t="shared" si="5"/>
        <v>0</v>
      </c>
      <c r="W16" s="677">
        <v>1</v>
      </c>
      <c r="X16" s="678">
        <f t="shared" si="2"/>
        <v>0</v>
      </c>
    </row>
    <row r="17" spans="2:24">
      <c r="B17" s="673">
        <f t="shared" si="3"/>
        <v>2004</v>
      </c>
      <c r="C17" s="665">
        <f>'[2]Fraksi pengelolaan sampah BaU'!C34</f>
        <v>35.013607067999999</v>
      </c>
      <c r="D17" s="666">
        <v>1</v>
      </c>
      <c r="E17" s="667">
        <f t="shared" si="0"/>
        <v>0.66390000000000005</v>
      </c>
      <c r="F17" s="667">
        <f t="shared" si="0"/>
        <v>0.1285</v>
      </c>
      <c r="G17" s="667">
        <f t="shared" si="0"/>
        <v>0</v>
      </c>
      <c r="H17" s="667">
        <f t="shared" si="0"/>
        <v>0</v>
      </c>
      <c r="I17" s="667">
        <f t="shared" si="0"/>
        <v>0</v>
      </c>
      <c r="J17" s="667">
        <f t="shared" si="0"/>
        <v>8.0999999999999996E-3</v>
      </c>
      <c r="K17" s="667">
        <f t="shared" si="0"/>
        <v>0</v>
      </c>
      <c r="L17" s="667">
        <f t="shared" si="0"/>
        <v>0.1071</v>
      </c>
      <c r="M17" s="667">
        <f t="shared" si="0"/>
        <v>1.77E-2</v>
      </c>
      <c r="N17" s="667">
        <f t="shared" si="0"/>
        <v>1.3299999999999999E-2</v>
      </c>
      <c r="O17" s="667">
        <f t="shared" si="0"/>
        <v>6.2100000000000002E-2</v>
      </c>
      <c r="P17" s="674">
        <f t="shared" si="1"/>
        <v>1.0006999999999999</v>
      </c>
      <c r="S17" s="673">
        <f t="shared" si="4"/>
        <v>2004</v>
      </c>
      <c r="T17" s="675">
        <v>0</v>
      </c>
      <c r="U17" s="675">
        <v>5</v>
      </c>
      <c r="V17" s="676">
        <f t="shared" si="5"/>
        <v>0</v>
      </c>
      <c r="W17" s="677">
        <v>1</v>
      </c>
      <c r="X17" s="678">
        <f t="shared" si="2"/>
        <v>0</v>
      </c>
    </row>
    <row r="18" spans="2:24">
      <c r="B18" s="673">
        <f t="shared" si="3"/>
        <v>2005</v>
      </c>
      <c r="C18" s="665">
        <f>'[2]Fraksi pengelolaan sampah BaU'!C35</f>
        <v>35.986904183999997</v>
      </c>
      <c r="D18" s="666">
        <v>1</v>
      </c>
      <c r="E18" s="667">
        <f t="shared" si="0"/>
        <v>0.66390000000000005</v>
      </c>
      <c r="F18" s="667">
        <f t="shared" si="0"/>
        <v>0.1285</v>
      </c>
      <c r="G18" s="667">
        <f t="shared" si="0"/>
        <v>0</v>
      </c>
      <c r="H18" s="667">
        <f t="shared" si="0"/>
        <v>0</v>
      </c>
      <c r="I18" s="667">
        <f t="shared" si="0"/>
        <v>0</v>
      </c>
      <c r="J18" s="667">
        <f t="shared" si="0"/>
        <v>8.0999999999999996E-3</v>
      </c>
      <c r="K18" s="667">
        <f t="shared" si="0"/>
        <v>0</v>
      </c>
      <c r="L18" s="667">
        <f t="shared" si="0"/>
        <v>0.1071</v>
      </c>
      <c r="M18" s="667">
        <f t="shared" si="0"/>
        <v>1.77E-2</v>
      </c>
      <c r="N18" s="667">
        <f t="shared" si="0"/>
        <v>1.3299999999999999E-2</v>
      </c>
      <c r="O18" s="667">
        <f t="shared" si="0"/>
        <v>6.2100000000000002E-2</v>
      </c>
      <c r="P18" s="674">
        <f t="shared" si="1"/>
        <v>1.0006999999999999</v>
      </c>
      <c r="S18" s="673">
        <f t="shared" si="4"/>
        <v>2005</v>
      </c>
      <c r="T18" s="675">
        <v>0</v>
      </c>
      <c r="U18" s="675">
        <v>5</v>
      </c>
      <c r="V18" s="676">
        <f t="shared" si="5"/>
        <v>0</v>
      </c>
      <c r="W18" s="677">
        <v>1</v>
      </c>
      <c r="X18" s="678">
        <f t="shared" si="2"/>
        <v>0</v>
      </c>
    </row>
    <row r="19" spans="2:24">
      <c r="B19" s="673">
        <f t="shared" si="3"/>
        <v>2006</v>
      </c>
      <c r="C19" s="665">
        <f>'[2]Fraksi pengelolaan sampah BaU'!C36</f>
        <v>36.401953236000004</v>
      </c>
      <c r="D19" s="666">
        <v>1</v>
      </c>
      <c r="E19" s="667">
        <f t="shared" si="0"/>
        <v>0.66390000000000005</v>
      </c>
      <c r="F19" s="667">
        <f t="shared" si="0"/>
        <v>0.1285</v>
      </c>
      <c r="G19" s="667">
        <f t="shared" si="0"/>
        <v>0</v>
      </c>
      <c r="H19" s="667">
        <f t="shared" si="0"/>
        <v>0</v>
      </c>
      <c r="I19" s="667">
        <f t="shared" si="0"/>
        <v>0</v>
      </c>
      <c r="J19" s="667">
        <f t="shared" si="0"/>
        <v>8.0999999999999996E-3</v>
      </c>
      <c r="K19" s="667">
        <f t="shared" si="0"/>
        <v>0</v>
      </c>
      <c r="L19" s="667">
        <f t="shared" si="0"/>
        <v>0.1071</v>
      </c>
      <c r="M19" s="667">
        <f t="shared" si="0"/>
        <v>1.77E-2</v>
      </c>
      <c r="N19" s="667">
        <f t="shared" si="0"/>
        <v>1.3299999999999999E-2</v>
      </c>
      <c r="O19" s="667">
        <f t="shared" si="0"/>
        <v>6.2100000000000002E-2</v>
      </c>
      <c r="P19" s="674">
        <f t="shared" si="1"/>
        <v>1.0006999999999999</v>
      </c>
      <c r="S19" s="673">
        <f t="shared" si="4"/>
        <v>2006</v>
      </c>
      <c r="T19" s="675">
        <v>0</v>
      </c>
      <c r="U19" s="675">
        <v>5</v>
      </c>
      <c r="V19" s="676">
        <f t="shared" si="5"/>
        <v>0</v>
      </c>
      <c r="W19" s="677">
        <v>1</v>
      </c>
      <c r="X19" s="678">
        <f t="shared" si="2"/>
        <v>0</v>
      </c>
    </row>
    <row r="20" spans="2:24">
      <c r="B20" s="673">
        <f t="shared" si="3"/>
        <v>2007</v>
      </c>
      <c r="C20" s="665">
        <f>'[2]Fraksi pengelolaan sampah BaU'!C37</f>
        <v>36.806091300000006</v>
      </c>
      <c r="D20" s="666">
        <v>1</v>
      </c>
      <c r="E20" s="667">
        <f t="shared" si="0"/>
        <v>0.66390000000000005</v>
      </c>
      <c r="F20" s="667">
        <f t="shared" si="0"/>
        <v>0.1285</v>
      </c>
      <c r="G20" s="667">
        <f t="shared" si="0"/>
        <v>0</v>
      </c>
      <c r="H20" s="667">
        <f t="shared" si="0"/>
        <v>0</v>
      </c>
      <c r="I20" s="667">
        <f t="shared" si="0"/>
        <v>0</v>
      </c>
      <c r="J20" s="667">
        <f t="shared" si="0"/>
        <v>8.0999999999999996E-3</v>
      </c>
      <c r="K20" s="667">
        <f t="shared" si="0"/>
        <v>0</v>
      </c>
      <c r="L20" s="667">
        <f t="shared" si="0"/>
        <v>0.1071</v>
      </c>
      <c r="M20" s="667">
        <f t="shared" si="0"/>
        <v>1.77E-2</v>
      </c>
      <c r="N20" s="667">
        <f t="shared" si="0"/>
        <v>1.3299999999999999E-2</v>
      </c>
      <c r="O20" s="667">
        <f t="shared" si="0"/>
        <v>6.2100000000000002E-2</v>
      </c>
      <c r="P20" s="674">
        <f t="shared" si="1"/>
        <v>1.0006999999999999</v>
      </c>
      <c r="S20" s="673">
        <f t="shared" si="4"/>
        <v>2007</v>
      </c>
      <c r="T20" s="675">
        <v>0</v>
      </c>
      <c r="U20" s="675">
        <v>5</v>
      </c>
      <c r="V20" s="676">
        <f t="shared" si="5"/>
        <v>0</v>
      </c>
      <c r="W20" s="677">
        <v>1</v>
      </c>
      <c r="X20" s="678">
        <f t="shared" si="2"/>
        <v>0</v>
      </c>
    </row>
    <row r="21" spans="2:24">
      <c r="B21" s="673">
        <f t="shared" si="3"/>
        <v>2008</v>
      </c>
      <c r="C21" s="665">
        <f>'[2]Fraksi pengelolaan sampah BaU'!C38</f>
        <v>37.195311515999997</v>
      </c>
      <c r="D21" s="666">
        <v>1</v>
      </c>
      <c r="E21" s="667">
        <f t="shared" si="0"/>
        <v>0.66390000000000005</v>
      </c>
      <c r="F21" s="667">
        <f t="shared" si="0"/>
        <v>0.1285</v>
      </c>
      <c r="G21" s="667">
        <f t="shared" si="0"/>
        <v>0</v>
      </c>
      <c r="H21" s="667">
        <f t="shared" si="0"/>
        <v>0</v>
      </c>
      <c r="I21" s="667">
        <f t="shared" si="0"/>
        <v>0</v>
      </c>
      <c r="J21" s="667">
        <f t="shared" si="0"/>
        <v>8.0999999999999996E-3</v>
      </c>
      <c r="K21" s="667">
        <f t="shared" si="0"/>
        <v>0</v>
      </c>
      <c r="L21" s="667">
        <f t="shared" si="0"/>
        <v>0.1071</v>
      </c>
      <c r="M21" s="667">
        <f t="shared" si="0"/>
        <v>1.77E-2</v>
      </c>
      <c r="N21" s="667">
        <f t="shared" si="0"/>
        <v>1.3299999999999999E-2</v>
      </c>
      <c r="O21" s="667">
        <f t="shared" si="0"/>
        <v>6.2100000000000002E-2</v>
      </c>
      <c r="P21" s="674">
        <f t="shared" si="1"/>
        <v>1.0006999999999999</v>
      </c>
      <c r="S21" s="673">
        <f t="shared" si="4"/>
        <v>2008</v>
      </c>
      <c r="T21" s="675">
        <v>0</v>
      </c>
      <c r="U21" s="675">
        <v>5</v>
      </c>
      <c r="V21" s="676">
        <f t="shared" si="5"/>
        <v>0</v>
      </c>
      <c r="W21" s="677">
        <v>1</v>
      </c>
      <c r="X21" s="678">
        <f t="shared" si="2"/>
        <v>0</v>
      </c>
    </row>
    <row r="22" spans="2:24">
      <c r="B22" s="673">
        <f t="shared" si="3"/>
        <v>2009</v>
      </c>
      <c r="C22" s="665">
        <f>'[2]Fraksi pengelolaan sampah BaU'!C39</f>
        <v>37.564620720000001</v>
      </c>
      <c r="D22" s="666">
        <v>1</v>
      </c>
      <c r="E22" s="667">
        <f t="shared" si="0"/>
        <v>0.66390000000000005</v>
      </c>
      <c r="F22" s="667">
        <f t="shared" si="0"/>
        <v>0.1285</v>
      </c>
      <c r="G22" s="667">
        <f t="shared" si="0"/>
        <v>0</v>
      </c>
      <c r="H22" s="667">
        <f t="shared" si="0"/>
        <v>0</v>
      </c>
      <c r="I22" s="667">
        <f t="shared" si="0"/>
        <v>0</v>
      </c>
      <c r="J22" s="667">
        <f t="shared" si="0"/>
        <v>8.0999999999999996E-3</v>
      </c>
      <c r="K22" s="667">
        <f t="shared" si="0"/>
        <v>0</v>
      </c>
      <c r="L22" s="667">
        <f t="shared" si="0"/>
        <v>0.1071</v>
      </c>
      <c r="M22" s="667">
        <f t="shared" si="0"/>
        <v>1.77E-2</v>
      </c>
      <c r="N22" s="667">
        <f t="shared" si="0"/>
        <v>1.3299999999999999E-2</v>
      </c>
      <c r="O22" s="667">
        <f t="shared" si="0"/>
        <v>6.2100000000000002E-2</v>
      </c>
      <c r="P22" s="674">
        <f t="shared" si="1"/>
        <v>1.0006999999999999</v>
      </c>
      <c r="S22" s="673">
        <f t="shared" si="4"/>
        <v>2009</v>
      </c>
      <c r="T22" s="675">
        <v>0</v>
      </c>
      <c r="U22" s="675">
        <v>5</v>
      </c>
      <c r="V22" s="676">
        <f t="shared" si="5"/>
        <v>0</v>
      </c>
      <c r="W22" s="677">
        <v>1</v>
      </c>
      <c r="X22" s="678">
        <f t="shared" si="2"/>
        <v>0</v>
      </c>
    </row>
    <row r="23" spans="2:24">
      <c r="B23" s="673">
        <f t="shared" si="3"/>
        <v>2010</v>
      </c>
      <c r="C23" s="665">
        <f>'[2]Fraksi pengelolaan sampah BaU'!C40</f>
        <v>44.846010000000007</v>
      </c>
      <c r="D23" s="666">
        <v>1</v>
      </c>
      <c r="E23" s="667">
        <f t="shared" ref="E23:O38" si="6">E$8</f>
        <v>0.66390000000000005</v>
      </c>
      <c r="F23" s="667">
        <f t="shared" si="6"/>
        <v>0.1285</v>
      </c>
      <c r="G23" s="667">
        <f t="shared" si="0"/>
        <v>0</v>
      </c>
      <c r="H23" s="667">
        <f t="shared" si="6"/>
        <v>0</v>
      </c>
      <c r="I23" s="667">
        <f t="shared" si="0"/>
        <v>0</v>
      </c>
      <c r="J23" s="667">
        <f t="shared" si="6"/>
        <v>8.0999999999999996E-3</v>
      </c>
      <c r="K23" s="667">
        <f t="shared" si="6"/>
        <v>0</v>
      </c>
      <c r="L23" s="667">
        <f t="shared" si="6"/>
        <v>0.1071</v>
      </c>
      <c r="M23" s="667">
        <f t="shared" si="6"/>
        <v>1.77E-2</v>
      </c>
      <c r="N23" s="667">
        <f t="shared" si="6"/>
        <v>1.3299999999999999E-2</v>
      </c>
      <c r="O23" s="667">
        <f t="shared" si="6"/>
        <v>6.2100000000000002E-2</v>
      </c>
      <c r="P23" s="674">
        <f t="shared" si="1"/>
        <v>1.0006999999999999</v>
      </c>
      <c r="S23" s="673">
        <f t="shared" si="4"/>
        <v>2010</v>
      </c>
      <c r="T23" s="675">
        <v>0</v>
      </c>
      <c r="U23" s="675">
        <v>5</v>
      </c>
      <c r="V23" s="676">
        <f t="shared" si="5"/>
        <v>0</v>
      </c>
      <c r="W23" s="677">
        <v>1</v>
      </c>
      <c r="X23" s="678">
        <f t="shared" si="2"/>
        <v>0</v>
      </c>
    </row>
    <row r="24" spans="2:24">
      <c r="B24" s="673">
        <f t="shared" si="3"/>
        <v>2011</v>
      </c>
      <c r="C24" s="679"/>
      <c r="D24" s="666">
        <v>1</v>
      </c>
      <c r="E24" s="667">
        <f t="shared" si="6"/>
        <v>0.66390000000000005</v>
      </c>
      <c r="F24" s="667">
        <f t="shared" si="6"/>
        <v>0.1285</v>
      </c>
      <c r="G24" s="667">
        <f t="shared" si="0"/>
        <v>0</v>
      </c>
      <c r="H24" s="667">
        <f t="shared" si="6"/>
        <v>0</v>
      </c>
      <c r="I24" s="667">
        <f t="shared" si="0"/>
        <v>0</v>
      </c>
      <c r="J24" s="667">
        <f t="shared" si="6"/>
        <v>8.0999999999999996E-3</v>
      </c>
      <c r="K24" s="667">
        <f t="shared" si="6"/>
        <v>0</v>
      </c>
      <c r="L24" s="667">
        <f t="shared" si="6"/>
        <v>0.1071</v>
      </c>
      <c r="M24" s="667">
        <f t="shared" si="6"/>
        <v>1.77E-2</v>
      </c>
      <c r="N24" s="667">
        <f t="shared" si="6"/>
        <v>1.3299999999999999E-2</v>
      </c>
      <c r="O24" s="667">
        <f t="shared" si="6"/>
        <v>6.2100000000000002E-2</v>
      </c>
      <c r="P24" s="674">
        <f t="shared" si="1"/>
        <v>1.0006999999999999</v>
      </c>
      <c r="S24" s="673">
        <f t="shared" si="4"/>
        <v>2011</v>
      </c>
      <c r="T24" s="675">
        <v>0</v>
      </c>
      <c r="U24" s="675">
        <v>5</v>
      </c>
      <c r="V24" s="676">
        <f t="shared" si="5"/>
        <v>0</v>
      </c>
      <c r="W24" s="677">
        <v>1</v>
      </c>
      <c r="X24" s="678">
        <f t="shared" si="2"/>
        <v>0</v>
      </c>
    </row>
    <row r="25" spans="2:24">
      <c r="B25" s="673">
        <f t="shared" si="3"/>
        <v>2012</v>
      </c>
      <c r="C25" s="679"/>
      <c r="D25" s="666">
        <v>1</v>
      </c>
      <c r="E25" s="667">
        <f t="shared" si="6"/>
        <v>0.66390000000000005</v>
      </c>
      <c r="F25" s="667">
        <f t="shared" si="6"/>
        <v>0.1285</v>
      </c>
      <c r="G25" s="667">
        <f t="shared" si="0"/>
        <v>0</v>
      </c>
      <c r="H25" s="667">
        <f t="shared" si="6"/>
        <v>0</v>
      </c>
      <c r="I25" s="667">
        <f t="shared" si="0"/>
        <v>0</v>
      </c>
      <c r="J25" s="667">
        <f t="shared" si="6"/>
        <v>8.0999999999999996E-3</v>
      </c>
      <c r="K25" s="667">
        <f t="shared" si="6"/>
        <v>0</v>
      </c>
      <c r="L25" s="667">
        <f t="shared" si="6"/>
        <v>0.1071</v>
      </c>
      <c r="M25" s="667">
        <f t="shared" si="6"/>
        <v>1.77E-2</v>
      </c>
      <c r="N25" s="667">
        <f t="shared" si="6"/>
        <v>1.3299999999999999E-2</v>
      </c>
      <c r="O25" s="667">
        <f t="shared" si="6"/>
        <v>6.2100000000000002E-2</v>
      </c>
      <c r="P25" s="674">
        <f t="shared" si="1"/>
        <v>1.0006999999999999</v>
      </c>
      <c r="S25" s="673">
        <f t="shared" si="4"/>
        <v>2012</v>
      </c>
      <c r="T25" s="675">
        <v>0</v>
      </c>
      <c r="U25" s="675">
        <v>5</v>
      </c>
      <c r="V25" s="676">
        <f t="shared" si="5"/>
        <v>0</v>
      </c>
      <c r="W25" s="677">
        <v>1</v>
      </c>
      <c r="X25" s="678">
        <f t="shared" si="2"/>
        <v>0</v>
      </c>
    </row>
    <row r="26" spans="2:24">
      <c r="B26" s="673">
        <f t="shared" si="3"/>
        <v>2013</v>
      </c>
      <c r="C26" s="679"/>
      <c r="D26" s="666">
        <v>1</v>
      </c>
      <c r="E26" s="667">
        <f t="shared" si="6"/>
        <v>0.66390000000000005</v>
      </c>
      <c r="F26" s="667">
        <f t="shared" si="6"/>
        <v>0.1285</v>
      </c>
      <c r="G26" s="667">
        <f t="shared" si="0"/>
        <v>0</v>
      </c>
      <c r="H26" s="667">
        <f t="shared" si="6"/>
        <v>0</v>
      </c>
      <c r="I26" s="667">
        <f t="shared" si="0"/>
        <v>0</v>
      </c>
      <c r="J26" s="667">
        <f t="shared" si="6"/>
        <v>8.0999999999999996E-3</v>
      </c>
      <c r="K26" s="667">
        <f t="shared" si="6"/>
        <v>0</v>
      </c>
      <c r="L26" s="667">
        <f t="shared" si="6"/>
        <v>0.1071</v>
      </c>
      <c r="M26" s="667">
        <f t="shared" si="6"/>
        <v>1.77E-2</v>
      </c>
      <c r="N26" s="667">
        <f t="shared" si="6"/>
        <v>1.3299999999999999E-2</v>
      </c>
      <c r="O26" s="667">
        <f t="shared" si="6"/>
        <v>6.2100000000000002E-2</v>
      </c>
      <c r="P26" s="674">
        <f t="shared" si="1"/>
        <v>1.0006999999999999</v>
      </c>
      <c r="S26" s="673">
        <f t="shared" si="4"/>
        <v>2013</v>
      </c>
      <c r="T26" s="675">
        <v>0</v>
      </c>
      <c r="U26" s="675">
        <v>5</v>
      </c>
      <c r="V26" s="676">
        <f t="shared" si="5"/>
        <v>0</v>
      </c>
      <c r="W26" s="677">
        <v>1</v>
      </c>
      <c r="X26" s="678">
        <f t="shared" si="2"/>
        <v>0</v>
      </c>
    </row>
    <row r="27" spans="2:24">
      <c r="B27" s="673">
        <f t="shared" si="3"/>
        <v>2014</v>
      </c>
      <c r="C27" s="679"/>
      <c r="D27" s="666">
        <v>1</v>
      </c>
      <c r="E27" s="667">
        <f t="shared" si="6"/>
        <v>0.66390000000000005</v>
      </c>
      <c r="F27" s="667">
        <f t="shared" si="6"/>
        <v>0.1285</v>
      </c>
      <c r="G27" s="667">
        <f t="shared" si="0"/>
        <v>0</v>
      </c>
      <c r="H27" s="667">
        <f t="shared" si="6"/>
        <v>0</v>
      </c>
      <c r="I27" s="667">
        <f t="shared" si="0"/>
        <v>0</v>
      </c>
      <c r="J27" s="667">
        <f t="shared" si="6"/>
        <v>8.0999999999999996E-3</v>
      </c>
      <c r="K27" s="667">
        <f t="shared" si="6"/>
        <v>0</v>
      </c>
      <c r="L27" s="667">
        <f t="shared" si="6"/>
        <v>0.1071</v>
      </c>
      <c r="M27" s="667">
        <f t="shared" si="6"/>
        <v>1.77E-2</v>
      </c>
      <c r="N27" s="667">
        <f t="shared" si="6"/>
        <v>1.3299999999999999E-2</v>
      </c>
      <c r="O27" s="667">
        <f t="shared" si="6"/>
        <v>6.2100000000000002E-2</v>
      </c>
      <c r="P27" s="674">
        <f t="shared" si="1"/>
        <v>1.0006999999999999</v>
      </c>
      <c r="S27" s="673">
        <f t="shared" si="4"/>
        <v>2014</v>
      </c>
      <c r="T27" s="675">
        <v>0</v>
      </c>
      <c r="U27" s="675">
        <v>5</v>
      </c>
      <c r="V27" s="676">
        <f t="shared" si="5"/>
        <v>0</v>
      </c>
      <c r="W27" s="677">
        <v>1</v>
      </c>
      <c r="X27" s="678">
        <f t="shared" si="2"/>
        <v>0</v>
      </c>
    </row>
    <row r="28" spans="2:24">
      <c r="B28" s="673">
        <f t="shared" si="3"/>
        <v>2015</v>
      </c>
      <c r="C28" s="679"/>
      <c r="D28" s="666">
        <v>1</v>
      </c>
      <c r="E28" s="667">
        <f t="shared" si="6"/>
        <v>0.66390000000000005</v>
      </c>
      <c r="F28" s="667">
        <f t="shared" si="6"/>
        <v>0.1285</v>
      </c>
      <c r="G28" s="667">
        <f t="shared" si="0"/>
        <v>0</v>
      </c>
      <c r="H28" s="667">
        <f t="shared" si="6"/>
        <v>0</v>
      </c>
      <c r="I28" s="667">
        <f t="shared" si="0"/>
        <v>0</v>
      </c>
      <c r="J28" s="667">
        <f t="shared" si="6"/>
        <v>8.0999999999999996E-3</v>
      </c>
      <c r="K28" s="667">
        <f t="shared" si="6"/>
        <v>0</v>
      </c>
      <c r="L28" s="667">
        <f t="shared" si="6"/>
        <v>0.1071</v>
      </c>
      <c r="M28" s="667">
        <f t="shared" si="6"/>
        <v>1.77E-2</v>
      </c>
      <c r="N28" s="667">
        <f t="shared" si="6"/>
        <v>1.3299999999999999E-2</v>
      </c>
      <c r="O28" s="667">
        <f t="shared" si="6"/>
        <v>6.2100000000000002E-2</v>
      </c>
      <c r="P28" s="674">
        <f t="shared" si="1"/>
        <v>1.0006999999999999</v>
      </c>
      <c r="S28" s="673">
        <f t="shared" si="4"/>
        <v>2015</v>
      </c>
      <c r="T28" s="675">
        <v>0</v>
      </c>
      <c r="U28" s="675">
        <v>5</v>
      </c>
      <c r="V28" s="676">
        <f t="shared" si="5"/>
        <v>0</v>
      </c>
      <c r="W28" s="677">
        <v>1</v>
      </c>
      <c r="X28" s="678">
        <f t="shared" si="2"/>
        <v>0</v>
      </c>
    </row>
    <row r="29" spans="2:24">
      <c r="B29" s="673">
        <f t="shared" si="3"/>
        <v>2016</v>
      </c>
      <c r="C29" s="679"/>
      <c r="D29" s="666">
        <v>1</v>
      </c>
      <c r="E29" s="667">
        <f t="shared" si="6"/>
        <v>0.66390000000000005</v>
      </c>
      <c r="F29" s="667">
        <f t="shared" si="6"/>
        <v>0.1285</v>
      </c>
      <c r="G29" s="667">
        <f t="shared" si="6"/>
        <v>0</v>
      </c>
      <c r="H29" s="667">
        <f t="shared" si="6"/>
        <v>0</v>
      </c>
      <c r="I29" s="667">
        <f t="shared" si="6"/>
        <v>0</v>
      </c>
      <c r="J29" s="667">
        <f t="shared" si="6"/>
        <v>8.0999999999999996E-3</v>
      </c>
      <c r="K29" s="667">
        <f t="shared" si="6"/>
        <v>0</v>
      </c>
      <c r="L29" s="667">
        <f t="shared" si="6"/>
        <v>0.1071</v>
      </c>
      <c r="M29" s="667">
        <f t="shared" si="6"/>
        <v>1.77E-2</v>
      </c>
      <c r="N29" s="667">
        <f t="shared" si="6"/>
        <v>1.3299999999999999E-2</v>
      </c>
      <c r="O29" s="667">
        <f t="shared" si="6"/>
        <v>6.2100000000000002E-2</v>
      </c>
      <c r="P29" s="674">
        <f t="shared" si="1"/>
        <v>1.0006999999999999</v>
      </c>
      <c r="S29" s="673">
        <f t="shared" si="4"/>
        <v>2016</v>
      </c>
      <c r="T29" s="675">
        <v>0</v>
      </c>
      <c r="U29" s="675">
        <v>5</v>
      </c>
      <c r="V29" s="676">
        <f t="shared" si="5"/>
        <v>0</v>
      </c>
      <c r="W29" s="677">
        <v>1</v>
      </c>
      <c r="X29" s="678">
        <f t="shared" si="2"/>
        <v>0</v>
      </c>
    </row>
    <row r="30" spans="2:24">
      <c r="B30" s="673">
        <f t="shared" si="3"/>
        <v>2017</v>
      </c>
      <c r="C30" s="679"/>
      <c r="D30" s="666">
        <v>1</v>
      </c>
      <c r="E30" s="667">
        <f t="shared" si="6"/>
        <v>0.66390000000000005</v>
      </c>
      <c r="F30" s="667">
        <f t="shared" si="6"/>
        <v>0.1285</v>
      </c>
      <c r="G30" s="667">
        <f t="shared" si="6"/>
        <v>0</v>
      </c>
      <c r="H30" s="667">
        <f t="shared" si="6"/>
        <v>0</v>
      </c>
      <c r="I30" s="667">
        <f t="shared" si="6"/>
        <v>0</v>
      </c>
      <c r="J30" s="667">
        <f t="shared" si="6"/>
        <v>8.0999999999999996E-3</v>
      </c>
      <c r="K30" s="667">
        <f t="shared" si="6"/>
        <v>0</v>
      </c>
      <c r="L30" s="667">
        <f t="shared" si="6"/>
        <v>0.1071</v>
      </c>
      <c r="M30" s="667">
        <f t="shared" si="6"/>
        <v>1.77E-2</v>
      </c>
      <c r="N30" s="667">
        <f t="shared" si="6"/>
        <v>1.3299999999999999E-2</v>
      </c>
      <c r="O30" s="667">
        <f t="shared" si="6"/>
        <v>6.2100000000000002E-2</v>
      </c>
      <c r="P30" s="674">
        <f t="shared" si="1"/>
        <v>1.0006999999999999</v>
      </c>
      <c r="S30" s="673">
        <f t="shared" si="4"/>
        <v>2017</v>
      </c>
      <c r="T30" s="675">
        <v>0</v>
      </c>
      <c r="U30" s="675">
        <v>5</v>
      </c>
      <c r="V30" s="676">
        <f t="shared" si="5"/>
        <v>0</v>
      </c>
      <c r="W30" s="677">
        <v>1</v>
      </c>
      <c r="X30" s="678">
        <f t="shared" si="2"/>
        <v>0</v>
      </c>
    </row>
    <row r="31" spans="2:24">
      <c r="B31" s="673">
        <f t="shared" si="3"/>
        <v>2018</v>
      </c>
      <c r="C31" s="679"/>
      <c r="D31" s="666">
        <v>1</v>
      </c>
      <c r="E31" s="667">
        <f t="shared" si="6"/>
        <v>0.66390000000000005</v>
      </c>
      <c r="F31" s="667">
        <f t="shared" si="6"/>
        <v>0.1285</v>
      </c>
      <c r="G31" s="667">
        <f t="shared" si="6"/>
        <v>0</v>
      </c>
      <c r="H31" s="667">
        <f t="shared" si="6"/>
        <v>0</v>
      </c>
      <c r="I31" s="667">
        <f t="shared" si="6"/>
        <v>0</v>
      </c>
      <c r="J31" s="667">
        <f t="shared" si="6"/>
        <v>8.0999999999999996E-3</v>
      </c>
      <c r="K31" s="667">
        <f t="shared" si="6"/>
        <v>0</v>
      </c>
      <c r="L31" s="667">
        <f t="shared" si="6"/>
        <v>0.1071</v>
      </c>
      <c r="M31" s="667">
        <f t="shared" si="6"/>
        <v>1.77E-2</v>
      </c>
      <c r="N31" s="667">
        <f t="shared" si="6"/>
        <v>1.3299999999999999E-2</v>
      </c>
      <c r="O31" s="667">
        <f t="shared" si="6"/>
        <v>6.2100000000000002E-2</v>
      </c>
      <c r="P31" s="674">
        <f t="shared" si="1"/>
        <v>1.0006999999999999</v>
      </c>
      <c r="S31" s="673">
        <f t="shared" si="4"/>
        <v>2018</v>
      </c>
      <c r="T31" s="675">
        <v>0</v>
      </c>
      <c r="U31" s="675">
        <v>5</v>
      </c>
      <c r="V31" s="676">
        <f t="shared" si="5"/>
        <v>0</v>
      </c>
      <c r="W31" s="677">
        <v>1</v>
      </c>
      <c r="X31" s="678">
        <f t="shared" si="2"/>
        <v>0</v>
      </c>
    </row>
    <row r="32" spans="2:24">
      <c r="B32" s="673">
        <f t="shared" si="3"/>
        <v>2019</v>
      </c>
      <c r="C32" s="679"/>
      <c r="D32" s="666">
        <v>1</v>
      </c>
      <c r="E32" s="667">
        <f t="shared" si="6"/>
        <v>0.66390000000000005</v>
      </c>
      <c r="F32" s="667">
        <f t="shared" si="6"/>
        <v>0.1285</v>
      </c>
      <c r="G32" s="667">
        <f t="shared" si="6"/>
        <v>0</v>
      </c>
      <c r="H32" s="667">
        <f t="shared" si="6"/>
        <v>0</v>
      </c>
      <c r="I32" s="667">
        <f t="shared" si="6"/>
        <v>0</v>
      </c>
      <c r="J32" s="667">
        <f t="shared" si="6"/>
        <v>8.0999999999999996E-3</v>
      </c>
      <c r="K32" s="667">
        <f t="shared" si="6"/>
        <v>0</v>
      </c>
      <c r="L32" s="667">
        <f t="shared" si="6"/>
        <v>0.1071</v>
      </c>
      <c r="M32" s="667">
        <f t="shared" si="6"/>
        <v>1.77E-2</v>
      </c>
      <c r="N32" s="667">
        <f t="shared" si="6"/>
        <v>1.3299999999999999E-2</v>
      </c>
      <c r="O32" s="667">
        <f t="shared" si="6"/>
        <v>6.2100000000000002E-2</v>
      </c>
      <c r="P32" s="674">
        <f t="shared" si="1"/>
        <v>1.0006999999999999</v>
      </c>
      <c r="S32" s="673">
        <f t="shared" si="4"/>
        <v>2019</v>
      </c>
      <c r="T32" s="675">
        <v>0</v>
      </c>
      <c r="U32" s="675">
        <v>5</v>
      </c>
      <c r="V32" s="676">
        <f t="shared" si="5"/>
        <v>0</v>
      </c>
      <c r="W32" s="677">
        <v>1</v>
      </c>
      <c r="X32" s="678">
        <f t="shared" si="2"/>
        <v>0</v>
      </c>
    </row>
    <row r="33" spans="2:24">
      <c r="B33" s="673">
        <f t="shared" si="3"/>
        <v>2020</v>
      </c>
      <c r="C33" s="679"/>
      <c r="D33" s="666">
        <v>1</v>
      </c>
      <c r="E33" s="667">
        <f t="shared" ref="E33:O48" si="7">E$8</f>
        <v>0.66390000000000005</v>
      </c>
      <c r="F33" s="667">
        <f t="shared" si="7"/>
        <v>0.1285</v>
      </c>
      <c r="G33" s="667">
        <f t="shared" si="6"/>
        <v>0</v>
      </c>
      <c r="H33" s="667">
        <f t="shared" si="7"/>
        <v>0</v>
      </c>
      <c r="I33" s="667">
        <f t="shared" si="6"/>
        <v>0</v>
      </c>
      <c r="J33" s="667">
        <f t="shared" si="7"/>
        <v>8.0999999999999996E-3</v>
      </c>
      <c r="K33" s="667">
        <f t="shared" si="7"/>
        <v>0</v>
      </c>
      <c r="L33" s="667">
        <f t="shared" si="7"/>
        <v>0.1071</v>
      </c>
      <c r="M33" s="667">
        <f t="shared" si="7"/>
        <v>1.77E-2</v>
      </c>
      <c r="N33" s="667">
        <f t="shared" si="7"/>
        <v>1.3299999999999999E-2</v>
      </c>
      <c r="O33" s="667">
        <f t="shared" si="7"/>
        <v>6.2100000000000002E-2</v>
      </c>
      <c r="P33" s="674">
        <f t="shared" si="1"/>
        <v>1.0006999999999999</v>
      </c>
      <c r="S33" s="673">
        <f t="shared" si="4"/>
        <v>2020</v>
      </c>
      <c r="T33" s="675">
        <v>0</v>
      </c>
      <c r="U33" s="675">
        <v>5</v>
      </c>
      <c r="V33" s="676">
        <f t="shared" si="5"/>
        <v>0</v>
      </c>
      <c r="W33" s="677">
        <v>1</v>
      </c>
      <c r="X33" s="678">
        <f t="shared" si="2"/>
        <v>0</v>
      </c>
    </row>
    <row r="34" spans="2:24">
      <c r="B34" s="673">
        <f t="shared" si="3"/>
        <v>2021</v>
      </c>
      <c r="C34" s="679"/>
      <c r="D34" s="666">
        <v>1</v>
      </c>
      <c r="E34" s="667">
        <f t="shared" si="7"/>
        <v>0.66390000000000005</v>
      </c>
      <c r="F34" s="667">
        <f t="shared" si="7"/>
        <v>0.1285</v>
      </c>
      <c r="G34" s="667">
        <f t="shared" si="6"/>
        <v>0</v>
      </c>
      <c r="H34" s="667">
        <f t="shared" si="7"/>
        <v>0</v>
      </c>
      <c r="I34" s="667">
        <f t="shared" si="6"/>
        <v>0</v>
      </c>
      <c r="J34" s="667">
        <f t="shared" si="7"/>
        <v>8.0999999999999996E-3</v>
      </c>
      <c r="K34" s="667">
        <f t="shared" si="7"/>
        <v>0</v>
      </c>
      <c r="L34" s="667">
        <f t="shared" si="7"/>
        <v>0.1071</v>
      </c>
      <c r="M34" s="667">
        <f t="shared" si="7"/>
        <v>1.77E-2</v>
      </c>
      <c r="N34" s="667">
        <f t="shared" si="7"/>
        <v>1.3299999999999999E-2</v>
      </c>
      <c r="O34" s="667">
        <f t="shared" si="7"/>
        <v>6.2100000000000002E-2</v>
      </c>
      <c r="P34" s="674">
        <f t="shared" si="1"/>
        <v>1.0006999999999999</v>
      </c>
      <c r="S34" s="673">
        <f t="shared" si="4"/>
        <v>2021</v>
      </c>
      <c r="T34" s="675">
        <v>0</v>
      </c>
      <c r="U34" s="675">
        <v>5</v>
      </c>
      <c r="V34" s="676">
        <f t="shared" si="5"/>
        <v>0</v>
      </c>
      <c r="W34" s="677">
        <v>1</v>
      </c>
      <c r="X34" s="678">
        <f t="shared" si="2"/>
        <v>0</v>
      </c>
    </row>
    <row r="35" spans="2:24">
      <c r="B35" s="673">
        <f t="shared" si="3"/>
        <v>2022</v>
      </c>
      <c r="C35" s="679"/>
      <c r="D35" s="666">
        <v>1</v>
      </c>
      <c r="E35" s="667">
        <f t="shared" si="7"/>
        <v>0.66390000000000005</v>
      </c>
      <c r="F35" s="667">
        <f t="shared" si="7"/>
        <v>0.1285</v>
      </c>
      <c r="G35" s="667">
        <f t="shared" si="6"/>
        <v>0</v>
      </c>
      <c r="H35" s="667">
        <f t="shared" si="7"/>
        <v>0</v>
      </c>
      <c r="I35" s="667">
        <f t="shared" si="6"/>
        <v>0</v>
      </c>
      <c r="J35" s="667">
        <f t="shared" si="7"/>
        <v>8.0999999999999996E-3</v>
      </c>
      <c r="K35" s="667">
        <f t="shared" si="7"/>
        <v>0</v>
      </c>
      <c r="L35" s="667">
        <f t="shared" si="7"/>
        <v>0.1071</v>
      </c>
      <c r="M35" s="667">
        <f t="shared" si="7"/>
        <v>1.77E-2</v>
      </c>
      <c r="N35" s="667">
        <f t="shared" si="7"/>
        <v>1.3299999999999999E-2</v>
      </c>
      <c r="O35" s="667">
        <f t="shared" si="7"/>
        <v>6.2100000000000002E-2</v>
      </c>
      <c r="P35" s="674">
        <f t="shared" si="1"/>
        <v>1.0006999999999999</v>
      </c>
      <c r="S35" s="673">
        <f t="shared" si="4"/>
        <v>2022</v>
      </c>
      <c r="T35" s="675">
        <v>0</v>
      </c>
      <c r="U35" s="675">
        <v>5</v>
      </c>
      <c r="V35" s="676">
        <f t="shared" si="5"/>
        <v>0</v>
      </c>
      <c r="W35" s="677">
        <v>1</v>
      </c>
      <c r="X35" s="678">
        <f t="shared" si="2"/>
        <v>0</v>
      </c>
    </row>
    <row r="36" spans="2:24">
      <c r="B36" s="673">
        <f t="shared" si="3"/>
        <v>2023</v>
      </c>
      <c r="C36" s="679"/>
      <c r="D36" s="666">
        <v>1</v>
      </c>
      <c r="E36" s="667">
        <f t="shared" si="7"/>
        <v>0.66390000000000005</v>
      </c>
      <c r="F36" s="667">
        <f t="shared" si="7"/>
        <v>0.1285</v>
      </c>
      <c r="G36" s="667">
        <f t="shared" si="6"/>
        <v>0</v>
      </c>
      <c r="H36" s="667">
        <f t="shared" si="7"/>
        <v>0</v>
      </c>
      <c r="I36" s="667">
        <f t="shared" si="6"/>
        <v>0</v>
      </c>
      <c r="J36" s="667">
        <f t="shared" si="7"/>
        <v>8.0999999999999996E-3</v>
      </c>
      <c r="K36" s="667">
        <f t="shared" si="7"/>
        <v>0</v>
      </c>
      <c r="L36" s="667">
        <f t="shared" si="7"/>
        <v>0.1071</v>
      </c>
      <c r="M36" s="667">
        <f t="shared" si="7"/>
        <v>1.77E-2</v>
      </c>
      <c r="N36" s="667">
        <f t="shared" si="7"/>
        <v>1.3299999999999999E-2</v>
      </c>
      <c r="O36" s="667">
        <f t="shared" si="7"/>
        <v>6.2100000000000002E-2</v>
      </c>
      <c r="P36" s="674">
        <f t="shared" si="1"/>
        <v>1.0006999999999999</v>
      </c>
      <c r="S36" s="673">
        <f t="shared" si="4"/>
        <v>2023</v>
      </c>
      <c r="T36" s="675">
        <v>0</v>
      </c>
      <c r="U36" s="675">
        <v>5</v>
      </c>
      <c r="V36" s="676">
        <f t="shared" si="5"/>
        <v>0</v>
      </c>
      <c r="W36" s="677">
        <v>1</v>
      </c>
      <c r="X36" s="678">
        <f t="shared" si="2"/>
        <v>0</v>
      </c>
    </row>
    <row r="37" spans="2:24">
      <c r="B37" s="673">
        <f t="shared" si="3"/>
        <v>2024</v>
      </c>
      <c r="C37" s="679"/>
      <c r="D37" s="666">
        <v>1</v>
      </c>
      <c r="E37" s="667">
        <f t="shared" si="7"/>
        <v>0.66390000000000005</v>
      </c>
      <c r="F37" s="667">
        <f t="shared" si="7"/>
        <v>0.1285</v>
      </c>
      <c r="G37" s="667">
        <f t="shared" si="6"/>
        <v>0</v>
      </c>
      <c r="H37" s="667">
        <f t="shared" si="7"/>
        <v>0</v>
      </c>
      <c r="I37" s="667">
        <f t="shared" si="6"/>
        <v>0</v>
      </c>
      <c r="J37" s="667">
        <f t="shared" si="7"/>
        <v>8.0999999999999996E-3</v>
      </c>
      <c r="K37" s="667">
        <f t="shared" si="7"/>
        <v>0</v>
      </c>
      <c r="L37" s="667">
        <f t="shared" si="7"/>
        <v>0.1071</v>
      </c>
      <c r="M37" s="667">
        <f t="shared" si="7"/>
        <v>1.77E-2</v>
      </c>
      <c r="N37" s="667">
        <f t="shared" si="7"/>
        <v>1.3299999999999999E-2</v>
      </c>
      <c r="O37" s="667">
        <f t="shared" si="7"/>
        <v>6.2100000000000002E-2</v>
      </c>
      <c r="P37" s="674">
        <f t="shared" si="1"/>
        <v>1.0006999999999999</v>
      </c>
      <c r="S37" s="673">
        <f t="shared" si="4"/>
        <v>2024</v>
      </c>
      <c r="T37" s="675">
        <v>0</v>
      </c>
      <c r="U37" s="675">
        <v>5</v>
      </c>
      <c r="V37" s="676">
        <f t="shared" si="5"/>
        <v>0</v>
      </c>
      <c r="W37" s="677">
        <v>1</v>
      </c>
      <c r="X37" s="678">
        <f t="shared" si="2"/>
        <v>0</v>
      </c>
    </row>
    <row r="38" spans="2:24">
      <c r="B38" s="673">
        <f t="shared" si="3"/>
        <v>2025</v>
      </c>
      <c r="C38" s="679"/>
      <c r="D38" s="666">
        <v>1</v>
      </c>
      <c r="E38" s="667">
        <f t="shared" si="7"/>
        <v>0.66390000000000005</v>
      </c>
      <c r="F38" s="667">
        <f t="shared" si="7"/>
        <v>0.1285</v>
      </c>
      <c r="G38" s="667">
        <f t="shared" si="6"/>
        <v>0</v>
      </c>
      <c r="H38" s="667">
        <f t="shared" si="7"/>
        <v>0</v>
      </c>
      <c r="I38" s="667">
        <f t="shared" si="6"/>
        <v>0</v>
      </c>
      <c r="J38" s="667">
        <f t="shared" si="7"/>
        <v>8.0999999999999996E-3</v>
      </c>
      <c r="K38" s="667">
        <f t="shared" si="7"/>
        <v>0</v>
      </c>
      <c r="L38" s="667">
        <f t="shared" si="7"/>
        <v>0.1071</v>
      </c>
      <c r="M38" s="667">
        <f t="shared" si="7"/>
        <v>1.77E-2</v>
      </c>
      <c r="N38" s="667">
        <f t="shared" si="7"/>
        <v>1.3299999999999999E-2</v>
      </c>
      <c r="O38" s="667">
        <f t="shared" si="7"/>
        <v>6.2100000000000002E-2</v>
      </c>
      <c r="P38" s="674">
        <f t="shared" si="1"/>
        <v>1.0006999999999999</v>
      </c>
      <c r="S38" s="673">
        <f t="shared" si="4"/>
        <v>2025</v>
      </c>
      <c r="T38" s="675">
        <v>0</v>
      </c>
      <c r="U38" s="675">
        <v>5</v>
      </c>
      <c r="V38" s="676">
        <f t="shared" si="5"/>
        <v>0</v>
      </c>
      <c r="W38" s="677">
        <v>1</v>
      </c>
      <c r="X38" s="678">
        <f t="shared" si="2"/>
        <v>0</v>
      </c>
    </row>
    <row r="39" spans="2:24">
      <c r="B39" s="673">
        <f t="shared" si="3"/>
        <v>2026</v>
      </c>
      <c r="C39" s="679"/>
      <c r="D39" s="666">
        <v>1</v>
      </c>
      <c r="E39" s="667">
        <f t="shared" si="7"/>
        <v>0.66390000000000005</v>
      </c>
      <c r="F39" s="667">
        <f t="shared" si="7"/>
        <v>0.1285</v>
      </c>
      <c r="G39" s="667">
        <f t="shared" si="7"/>
        <v>0</v>
      </c>
      <c r="H39" s="667">
        <f t="shared" si="7"/>
        <v>0</v>
      </c>
      <c r="I39" s="667">
        <f t="shared" si="7"/>
        <v>0</v>
      </c>
      <c r="J39" s="667">
        <f t="shared" si="7"/>
        <v>8.0999999999999996E-3</v>
      </c>
      <c r="K39" s="667">
        <f t="shared" si="7"/>
        <v>0</v>
      </c>
      <c r="L39" s="667">
        <f t="shared" si="7"/>
        <v>0.1071</v>
      </c>
      <c r="M39" s="667">
        <f t="shared" si="7"/>
        <v>1.77E-2</v>
      </c>
      <c r="N39" s="667">
        <f t="shared" si="7"/>
        <v>1.3299999999999999E-2</v>
      </c>
      <c r="O39" s="667">
        <f t="shared" si="7"/>
        <v>6.2100000000000002E-2</v>
      </c>
      <c r="P39" s="674">
        <f t="shared" si="1"/>
        <v>1.0006999999999999</v>
      </c>
      <c r="S39" s="673">
        <f t="shared" si="4"/>
        <v>2026</v>
      </c>
      <c r="T39" s="675">
        <v>0</v>
      </c>
      <c r="U39" s="675">
        <v>5</v>
      </c>
      <c r="V39" s="676">
        <f t="shared" si="5"/>
        <v>0</v>
      </c>
      <c r="W39" s="677">
        <v>1</v>
      </c>
      <c r="X39" s="678">
        <f t="shared" si="2"/>
        <v>0</v>
      </c>
    </row>
    <row r="40" spans="2:24">
      <c r="B40" s="673">
        <f t="shared" si="3"/>
        <v>2027</v>
      </c>
      <c r="C40" s="679"/>
      <c r="D40" s="666">
        <v>1</v>
      </c>
      <c r="E40" s="667">
        <f t="shared" si="7"/>
        <v>0.66390000000000005</v>
      </c>
      <c r="F40" s="667">
        <f t="shared" si="7"/>
        <v>0.1285</v>
      </c>
      <c r="G40" s="667">
        <f t="shared" si="7"/>
        <v>0</v>
      </c>
      <c r="H40" s="667">
        <f t="shared" si="7"/>
        <v>0</v>
      </c>
      <c r="I40" s="667">
        <f t="shared" si="7"/>
        <v>0</v>
      </c>
      <c r="J40" s="667">
        <f t="shared" si="7"/>
        <v>8.0999999999999996E-3</v>
      </c>
      <c r="K40" s="667">
        <f t="shared" si="7"/>
        <v>0</v>
      </c>
      <c r="L40" s="667">
        <f t="shared" si="7"/>
        <v>0.1071</v>
      </c>
      <c r="M40" s="667">
        <f t="shared" si="7"/>
        <v>1.77E-2</v>
      </c>
      <c r="N40" s="667">
        <f t="shared" si="7"/>
        <v>1.3299999999999999E-2</v>
      </c>
      <c r="O40" s="667">
        <f t="shared" si="7"/>
        <v>6.2100000000000002E-2</v>
      </c>
      <c r="P40" s="674">
        <f t="shared" si="1"/>
        <v>1.0006999999999999</v>
      </c>
      <c r="S40" s="673">
        <f t="shared" si="4"/>
        <v>2027</v>
      </c>
      <c r="T40" s="675">
        <v>0</v>
      </c>
      <c r="U40" s="675">
        <v>5</v>
      </c>
      <c r="V40" s="676">
        <f t="shared" si="5"/>
        <v>0</v>
      </c>
      <c r="W40" s="677">
        <v>1</v>
      </c>
      <c r="X40" s="678">
        <f t="shared" si="2"/>
        <v>0</v>
      </c>
    </row>
    <row r="41" spans="2:24">
      <c r="B41" s="673">
        <f t="shared" si="3"/>
        <v>2028</v>
      </c>
      <c r="C41" s="679"/>
      <c r="D41" s="666">
        <v>1</v>
      </c>
      <c r="E41" s="667">
        <f t="shared" si="7"/>
        <v>0.66390000000000005</v>
      </c>
      <c r="F41" s="667">
        <f t="shared" si="7"/>
        <v>0.1285</v>
      </c>
      <c r="G41" s="667">
        <f t="shared" si="7"/>
        <v>0</v>
      </c>
      <c r="H41" s="667">
        <f t="shared" si="7"/>
        <v>0</v>
      </c>
      <c r="I41" s="667">
        <f t="shared" si="7"/>
        <v>0</v>
      </c>
      <c r="J41" s="667">
        <f t="shared" si="7"/>
        <v>8.0999999999999996E-3</v>
      </c>
      <c r="K41" s="667">
        <f t="shared" si="7"/>
        <v>0</v>
      </c>
      <c r="L41" s="667">
        <f t="shared" si="7"/>
        <v>0.1071</v>
      </c>
      <c r="M41" s="667">
        <f t="shared" si="7"/>
        <v>1.77E-2</v>
      </c>
      <c r="N41" s="667">
        <f t="shared" si="7"/>
        <v>1.3299999999999999E-2</v>
      </c>
      <c r="O41" s="667">
        <f t="shared" si="7"/>
        <v>6.2100000000000002E-2</v>
      </c>
      <c r="P41" s="674">
        <f t="shared" si="1"/>
        <v>1.0006999999999999</v>
      </c>
      <c r="S41" s="673">
        <f t="shared" si="4"/>
        <v>2028</v>
      </c>
      <c r="T41" s="675">
        <v>0</v>
      </c>
      <c r="U41" s="675">
        <v>5</v>
      </c>
      <c r="V41" s="676">
        <f t="shared" si="5"/>
        <v>0</v>
      </c>
      <c r="W41" s="677">
        <v>1</v>
      </c>
      <c r="X41" s="678">
        <f t="shared" si="2"/>
        <v>0</v>
      </c>
    </row>
    <row r="42" spans="2:24">
      <c r="B42" s="673">
        <f t="shared" si="3"/>
        <v>2029</v>
      </c>
      <c r="C42" s="679"/>
      <c r="D42" s="666">
        <v>1</v>
      </c>
      <c r="E42" s="667">
        <f t="shared" si="7"/>
        <v>0.66390000000000005</v>
      </c>
      <c r="F42" s="667">
        <f t="shared" si="7"/>
        <v>0.1285</v>
      </c>
      <c r="G42" s="667">
        <f t="shared" si="7"/>
        <v>0</v>
      </c>
      <c r="H42" s="667">
        <f t="shared" si="7"/>
        <v>0</v>
      </c>
      <c r="I42" s="667">
        <f t="shared" si="7"/>
        <v>0</v>
      </c>
      <c r="J42" s="667">
        <f t="shared" si="7"/>
        <v>8.0999999999999996E-3</v>
      </c>
      <c r="K42" s="667">
        <f t="shared" si="7"/>
        <v>0</v>
      </c>
      <c r="L42" s="667">
        <f t="shared" si="7"/>
        <v>0.1071</v>
      </c>
      <c r="M42" s="667">
        <f t="shared" si="7"/>
        <v>1.77E-2</v>
      </c>
      <c r="N42" s="667">
        <f t="shared" si="7"/>
        <v>1.3299999999999999E-2</v>
      </c>
      <c r="O42" s="667">
        <f t="shared" si="7"/>
        <v>6.2100000000000002E-2</v>
      </c>
      <c r="P42" s="674">
        <f t="shared" si="1"/>
        <v>1.0006999999999999</v>
      </c>
      <c r="S42" s="673">
        <f t="shared" si="4"/>
        <v>2029</v>
      </c>
      <c r="T42" s="675">
        <v>0</v>
      </c>
      <c r="U42" s="675">
        <v>5</v>
      </c>
      <c r="V42" s="676">
        <f t="shared" si="5"/>
        <v>0</v>
      </c>
      <c r="W42" s="677">
        <v>1</v>
      </c>
      <c r="X42" s="678">
        <f t="shared" si="2"/>
        <v>0</v>
      </c>
    </row>
    <row r="43" spans="2:24">
      <c r="B43" s="673">
        <f t="shared" si="3"/>
        <v>2030</v>
      </c>
      <c r="C43" s="679"/>
      <c r="D43" s="666">
        <v>1</v>
      </c>
      <c r="E43" s="667">
        <f t="shared" ref="E43:O58" si="8">E$8</f>
        <v>0.66390000000000005</v>
      </c>
      <c r="F43" s="667">
        <f t="shared" si="8"/>
        <v>0.1285</v>
      </c>
      <c r="G43" s="667">
        <f t="shared" si="7"/>
        <v>0</v>
      </c>
      <c r="H43" s="667">
        <f t="shared" si="8"/>
        <v>0</v>
      </c>
      <c r="I43" s="667">
        <f t="shared" si="7"/>
        <v>0</v>
      </c>
      <c r="J43" s="667">
        <f t="shared" si="8"/>
        <v>8.0999999999999996E-3</v>
      </c>
      <c r="K43" s="667">
        <f t="shared" si="8"/>
        <v>0</v>
      </c>
      <c r="L43" s="667">
        <f t="shared" si="8"/>
        <v>0.1071</v>
      </c>
      <c r="M43" s="667">
        <f t="shared" si="8"/>
        <v>1.77E-2</v>
      </c>
      <c r="N43" s="667">
        <f t="shared" si="8"/>
        <v>1.3299999999999999E-2</v>
      </c>
      <c r="O43" s="667">
        <f t="shared" si="8"/>
        <v>6.2100000000000002E-2</v>
      </c>
      <c r="P43" s="674">
        <f t="shared" si="1"/>
        <v>1.0006999999999999</v>
      </c>
      <c r="S43" s="673">
        <f t="shared" si="4"/>
        <v>2030</v>
      </c>
      <c r="T43" s="675">
        <v>0</v>
      </c>
      <c r="U43" s="675">
        <v>5</v>
      </c>
      <c r="V43" s="676">
        <f t="shared" si="5"/>
        <v>0</v>
      </c>
      <c r="W43" s="677">
        <v>1</v>
      </c>
      <c r="X43" s="678">
        <f t="shared" si="2"/>
        <v>0</v>
      </c>
    </row>
    <row r="44" spans="2:24">
      <c r="B44" s="673">
        <f t="shared" si="3"/>
        <v>2031</v>
      </c>
      <c r="C44" s="679"/>
      <c r="D44" s="666">
        <v>1</v>
      </c>
      <c r="E44" s="667">
        <f t="shared" si="8"/>
        <v>0.66390000000000005</v>
      </c>
      <c r="F44" s="667">
        <f t="shared" si="8"/>
        <v>0.1285</v>
      </c>
      <c r="G44" s="667">
        <f t="shared" si="7"/>
        <v>0</v>
      </c>
      <c r="H44" s="667">
        <f t="shared" si="8"/>
        <v>0</v>
      </c>
      <c r="I44" s="667">
        <f t="shared" si="7"/>
        <v>0</v>
      </c>
      <c r="J44" s="667">
        <f t="shared" si="8"/>
        <v>8.0999999999999996E-3</v>
      </c>
      <c r="K44" s="667">
        <f t="shared" si="8"/>
        <v>0</v>
      </c>
      <c r="L44" s="667">
        <f t="shared" si="8"/>
        <v>0.1071</v>
      </c>
      <c r="M44" s="667">
        <f t="shared" si="8"/>
        <v>1.77E-2</v>
      </c>
      <c r="N44" s="667">
        <f t="shared" si="8"/>
        <v>1.3299999999999999E-2</v>
      </c>
      <c r="O44" s="667">
        <f t="shared" si="8"/>
        <v>6.2100000000000002E-2</v>
      </c>
      <c r="P44" s="674">
        <f t="shared" si="1"/>
        <v>1.0006999999999999</v>
      </c>
      <c r="S44" s="673">
        <f t="shared" si="4"/>
        <v>2031</v>
      </c>
      <c r="T44" s="675">
        <v>0</v>
      </c>
      <c r="U44" s="675">
        <v>5</v>
      </c>
      <c r="V44" s="676">
        <f t="shared" si="5"/>
        <v>0</v>
      </c>
      <c r="W44" s="677">
        <v>1</v>
      </c>
      <c r="X44" s="678">
        <f t="shared" si="2"/>
        <v>0</v>
      </c>
    </row>
    <row r="45" spans="2:24">
      <c r="B45" s="673">
        <f t="shared" si="3"/>
        <v>2032</v>
      </c>
      <c r="C45" s="679"/>
      <c r="D45" s="666">
        <v>1</v>
      </c>
      <c r="E45" s="667">
        <f t="shared" si="8"/>
        <v>0.66390000000000005</v>
      </c>
      <c r="F45" s="667">
        <f t="shared" si="8"/>
        <v>0.1285</v>
      </c>
      <c r="G45" s="667">
        <f t="shared" si="7"/>
        <v>0</v>
      </c>
      <c r="H45" s="667">
        <f t="shared" si="8"/>
        <v>0</v>
      </c>
      <c r="I45" s="667">
        <f t="shared" si="7"/>
        <v>0</v>
      </c>
      <c r="J45" s="667">
        <f t="shared" si="8"/>
        <v>8.0999999999999996E-3</v>
      </c>
      <c r="K45" s="667">
        <f t="shared" si="8"/>
        <v>0</v>
      </c>
      <c r="L45" s="667">
        <f t="shared" si="8"/>
        <v>0.1071</v>
      </c>
      <c r="M45" s="667">
        <f t="shared" si="8"/>
        <v>1.77E-2</v>
      </c>
      <c r="N45" s="667">
        <f t="shared" si="8"/>
        <v>1.3299999999999999E-2</v>
      </c>
      <c r="O45" s="667">
        <f t="shared" si="8"/>
        <v>6.2100000000000002E-2</v>
      </c>
      <c r="P45" s="674">
        <f t="shared" ref="P45:P76" si="9">SUM(E45:O45)</f>
        <v>1.0006999999999999</v>
      </c>
      <c r="S45" s="673">
        <f t="shared" si="4"/>
        <v>2032</v>
      </c>
      <c r="T45" s="675">
        <v>0</v>
      </c>
      <c r="U45" s="675">
        <v>5</v>
      </c>
      <c r="V45" s="676">
        <f t="shared" si="5"/>
        <v>0</v>
      </c>
      <c r="W45" s="677">
        <v>1</v>
      </c>
      <c r="X45" s="678">
        <f t="shared" ref="X45:X76" si="10">V45*W45</f>
        <v>0</v>
      </c>
    </row>
    <row r="46" spans="2:24">
      <c r="B46" s="673">
        <f t="shared" ref="B46:B77" si="11">B45+1</f>
        <v>2033</v>
      </c>
      <c r="C46" s="679"/>
      <c r="D46" s="666">
        <v>1</v>
      </c>
      <c r="E46" s="667">
        <f t="shared" si="8"/>
        <v>0.66390000000000005</v>
      </c>
      <c r="F46" s="667">
        <f t="shared" si="8"/>
        <v>0.1285</v>
      </c>
      <c r="G46" s="667">
        <f t="shared" si="7"/>
        <v>0</v>
      </c>
      <c r="H46" s="667">
        <f t="shared" si="8"/>
        <v>0</v>
      </c>
      <c r="I46" s="667">
        <f t="shared" si="7"/>
        <v>0</v>
      </c>
      <c r="J46" s="667">
        <f t="shared" si="8"/>
        <v>8.0999999999999996E-3</v>
      </c>
      <c r="K46" s="667">
        <f t="shared" si="8"/>
        <v>0</v>
      </c>
      <c r="L46" s="667">
        <f t="shared" si="8"/>
        <v>0.1071</v>
      </c>
      <c r="M46" s="667">
        <f t="shared" si="8"/>
        <v>1.77E-2</v>
      </c>
      <c r="N46" s="667">
        <f t="shared" si="8"/>
        <v>1.3299999999999999E-2</v>
      </c>
      <c r="O46" s="667">
        <f t="shared" si="8"/>
        <v>6.2100000000000002E-2</v>
      </c>
      <c r="P46" s="674">
        <f t="shared" si="9"/>
        <v>1.0006999999999999</v>
      </c>
      <c r="S46" s="673">
        <f t="shared" si="4"/>
        <v>2033</v>
      </c>
      <c r="T46" s="675">
        <v>0</v>
      </c>
      <c r="U46" s="675">
        <v>5</v>
      </c>
      <c r="V46" s="676">
        <f t="shared" si="5"/>
        <v>0</v>
      </c>
      <c r="W46" s="677">
        <v>1</v>
      </c>
      <c r="X46" s="678">
        <f t="shared" si="10"/>
        <v>0</v>
      </c>
    </row>
    <row r="47" spans="2:24">
      <c r="B47" s="673">
        <f t="shared" si="11"/>
        <v>2034</v>
      </c>
      <c r="C47" s="679"/>
      <c r="D47" s="666">
        <v>1</v>
      </c>
      <c r="E47" s="667">
        <f t="shared" si="8"/>
        <v>0.66390000000000005</v>
      </c>
      <c r="F47" s="667">
        <f t="shared" si="8"/>
        <v>0.1285</v>
      </c>
      <c r="G47" s="667">
        <f t="shared" si="7"/>
        <v>0</v>
      </c>
      <c r="H47" s="667">
        <f t="shared" si="8"/>
        <v>0</v>
      </c>
      <c r="I47" s="667">
        <f t="shared" si="7"/>
        <v>0</v>
      </c>
      <c r="J47" s="667">
        <f t="shared" si="8"/>
        <v>8.0999999999999996E-3</v>
      </c>
      <c r="K47" s="667">
        <f t="shared" si="8"/>
        <v>0</v>
      </c>
      <c r="L47" s="667">
        <f t="shared" si="8"/>
        <v>0.1071</v>
      </c>
      <c r="M47" s="667">
        <f t="shared" si="8"/>
        <v>1.77E-2</v>
      </c>
      <c r="N47" s="667">
        <f t="shared" si="8"/>
        <v>1.3299999999999999E-2</v>
      </c>
      <c r="O47" s="667">
        <f t="shared" si="8"/>
        <v>6.2100000000000002E-2</v>
      </c>
      <c r="P47" s="674">
        <f t="shared" si="9"/>
        <v>1.0006999999999999</v>
      </c>
      <c r="S47" s="673">
        <f t="shared" si="4"/>
        <v>2034</v>
      </c>
      <c r="T47" s="675">
        <v>0</v>
      </c>
      <c r="U47" s="675">
        <v>5</v>
      </c>
      <c r="V47" s="676">
        <f t="shared" si="5"/>
        <v>0</v>
      </c>
      <c r="W47" s="677">
        <v>1</v>
      </c>
      <c r="X47" s="678">
        <f t="shared" si="10"/>
        <v>0</v>
      </c>
    </row>
    <row r="48" spans="2:24">
      <c r="B48" s="673">
        <f t="shared" si="11"/>
        <v>2035</v>
      </c>
      <c r="C48" s="679"/>
      <c r="D48" s="666">
        <v>1</v>
      </c>
      <c r="E48" s="667">
        <f t="shared" si="8"/>
        <v>0.66390000000000005</v>
      </c>
      <c r="F48" s="667">
        <f t="shared" si="8"/>
        <v>0.1285</v>
      </c>
      <c r="G48" s="667">
        <f t="shared" si="7"/>
        <v>0</v>
      </c>
      <c r="H48" s="667">
        <f t="shared" si="8"/>
        <v>0</v>
      </c>
      <c r="I48" s="667">
        <f t="shared" si="7"/>
        <v>0</v>
      </c>
      <c r="J48" s="667">
        <f t="shared" si="8"/>
        <v>8.0999999999999996E-3</v>
      </c>
      <c r="K48" s="667">
        <f t="shared" si="8"/>
        <v>0</v>
      </c>
      <c r="L48" s="667">
        <f t="shared" si="8"/>
        <v>0.1071</v>
      </c>
      <c r="M48" s="667">
        <f t="shared" si="8"/>
        <v>1.77E-2</v>
      </c>
      <c r="N48" s="667">
        <f t="shared" si="8"/>
        <v>1.3299999999999999E-2</v>
      </c>
      <c r="O48" s="667">
        <f t="shared" si="8"/>
        <v>6.2100000000000002E-2</v>
      </c>
      <c r="P48" s="674">
        <f t="shared" si="9"/>
        <v>1.0006999999999999</v>
      </c>
      <c r="S48" s="673">
        <f t="shared" si="4"/>
        <v>2035</v>
      </c>
      <c r="T48" s="675">
        <v>0</v>
      </c>
      <c r="U48" s="675">
        <v>5</v>
      </c>
      <c r="V48" s="676">
        <f t="shared" si="5"/>
        <v>0</v>
      </c>
      <c r="W48" s="677">
        <v>1</v>
      </c>
      <c r="X48" s="678">
        <f t="shared" si="10"/>
        <v>0</v>
      </c>
    </row>
    <row r="49" spans="2:24">
      <c r="B49" s="673">
        <f t="shared" si="11"/>
        <v>2036</v>
      </c>
      <c r="C49" s="679"/>
      <c r="D49" s="666">
        <v>1</v>
      </c>
      <c r="E49" s="667">
        <f t="shared" si="8"/>
        <v>0.66390000000000005</v>
      </c>
      <c r="F49" s="667">
        <f t="shared" si="8"/>
        <v>0.1285</v>
      </c>
      <c r="G49" s="667">
        <f t="shared" si="8"/>
        <v>0</v>
      </c>
      <c r="H49" s="667">
        <f t="shared" si="8"/>
        <v>0</v>
      </c>
      <c r="I49" s="667">
        <f t="shared" si="8"/>
        <v>0</v>
      </c>
      <c r="J49" s="667">
        <f t="shared" si="8"/>
        <v>8.0999999999999996E-3</v>
      </c>
      <c r="K49" s="667">
        <f t="shared" si="8"/>
        <v>0</v>
      </c>
      <c r="L49" s="667">
        <f t="shared" si="8"/>
        <v>0.1071</v>
      </c>
      <c r="M49" s="667">
        <f t="shared" si="8"/>
        <v>1.77E-2</v>
      </c>
      <c r="N49" s="667">
        <f t="shared" si="8"/>
        <v>1.3299999999999999E-2</v>
      </c>
      <c r="O49" s="667">
        <f t="shared" si="8"/>
        <v>6.2100000000000002E-2</v>
      </c>
      <c r="P49" s="674">
        <f t="shared" si="9"/>
        <v>1.0006999999999999</v>
      </c>
      <c r="S49" s="673">
        <f t="shared" si="4"/>
        <v>2036</v>
      </c>
      <c r="T49" s="675">
        <v>0</v>
      </c>
      <c r="U49" s="675">
        <v>5</v>
      </c>
      <c r="V49" s="676">
        <f t="shared" si="5"/>
        <v>0</v>
      </c>
      <c r="W49" s="677">
        <v>1</v>
      </c>
      <c r="X49" s="678">
        <f t="shared" si="10"/>
        <v>0</v>
      </c>
    </row>
    <row r="50" spans="2:24">
      <c r="B50" s="673">
        <f t="shared" si="11"/>
        <v>2037</v>
      </c>
      <c r="C50" s="679"/>
      <c r="D50" s="666">
        <v>1</v>
      </c>
      <c r="E50" s="667">
        <f t="shared" si="8"/>
        <v>0.66390000000000005</v>
      </c>
      <c r="F50" s="667">
        <f t="shared" si="8"/>
        <v>0.1285</v>
      </c>
      <c r="G50" s="667">
        <f t="shared" si="8"/>
        <v>0</v>
      </c>
      <c r="H50" s="667">
        <f t="shared" si="8"/>
        <v>0</v>
      </c>
      <c r="I50" s="667">
        <f t="shared" si="8"/>
        <v>0</v>
      </c>
      <c r="J50" s="667">
        <f t="shared" si="8"/>
        <v>8.0999999999999996E-3</v>
      </c>
      <c r="K50" s="667">
        <f t="shared" si="8"/>
        <v>0</v>
      </c>
      <c r="L50" s="667">
        <f t="shared" si="8"/>
        <v>0.1071</v>
      </c>
      <c r="M50" s="667">
        <f t="shared" si="8"/>
        <v>1.77E-2</v>
      </c>
      <c r="N50" s="667">
        <f t="shared" si="8"/>
        <v>1.3299999999999999E-2</v>
      </c>
      <c r="O50" s="667">
        <f t="shared" si="8"/>
        <v>6.2100000000000002E-2</v>
      </c>
      <c r="P50" s="674">
        <f t="shared" si="9"/>
        <v>1.0006999999999999</v>
      </c>
      <c r="S50" s="673">
        <f t="shared" si="4"/>
        <v>2037</v>
      </c>
      <c r="T50" s="675">
        <v>0</v>
      </c>
      <c r="U50" s="675">
        <v>5</v>
      </c>
      <c r="V50" s="676">
        <f t="shared" si="5"/>
        <v>0</v>
      </c>
      <c r="W50" s="677">
        <v>1</v>
      </c>
      <c r="X50" s="678">
        <f t="shared" si="10"/>
        <v>0</v>
      </c>
    </row>
    <row r="51" spans="2:24">
      <c r="B51" s="673">
        <f t="shared" si="11"/>
        <v>2038</v>
      </c>
      <c r="C51" s="679"/>
      <c r="D51" s="666">
        <v>1</v>
      </c>
      <c r="E51" s="667">
        <f t="shared" si="8"/>
        <v>0.66390000000000005</v>
      </c>
      <c r="F51" s="667">
        <f t="shared" si="8"/>
        <v>0.1285</v>
      </c>
      <c r="G51" s="667">
        <f t="shared" si="8"/>
        <v>0</v>
      </c>
      <c r="H51" s="667">
        <f t="shared" si="8"/>
        <v>0</v>
      </c>
      <c r="I51" s="667">
        <f t="shared" si="8"/>
        <v>0</v>
      </c>
      <c r="J51" s="667">
        <f t="shared" si="8"/>
        <v>8.0999999999999996E-3</v>
      </c>
      <c r="K51" s="667">
        <f t="shared" si="8"/>
        <v>0</v>
      </c>
      <c r="L51" s="667">
        <f t="shared" si="8"/>
        <v>0.1071</v>
      </c>
      <c r="M51" s="667">
        <f t="shared" si="8"/>
        <v>1.77E-2</v>
      </c>
      <c r="N51" s="667">
        <f t="shared" si="8"/>
        <v>1.3299999999999999E-2</v>
      </c>
      <c r="O51" s="667">
        <f t="shared" si="8"/>
        <v>6.2100000000000002E-2</v>
      </c>
      <c r="P51" s="674">
        <f t="shared" si="9"/>
        <v>1.0006999999999999</v>
      </c>
      <c r="S51" s="673">
        <f t="shared" si="4"/>
        <v>2038</v>
      </c>
      <c r="T51" s="675">
        <v>0</v>
      </c>
      <c r="U51" s="675">
        <v>5</v>
      </c>
      <c r="V51" s="676">
        <f t="shared" si="5"/>
        <v>0</v>
      </c>
      <c r="W51" s="677">
        <v>1</v>
      </c>
      <c r="X51" s="678">
        <f t="shared" si="10"/>
        <v>0</v>
      </c>
    </row>
    <row r="52" spans="2:24">
      <c r="B52" s="673">
        <f t="shared" si="11"/>
        <v>2039</v>
      </c>
      <c r="C52" s="679"/>
      <c r="D52" s="666">
        <v>1</v>
      </c>
      <c r="E52" s="667">
        <f t="shared" si="8"/>
        <v>0.66390000000000005</v>
      </c>
      <c r="F52" s="667">
        <f t="shared" si="8"/>
        <v>0.1285</v>
      </c>
      <c r="G52" s="667">
        <f t="shared" si="8"/>
        <v>0</v>
      </c>
      <c r="H52" s="667">
        <f t="shared" si="8"/>
        <v>0</v>
      </c>
      <c r="I52" s="667">
        <f t="shared" si="8"/>
        <v>0</v>
      </c>
      <c r="J52" s="667">
        <f t="shared" si="8"/>
        <v>8.0999999999999996E-3</v>
      </c>
      <c r="K52" s="667">
        <f t="shared" si="8"/>
        <v>0</v>
      </c>
      <c r="L52" s="667">
        <f t="shared" si="8"/>
        <v>0.1071</v>
      </c>
      <c r="M52" s="667">
        <f t="shared" si="8"/>
        <v>1.77E-2</v>
      </c>
      <c r="N52" s="667">
        <f t="shared" si="8"/>
        <v>1.3299999999999999E-2</v>
      </c>
      <c r="O52" s="667">
        <f t="shared" si="8"/>
        <v>6.2100000000000002E-2</v>
      </c>
      <c r="P52" s="674">
        <f t="shared" si="9"/>
        <v>1.0006999999999999</v>
      </c>
      <c r="S52" s="673">
        <f t="shared" si="4"/>
        <v>2039</v>
      </c>
      <c r="T52" s="675">
        <v>0</v>
      </c>
      <c r="U52" s="675">
        <v>5</v>
      </c>
      <c r="V52" s="676">
        <f t="shared" si="5"/>
        <v>0</v>
      </c>
      <c r="W52" s="677">
        <v>1</v>
      </c>
      <c r="X52" s="678">
        <f t="shared" si="10"/>
        <v>0</v>
      </c>
    </row>
    <row r="53" spans="2:24">
      <c r="B53" s="673">
        <f t="shared" si="11"/>
        <v>2040</v>
      </c>
      <c r="C53" s="679"/>
      <c r="D53" s="666">
        <v>1</v>
      </c>
      <c r="E53" s="667">
        <f t="shared" ref="E53:O68" si="12">E$8</f>
        <v>0.66390000000000005</v>
      </c>
      <c r="F53" s="667">
        <f t="shared" si="12"/>
        <v>0.1285</v>
      </c>
      <c r="G53" s="667">
        <f t="shared" si="8"/>
        <v>0</v>
      </c>
      <c r="H53" s="667">
        <f t="shared" si="12"/>
        <v>0</v>
      </c>
      <c r="I53" s="667">
        <f t="shared" si="8"/>
        <v>0</v>
      </c>
      <c r="J53" s="667">
        <f t="shared" si="12"/>
        <v>8.0999999999999996E-3</v>
      </c>
      <c r="K53" s="667">
        <f t="shared" si="12"/>
        <v>0</v>
      </c>
      <c r="L53" s="667">
        <f t="shared" si="12"/>
        <v>0.1071</v>
      </c>
      <c r="M53" s="667">
        <f t="shared" si="12"/>
        <v>1.77E-2</v>
      </c>
      <c r="N53" s="667">
        <f t="shared" si="12"/>
        <v>1.3299999999999999E-2</v>
      </c>
      <c r="O53" s="667">
        <f t="shared" si="12"/>
        <v>6.2100000000000002E-2</v>
      </c>
      <c r="P53" s="674">
        <f t="shared" si="9"/>
        <v>1.0006999999999999</v>
      </c>
      <c r="S53" s="673">
        <f t="shared" si="4"/>
        <v>2040</v>
      </c>
      <c r="T53" s="675">
        <v>0</v>
      </c>
      <c r="U53" s="675">
        <v>5</v>
      </c>
      <c r="V53" s="676">
        <f t="shared" si="5"/>
        <v>0</v>
      </c>
      <c r="W53" s="677">
        <v>1</v>
      </c>
      <c r="X53" s="678">
        <f t="shared" si="10"/>
        <v>0</v>
      </c>
    </row>
    <row r="54" spans="2:24">
      <c r="B54" s="673">
        <f t="shared" si="11"/>
        <v>2041</v>
      </c>
      <c r="C54" s="679"/>
      <c r="D54" s="666">
        <v>1</v>
      </c>
      <c r="E54" s="667">
        <f t="shared" si="12"/>
        <v>0.66390000000000005</v>
      </c>
      <c r="F54" s="667">
        <f t="shared" si="12"/>
        <v>0.1285</v>
      </c>
      <c r="G54" s="667">
        <f t="shared" si="8"/>
        <v>0</v>
      </c>
      <c r="H54" s="667">
        <f t="shared" si="12"/>
        <v>0</v>
      </c>
      <c r="I54" s="667">
        <f t="shared" si="8"/>
        <v>0</v>
      </c>
      <c r="J54" s="667">
        <f t="shared" si="12"/>
        <v>8.0999999999999996E-3</v>
      </c>
      <c r="K54" s="667">
        <f t="shared" si="12"/>
        <v>0</v>
      </c>
      <c r="L54" s="667">
        <f t="shared" si="12"/>
        <v>0.1071</v>
      </c>
      <c r="M54" s="667">
        <f t="shared" si="12"/>
        <v>1.77E-2</v>
      </c>
      <c r="N54" s="667">
        <f t="shared" si="12"/>
        <v>1.3299999999999999E-2</v>
      </c>
      <c r="O54" s="667">
        <f t="shared" si="12"/>
        <v>6.2100000000000002E-2</v>
      </c>
      <c r="P54" s="674">
        <f t="shared" si="9"/>
        <v>1.0006999999999999</v>
      </c>
      <c r="S54" s="673">
        <f t="shared" si="4"/>
        <v>2041</v>
      </c>
      <c r="T54" s="675">
        <v>0</v>
      </c>
      <c r="U54" s="675">
        <v>5</v>
      </c>
      <c r="V54" s="676">
        <f t="shared" si="5"/>
        <v>0</v>
      </c>
      <c r="W54" s="677">
        <v>1</v>
      </c>
      <c r="X54" s="678">
        <f t="shared" si="10"/>
        <v>0</v>
      </c>
    </row>
    <row r="55" spans="2:24">
      <c r="B55" s="673">
        <f t="shared" si="11"/>
        <v>2042</v>
      </c>
      <c r="C55" s="679"/>
      <c r="D55" s="666">
        <v>1</v>
      </c>
      <c r="E55" s="667">
        <f t="shared" si="12"/>
        <v>0.66390000000000005</v>
      </c>
      <c r="F55" s="667">
        <f t="shared" si="12"/>
        <v>0.1285</v>
      </c>
      <c r="G55" s="667">
        <f t="shared" si="8"/>
        <v>0</v>
      </c>
      <c r="H55" s="667">
        <f t="shared" si="12"/>
        <v>0</v>
      </c>
      <c r="I55" s="667">
        <f t="shared" si="8"/>
        <v>0</v>
      </c>
      <c r="J55" s="667">
        <f t="shared" si="12"/>
        <v>8.0999999999999996E-3</v>
      </c>
      <c r="K55" s="667">
        <f t="shared" si="12"/>
        <v>0</v>
      </c>
      <c r="L55" s="667">
        <f t="shared" si="12"/>
        <v>0.1071</v>
      </c>
      <c r="M55" s="667">
        <f t="shared" si="12"/>
        <v>1.77E-2</v>
      </c>
      <c r="N55" s="667">
        <f t="shared" si="12"/>
        <v>1.3299999999999999E-2</v>
      </c>
      <c r="O55" s="667">
        <f t="shared" si="12"/>
        <v>6.2100000000000002E-2</v>
      </c>
      <c r="P55" s="674">
        <f t="shared" si="9"/>
        <v>1.0006999999999999</v>
      </c>
      <c r="S55" s="673">
        <f t="shared" si="4"/>
        <v>2042</v>
      </c>
      <c r="T55" s="675">
        <v>0</v>
      </c>
      <c r="U55" s="675">
        <v>5</v>
      </c>
      <c r="V55" s="676">
        <f t="shared" si="5"/>
        <v>0</v>
      </c>
      <c r="W55" s="677">
        <v>1</v>
      </c>
      <c r="X55" s="678">
        <f t="shared" si="10"/>
        <v>0</v>
      </c>
    </row>
    <row r="56" spans="2:24">
      <c r="B56" s="673">
        <f t="shared" si="11"/>
        <v>2043</v>
      </c>
      <c r="C56" s="679"/>
      <c r="D56" s="666">
        <v>1</v>
      </c>
      <c r="E56" s="667">
        <f t="shared" si="12"/>
        <v>0.66390000000000005</v>
      </c>
      <c r="F56" s="667">
        <f t="shared" si="12"/>
        <v>0.1285</v>
      </c>
      <c r="G56" s="667">
        <f t="shared" si="8"/>
        <v>0</v>
      </c>
      <c r="H56" s="667">
        <f t="shared" si="12"/>
        <v>0</v>
      </c>
      <c r="I56" s="667">
        <f t="shared" si="8"/>
        <v>0</v>
      </c>
      <c r="J56" s="667">
        <f t="shared" si="12"/>
        <v>8.0999999999999996E-3</v>
      </c>
      <c r="K56" s="667">
        <f t="shared" si="12"/>
        <v>0</v>
      </c>
      <c r="L56" s="667">
        <f t="shared" si="12"/>
        <v>0.1071</v>
      </c>
      <c r="M56" s="667">
        <f t="shared" si="12"/>
        <v>1.77E-2</v>
      </c>
      <c r="N56" s="667">
        <f t="shared" si="12"/>
        <v>1.3299999999999999E-2</v>
      </c>
      <c r="O56" s="667">
        <f t="shared" si="12"/>
        <v>6.2100000000000002E-2</v>
      </c>
      <c r="P56" s="674">
        <f t="shared" si="9"/>
        <v>1.0006999999999999</v>
      </c>
      <c r="S56" s="673">
        <f t="shared" si="4"/>
        <v>2043</v>
      </c>
      <c r="T56" s="675">
        <v>0</v>
      </c>
      <c r="U56" s="675">
        <v>5</v>
      </c>
      <c r="V56" s="676">
        <f t="shared" si="5"/>
        <v>0</v>
      </c>
      <c r="W56" s="677">
        <v>1</v>
      </c>
      <c r="X56" s="678">
        <f t="shared" si="10"/>
        <v>0</v>
      </c>
    </row>
    <row r="57" spans="2:24">
      <c r="B57" s="673">
        <f t="shared" si="11"/>
        <v>2044</v>
      </c>
      <c r="C57" s="679"/>
      <c r="D57" s="666">
        <v>1</v>
      </c>
      <c r="E57" s="667">
        <f t="shared" si="12"/>
        <v>0.66390000000000005</v>
      </c>
      <c r="F57" s="667">
        <f t="shared" si="12"/>
        <v>0.1285</v>
      </c>
      <c r="G57" s="667">
        <f t="shared" si="8"/>
        <v>0</v>
      </c>
      <c r="H57" s="667">
        <f t="shared" si="12"/>
        <v>0</v>
      </c>
      <c r="I57" s="667">
        <f t="shared" si="8"/>
        <v>0</v>
      </c>
      <c r="J57" s="667">
        <f t="shared" si="12"/>
        <v>8.0999999999999996E-3</v>
      </c>
      <c r="K57" s="667">
        <f t="shared" si="12"/>
        <v>0</v>
      </c>
      <c r="L57" s="667">
        <f t="shared" si="12"/>
        <v>0.1071</v>
      </c>
      <c r="M57" s="667">
        <f t="shared" si="12"/>
        <v>1.77E-2</v>
      </c>
      <c r="N57" s="667">
        <f t="shared" si="12"/>
        <v>1.3299999999999999E-2</v>
      </c>
      <c r="O57" s="667">
        <f t="shared" si="12"/>
        <v>6.2100000000000002E-2</v>
      </c>
      <c r="P57" s="674">
        <f t="shared" si="9"/>
        <v>1.0006999999999999</v>
      </c>
      <c r="S57" s="673">
        <f t="shared" si="4"/>
        <v>2044</v>
      </c>
      <c r="T57" s="675">
        <v>0</v>
      </c>
      <c r="U57" s="675">
        <v>5</v>
      </c>
      <c r="V57" s="676">
        <f t="shared" si="5"/>
        <v>0</v>
      </c>
      <c r="W57" s="677">
        <v>1</v>
      </c>
      <c r="X57" s="678">
        <f t="shared" si="10"/>
        <v>0</v>
      </c>
    </row>
    <row r="58" spans="2:24">
      <c r="B58" s="673">
        <f t="shared" si="11"/>
        <v>2045</v>
      </c>
      <c r="C58" s="679"/>
      <c r="D58" s="666">
        <v>1</v>
      </c>
      <c r="E58" s="667">
        <f t="shared" si="12"/>
        <v>0.66390000000000005</v>
      </c>
      <c r="F58" s="667">
        <f t="shared" si="12"/>
        <v>0.1285</v>
      </c>
      <c r="G58" s="667">
        <f t="shared" si="8"/>
        <v>0</v>
      </c>
      <c r="H58" s="667">
        <f t="shared" si="12"/>
        <v>0</v>
      </c>
      <c r="I58" s="667">
        <f t="shared" si="8"/>
        <v>0</v>
      </c>
      <c r="J58" s="667">
        <f t="shared" si="12"/>
        <v>8.0999999999999996E-3</v>
      </c>
      <c r="K58" s="667">
        <f t="shared" si="12"/>
        <v>0</v>
      </c>
      <c r="L58" s="667">
        <f t="shared" si="12"/>
        <v>0.1071</v>
      </c>
      <c r="M58" s="667">
        <f t="shared" si="12"/>
        <v>1.77E-2</v>
      </c>
      <c r="N58" s="667">
        <f t="shared" si="12"/>
        <v>1.3299999999999999E-2</v>
      </c>
      <c r="O58" s="667">
        <f t="shared" si="12"/>
        <v>6.2100000000000002E-2</v>
      </c>
      <c r="P58" s="674">
        <f t="shared" si="9"/>
        <v>1.0006999999999999</v>
      </c>
      <c r="S58" s="673">
        <f t="shared" si="4"/>
        <v>2045</v>
      </c>
      <c r="T58" s="675">
        <v>0</v>
      </c>
      <c r="U58" s="675">
        <v>5</v>
      </c>
      <c r="V58" s="676">
        <f t="shared" si="5"/>
        <v>0</v>
      </c>
      <c r="W58" s="677">
        <v>1</v>
      </c>
      <c r="X58" s="678">
        <f t="shared" si="10"/>
        <v>0</v>
      </c>
    </row>
    <row r="59" spans="2:24">
      <c r="B59" s="673">
        <f t="shared" si="11"/>
        <v>2046</v>
      </c>
      <c r="C59" s="679"/>
      <c r="D59" s="666">
        <v>1</v>
      </c>
      <c r="E59" s="667">
        <f t="shared" si="12"/>
        <v>0.66390000000000005</v>
      </c>
      <c r="F59" s="667">
        <f t="shared" si="12"/>
        <v>0.1285</v>
      </c>
      <c r="G59" s="667">
        <f t="shared" si="12"/>
        <v>0</v>
      </c>
      <c r="H59" s="667">
        <f t="shared" si="12"/>
        <v>0</v>
      </c>
      <c r="I59" s="667">
        <f t="shared" si="12"/>
        <v>0</v>
      </c>
      <c r="J59" s="667">
        <f t="shared" si="12"/>
        <v>8.0999999999999996E-3</v>
      </c>
      <c r="K59" s="667">
        <f t="shared" si="12"/>
        <v>0</v>
      </c>
      <c r="L59" s="667">
        <f t="shared" si="12"/>
        <v>0.1071</v>
      </c>
      <c r="M59" s="667">
        <f t="shared" si="12"/>
        <v>1.77E-2</v>
      </c>
      <c r="N59" s="667">
        <f t="shared" si="12"/>
        <v>1.3299999999999999E-2</v>
      </c>
      <c r="O59" s="667">
        <f t="shared" si="12"/>
        <v>6.2100000000000002E-2</v>
      </c>
      <c r="P59" s="674">
        <f t="shared" si="9"/>
        <v>1.0006999999999999</v>
      </c>
      <c r="S59" s="673">
        <f t="shared" si="4"/>
        <v>2046</v>
      </c>
      <c r="T59" s="675">
        <v>0</v>
      </c>
      <c r="U59" s="675">
        <v>5</v>
      </c>
      <c r="V59" s="676">
        <f t="shared" si="5"/>
        <v>0</v>
      </c>
      <c r="W59" s="677">
        <v>1</v>
      </c>
      <c r="X59" s="678">
        <f t="shared" si="10"/>
        <v>0</v>
      </c>
    </row>
    <row r="60" spans="2:24">
      <c r="B60" s="673">
        <f t="shared" si="11"/>
        <v>2047</v>
      </c>
      <c r="C60" s="679"/>
      <c r="D60" s="666">
        <v>1</v>
      </c>
      <c r="E60" s="667">
        <f t="shared" si="12"/>
        <v>0.66390000000000005</v>
      </c>
      <c r="F60" s="667">
        <f t="shared" si="12"/>
        <v>0.1285</v>
      </c>
      <c r="G60" s="667">
        <f t="shared" si="12"/>
        <v>0</v>
      </c>
      <c r="H60" s="667">
        <f t="shared" si="12"/>
        <v>0</v>
      </c>
      <c r="I60" s="667">
        <f t="shared" si="12"/>
        <v>0</v>
      </c>
      <c r="J60" s="667">
        <f t="shared" si="12"/>
        <v>8.0999999999999996E-3</v>
      </c>
      <c r="K60" s="667">
        <f t="shared" si="12"/>
        <v>0</v>
      </c>
      <c r="L60" s="667">
        <f t="shared" si="12"/>
        <v>0.1071</v>
      </c>
      <c r="M60" s="667">
        <f t="shared" si="12"/>
        <v>1.77E-2</v>
      </c>
      <c r="N60" s="667">
        <f t="shared" si="12"/>
        <v>1.3299999999999999E-2</v>
      </c>
      <c r="O60" s="667">
        <f t="shared" si="12"/>
        <v>6.2100000000000002E-2</v>
      </c>
      <c r="P60" s="674">
        <f t="shared" si="9"/>
        <v>1.0006999999999999</v>
      </c>
      <c r="S60" s="673">
        <f t="shared" si="4"/>
        <v>2047</v>
      </c>
      <c r="T60" s="675">
        <v>0</v>
      </c>
      <c r="U60" s="675">
        <v>5</v>
      </c>
      <c r="V60" s="676">
        <f t="shared" si="5"/>
        <v>0</v>
      </c>
      <c r="W60" s="677">
        <v>1</v>
      </c>
      <c r="X60" s="678">
        <f t="shared" si="10"/>
        <v>0</v>
      </c>
    </row>
    <row r="61" spans="2:24">
      <c r="B61" s="673">
        <f t="shared" si="11"/>
        <v>2048</v>
      </c>
      <c r="C61" s="679"/>
      <c r="D61" s="666">
        <v>1</v>
      </c>
      <c r="E61" s="667">
        <f t="shared" si="12"/>
        <v>0.66390000000000005</v>
      </c>
      <c r="F61" s="667">
        <f t="shared" si="12"/>
        <v>0.1285</v>
      </c>
      <c r="G61" s="667">
        <f t="shared" si="12"/>
        <v>0</v>
      </c>
      <c r="H61" s="667">
        <f t="shared" si="12"/>
        <v>0</v>
      </c>
      <c r="I61" s="667">
        <f t="shared" si="12"/>
        <v>0</v>
      </c>
      <c r="J61" s="667">
        <f t="shared" si="12"/>
        <v>8.0999999999999996E-3</v>
      </c>
      <c r="K61" s="667">
        <f t="shared" si="12"/>
        <v>0</v>
      </c>
      <c r="L61" s="667">
        <f t="shared" si="12"/>
        <v>0.1071</v>
      </c>
      <c r="M61" s="667">
        <f t="shared" si="12"/>
        <v>1.77E-2</v>
      </c>
      <c r="N61" s="667">
        <f t="shared" si="12"/>
        <v>1.3299999999999999E-2</v>
      </c>
      <c r="O61" s="667">
        <f t="shared" si="12"/>
        <v>6.2100000000000002E-2</v>
      </c>
      <c r="P61" s="674">
        <f t="shared" si="9"/>
        <v>1.0006999999999999</v>
      </c>
      <c r="S61" s="673">
        <f t="shared" si="4"/>
        <v>2048</v>
      </c>
      <c r="T61" s="675">
        <v>0</v>
      </c>
      <c r="U61" s="675">
        <v>5</v>
      </c>
      <c r="V61" s="676">
        <f t="shared" si="5"/>
        <v>0</v>
      </c>
      <c r="W61" s="677">
        <v>1</v>
      </c>
      <c r="X61" s="678">
        <f t="shared" si="10"/>
        <v>0</v>
      </c>
    </row>
    <row r="62" spans="2:24">
      <c r="B62" s="673">
        <f t="shared" si="11"/>
        <v>2049</v>
      </c>
      <c r="C62" s="679"/>
      <c r="D62" s="666">
        <v>1</v>
      </c>
      <c r="E62" s="667">
        <f t="shared" si="12"/>
        <v>0.66390000000000005</v>
      </c>
      <c r="F62" s="667">
        <f t="shared" si="12"/>
        <v>0.1285</v>
      </c>
      <c r="G62" s="667">
        <f t="shared" si="12"/>
        <v>0</v>
      </c>
      <c r="H62" s="667">
        <f t="shared" si="12"/>
        <v>0</v>
      </c>
      <c r="I62" s="667">
        <f t="shared" si="12"/>
        <v>0</v>
      </c>
      <c r="J62" s="667">
        <f t="shared" si="12"/>
        <v>8.0999999999999996E-3</v>
      </c>
      <c r="K62" s="667">
        <f t="shared" si="12"/>
        <v>0</v>
      </c>
      <c r="L62" s="667">
        <f t="shared" si="12"/>
        <v>0.1071</v>
      </c>
      <c r="M62" s="667">
        <f t="shared" si="12"/>
        <v>1.77E-2</v>
      </c>
      <c r="N62" s="667">
        <f t="shared" si="12"/>
        <v>1.3299999999999999E-2</v>
      </c>
      <c r="O62" s="667">
        <f t="shared" si="12"/>
        <v>6.2100000000000002E-2</v>
      </c>
      <c r="P62" s="674">
        <f t="shared" si="9"/>
        <v>1.0006999999999999</v>
      </c>
      <c r="S62" s="673">
        <f t="shared" si="4"/>
        <v>2049</v>
      </c>
      <c r="T62" s="675">
        <v>0</v>
      </c>
      <c r="U62" s="675">
        <v>5</v>
      </c>
      <c r="V62" s="676">
        <f t="shared" si="5"/>
        <v>0</v>
      </c>
      <c r="W62" s="677">
        <v>1</v>
      </c>
      <c r="X62" s="678">
        <f t="shared" si="10"/>
        <v>0</v>
      </c>
    </row>
    <row r="63" spans="2:24">
      <c r="B63" s="673">
        <f t="shared" si="11"/>
        <v>2050</v>
      </c>
      <c r="C63" s="679"/>
      <c r="D63" s="666">
        <v>1</v>
      </c>
      <c r="E63" s="667">
        <f t="shared" ref="E63:O78" si="13">E$8</f>
        <v>0.66390000000000005</v>
      </c>
      <c r="F63" s="667">
        <f t="shared" si="13"/>
        <v>0.1285</v>
      </c>
      <c r="G63" s="667">
        <f t="shared" si="12"/>
        <v>0</v>
      </c>
      <c r="H63" s="667">
        <f t="shared" si="13"/>
        <v>0</v>
      </c>
      <c r="I63" s="667">
        <f t="shared" si="12"/>
        <v>0</v>
      </c>
      <c r="J63" s="667">
        <f t="shared" si="13"/>
        <v>8.0999999999999996E-3</v>
      </c>
      <c r="K63" s="667">
        <f t="shared" si="13"/>
        <v>0</v>
      </c>
      <c r="L63" s="667">
        <f t="shared" si="13"/>
        <v>0.1071</v>
      </c>
      <c r="M63" s="667">
        <f t="shared" si="13"/>
        <v>1.77E-2</v>
      </c>
      <c r="N63" s="667">
        <f t="shared" si="13"/>
        <v>1.3299999999999999E-2</v>
      </c>
      <c r="O63" s="667">
        <f t="shared" si="13"/>
        <v>6.2100000000000002E-2</v>
      </c>
      <c r="P63" s="674">
        <f t="shared" si="9"/>
        <v>1.0006999999999999</v>
      </c>
      <c r="S63" s="673">
        <f t="shared" si="4"/>
        <v>2050</v>
      </c>
      <c r="T63" s="675">
        <v>0</v>
      </c>
      <c r="U63" s="675">
        <v>5</v>
      </c>
      <c r="V63" s="676">
        <f t="shared" si="5"/>
        <v>0</v>
      </c>
      <c r="W63" s="677">
        <v>1</v>
      </c>
      <c r="X63" s="678">
        <f t="shared" si="10"/>
        <v>0</v>
      </c>
    </row>
    <row r="64" spans="2:24">
      <c r="B64" s="673">
        <f t="shared" si="11"/>
        <v>2051</v>
      </c>
      <c r="C64" s="679"/>
      <c r="D64" s="666">
        <v>1</v>
      </c>
      <c r="E64" s="667">
        <f t="shared" si="13"/>
        <v>0.66390000000000005</v>
      </c>
      <c r="F64" s="667">
        <f t="shared" si="13"/>
        <v>0.1285</v>
      </c>
      <c r="G64" s="667">
        <f t="shared" si="12"/>
        <v>0</v>
      </c>
      <c r="H64" s="667">
        <f t="shared" si="13"/>
        <v>0</v>
      </c>
      <c r="I64" s="667">
        <f t="shared" si="12"/>
        <v>0</v>
      </c>
      <c r="J64" s="667">
        <f t="shared" si="13"/>
        <v>8.0999999999999996E-3</v>
      </c>
      <c r="K64" s="667">
        <f t="shared" si="13"/>
        <v>0</v>
      </c>
      <c r="L64" s="667">
        <f t="shared" si="13"/>
        <v>0.1071</v>
      </c>
      <c r="M64" s="667">
        <f t="shared" si="13"/>
        <v>1.77E-2</v>
      </c>
      <c r="N64" s="667">
        <f t="shared" si="13"/>
        <v>1.3299999999999999E-2</v>
      </c>
      <c r="O64" s="667">
        <f t="shared" si="13"/>
        <v>6.2100000000000002E-2</v>
      </c>
      <c r="P64" s="674">
        <f t="shared" si="9"/>
        <v>1.0006999999999999</v>
      </c>
      <c r="S64" s="673">
        <f t="shared" si="4"/>
        <v>2051</v>
      </c>
      <c r="T64" s="675">
        <v>0</v>
      </c>
      <c r="U64" s="675">
        <v>5</v>
      </c>
      <c r="V64" s="676">
        <f t="shared" si="5"/>
        <v>0</v>
      </c>
      <c r="W64" s="677">
        <v>1</v>
      </c>
      <c r="X64" s="678">
        <f t="shared" si="10"/>
        <v>0</v>
      </c>
    </row>
    <row r="65" spans="2:24">
      <c r="B65" s="673">
        <f t="shared" si="11"/>
        <v>2052</v>
      </c>
      <c r="C65" s="679"/>
      <c r="D65" s="666">
        <v>1</v>
      </c>
      <c r="E65" s="667">
        <f t="shared" si="13"/>
        <v>0.66390000000000005</v>
      </c>
      <c r="F65" s="667">
        <f t="shared" si="13"/>
        <v>0.1285</v>
      </c>
      <c r="G65" s="667">
        <f t="shared" si="12"/>
        <v>0</v>
      </c>
      <c r="H65" s="667">
        <f t="shared" si="13"/>
        <v>0</v>
      </c>
      <c r="I65" s="667">
        <f t="shared" si="12"/>
        <v>0</v>
      </c>
      <c r="J65" s="667">
        <f t="shared" si="13"/>
        <v>8.0999999999999996E-3</v>
      </c>
      <c r="K65" s="667">
        <f t="shared" si="13"/>
        <v>0</v>
      </c>
      <c r="L65" s="667">
        <f t="shared" si="13"/>
        <v>0.1071</v>
      </c>
      <c r="M65" s="667">
        <f t="shared" si="13"/>
        <v>1.77E-2</v>
      </c>
      <c r="N65" s="667">
        <f t="shared" si="13"/>
        <v>1.3299999999999999E-2</v>
      </c>
      <c r="O65" s="667">
        <f t="shared" si="13"/>
        <v>6.2100000000000002E-2</v>
      </c>
      <c r="P65" s="674">
        <f t="shared" si="9"/>
        <v>1.0006999999999999</v>
      </c>
      <c r="S65" s="673">
        <f t="shared" si="4"/>
        <v>2052</v>
      </c>
      <c r="T65" s="675">
        <v>0</v>
      </c>
      <c r="U65" s="675">
        <v>5</v>
      </c>
      <c r="V65" s="676">
        <f t="shared" si="5"/>
        <v>0</v>
      </c>
      <c r="W65" s="677">
        <v>1</v>
      </c>
      <c r="X65" s="678">
        <f t="shared" si="10"/>
        <v>0</v>
      </c>
    </row>
    <row r="66" spans="2:24">
      <c r="B66" s="673">
        <f t="shared" si="11"/>
        <v>2053</v>
      </c>
      <c r="C66" s="679"/>
      <c r="D66" s="666">
        <v>1</v>
      </c>
      <c r="E66" s="667">
        <f t="shared" si="13"/>
        <v>0.66390000000000005</v>
      </c>
      <c r="F66" s="667">
        <f t="shared" si="13"/>
        <v>0.1285</v>
      </c>
      <c r="G66" s="667">
        <f t="shared" si="12"/>
        <v>0</v>
      </c>
      <c r="H66" s="667">
        <f t="shared" si="13"/>
        <v>0</v>
      </c>
      <c r="I66" s="667">
        <f t="shared" si="12"/>
        <v>0</v>
      </c>
      <c r="J66" s="667">
        <f t="shared" si="13"/>
        <v>8.0999999999999996E-3</v>
      </c>
      <c r="K66" s="667">
        <f t="shared" si="13"/>
        <v>0</v>
      </c>
      <c r="L66" s="667">
        <f t="shared" si="13"/>
        <v>0.1071</v>
      </c>
      <c r="M66" s="667">
        <f t="shared" si="13"/>
        <v>1.77E-2</v>
      </c>
      <c r="N66" s="667">
        <f t="shared" si="13"/>
        <v>1.3299999999999999E-2</v>
      </c>
      <c r="O66" s="667">
        <f t="shared" si="13"/>
        <v>6.2100000000000002E-2</v>
      </c>
      <c r="P66" s="674">
        <f t="shared" si="9"/>
        <v>1.0006999999999999</v>
      </c>
      <c r="S66" s="673">
        <f t="shared" si="4"/>
        <v>2053</v>
      </c>
      <c r="T66" s="675">
        <v>0</v>
      </c>
      <c r="U66" s="675">
        <v>5</v>
      </c>
      <c r="V66" s="676">
        <f t="shared" si="5"/>
        <v>0</v>
      </c>
      <c r="W66" s="677">
        <v>1</v>
      </c>
      <c r="X66" s="678">
        <f t="shared" si="10"/>
        <v>0</v>
      </c>
    </row>
    <row r="67" spans="2:24">
      <c r="B67" s="673">
        <f t="shared" si="11"/>
        <v>2054</v>
      </c>
      <c r="C67" s="679"/>
      <c r="D67" s="666">
        <v>1</v>
      </c>
      <c r="E67" s="667">
        <f t="shared" si="13"/>
        <v>0.66390000000000005</v>
      </c>
      <c r="F67" s="667">
        <f t="shared" si="13"/>
        <v>0.1285</v>
      </c>
      <c r="G67" s="667">
        <f t="shared" si="12"/>
        <v>0</v>
      </c>
      <c r="H67" s="667">
        <f t="shared" si="13"/>
        <v>0</v>
      </c>
      <c r="I67" s="667">
        <f t="shared" si="12"/>
        <v>0</v>
      </c>
      <c r="J67" s="667">
        <f t="shared" si="13"/>
        <v>8.0999999999999996E-3</v>
      </c>
      <c r="K67" s="667">
        <f t="shared" si="13"/>
        <v>0</v>
      </c>
      <c r="L67" s="667">
        <f t="shared" si="13"/>
        <v>0.1071</v>
      </c>
      <c r="M67" s="667">
        <f t="shared" si="13"/>
        <v>1.77E-2</v>
      </c>
      <c r="N67" s="667">
        <f t="shared" si="13"/>
        <v>1.3299999999999999E-2</v>
      </c>
      <c r="O67" s="667">
        <f t="shared" si="13"/>
        <v>6.2100000000000002E-2</v>
      </c>
      <c r="P67" s="674">
        <f t="shared" si="9"/>
        <v>1.0006999999999999</v>
      </c>
      <c r="S67" s="673">
        <f t="shared" si="4"/>
        <v>2054</v>
      </c>
      <c r="T67" s="675">
        <v>0</v>
      </c>
      <c r="U67" s="675">
        <v>5</v>
      </c>
      <c r="V67" s="676">
        <f t="shared" si="5"/>
        <v>0</v>
      </c>
      <c r="W67" s="677">
        <v>1</v>
      </c>
      <c r="X67" s="678">
        <f t="shared" si="10"/>
        <v>0</v>
      </c>
    </row>
    <row r="68" spans="2:24">
      <c r="B68" s="673">
        <f t="shared" si="11"/>
        <v>2055</v>
      </c>
      <c r="C68" s="679"/>
      <c r="D68" s="666">
        <v>1</v>
      </c>
      <c r="E68" s="667">
        <f t="shared" si="13"/>
        <v>0.66390000000000005</v>
      </c>
      <c r="F68" s="667">
        <f t="shared" si="13"/>
        <v>0.1285</v>
      </c>
      <c r="G68" s="667">
        <f t="shared" si="12"/>
        <v>0</v>
      </c>
      <c r="H68" s="667">
        <f t="shared" si="13"/>
        <v>0</v>
      </c>
      <c r="I68" s="667">
        <f t="shared" si="12"/>
        <v>0</v>
      </c>
      <c r="J68" s="667">
        <f t="shared" si="13"/>
        <v>8.0999999999999996E-3</v>
      </c>
      <c r="K68" s="667">
        <f t="shared" si="13"/>
        <v>0</v>
      </c>
      <c r="L68" s="667">
        <f t="shared" si="13"/>
        <v>0.1071</v>
      </c>
      <c r="M68" s="667">
        <f t="shared" si="13"/>
        <v>1.77E-2</v>
      </c>
      <c r="N68" s="667">
        <f t="shared" si="13"/>
        <v>1.3299999999999999E-2</v>
      </c>
      <c r="O68" s="667">
        <f t="shared" si="13"/>
        <v>6.2100000000000002E-2</v>
      </c>
      <c r="P68" s="674">
        <f t="shared" si="9"/>
        <v>1.0006999999999999</v>
      </c>
      <c r="S68" s="673">
        <f t="shared" si="4"/>
        <v>2055</v>
      </c>
      <c r="T68" s="675">
        <v>0</v>
      </c>
      <c r="U68" s="675">
        <v>5</v>
      </c>
      <c r="V68" s="676">
        <f t="shared" si="5"/>
        <v>0</v>
      </c>
      <c r="W68" s="677">
        <v>1</v>
      </c>
      <c r="X68" s="678">
        <f t="shared" si="10"/>
        <v>0</v>
      </c>
    </row>
    <row r="69" spans="2:24">
      <c r="B69" s="673">
        <f t="shared" si="11"/>
        <v>2056</v>
      </c>
      <c r="C69" s="679"/>
      <c r="D69" s="666">
        <v>1</v>
      </c>
      <c r="E69" s="667">
        <f t="shared" si="13"/>
        <v>0.66390000000000005</v>
      </c>
      <c r="F69" s="667">
        <f t="shared" si="13"/>
        <v>0.1285</v>
      </c>
      <c r="G69" s="667">
        <f t="shared" si="13"/>
        <v>0</v>
      </c>
      <c r="H69" s="667">
        <f t="shared" si="13"/>
        <v>0</v>
      </c>
      <c r="I69" s="667">
        <f t="shared" si="13"/>
        <v>0</v>
      </c>
      <c r="J69" s="667">
        <f t="shared" si="13"/>
        <v>8.0999999999999996E-3</v>
      </c>
      <c r="K69" s="667">
        <f t="shared" si="13"/>
        <v>0</v>
      </c>
      <c r="L69" s="667">
        <f t="shared" si="13"/>
        <v>0.1071</v>
      </c>
      <c r="M69" s="667">
        <f t="shared" si="13"/>
        <v>1.77E-2</v>
      </c>
      <c r="N69" s="667">
        <f t="shared" si="13"/>
        <v>1.3299999999999999E-2</v>
      </c>
      <c r="O69" s="667">
        <f t="shared" si="13"/>
        <v>6.2100000000000002E-2</v>
      </c>
      <c r="P69" s="674">
        <f t="shared" si="9"/>
        <v>1.0006999999999999</v>
      </c>
      <c r="S69" s="673">
        <f t="shared" si="4"/>
        <v>2056</v>
      </c>
      <c r="T69" s="675">
        <v>0</v>
      </c>
      <c r="U69" s="675">
        <v>5</v>
      </c>
      <c r="V69" s="676">
        <f t="shared" si="5"/>
        <v>0</v>
      </c>
      <c r="W69" s="677">
        <v>1</v>
      </c>
      <c r="X69" s="678">
        <f t="shared" si="10"/>
        <v>0</v>
      </c>
    </row>
    <row r="70" spans="2:24">
      <c r="B70" s="673">
        <f t="shared" si="11"/>
        <v>2057</v>
      </c>
      <c r="C70" s="679"/>
      <c r="D70" s="666">
        <v>1</v>
      </c>
      <c r="E70" s="667">
        <f t="shared" si="13"/>
        <v>0.66390000000000005</v>
      </c>
      <c r="F70" s="667">
        <f t="shared" si="13"/>
        <v>0.1285</v>
      </c>
      <c r="G70" s="667">
        <f t="shared" si="13"/>
        <v>0</v>
      </c>
      <c r="H70" s="667">
        <f t="shared" si="13"/>
        <v>0</v>
      </c>
      <c r="I70" s="667">
        <f t="shared" si="13"/>
        <v>0</v>
      </c>
      <c r="J70" s="667">
        <f t="shared" si="13"/>
        <v>8.0999999999999996E-3</v>
      </c>
      <c r="K70" s="667">
        <f t="shared" si="13"/>
        <v>0</v>
      </c>
      <c r="L70" s="667">
        <f t="shared" si="13"/>
        <v>0.1071</v>
      </c>
      <c r="M70" s="667">
        <f t="shared" si="13"/>
        <v>1.77E-2</v>
      </c>
      <c r="N70" s="667">
        <f t="shared" si="13"/>
        <v>1.3299999999999999E-2</v>
      </c>
      <c r="O70" s="667">
        <f t="shared" si="13"/>
        <v>6.2100000000000002E-2</v>
      </c>
      <c r="P70" s="674">
        <f t="shared" si="9"/>
        <v>1.0006999999999999</v>
      </c>
      <c r="S70" s="673">
        <f t="shared" si="4"/>
        <v>2057</v>
      </c>
      <c r="T70" s="675">
        <v>0</v>
      </c>
      <c r="U70" s="675">
        <v>5</v>
      </c>
      <c r="V70" s="676">
        <f t="shared" si="5"/>
        <v>0</v>
      </c>
      <c r="W70" s="677">
        <v>1</v>
      </c>
      <c r="X70" s="678">
        <f t="shared" si="10"/>
        <v>0</v>
      </c>
    </row>
    <row r="71" spans="2:24">
      <c r="B71" s="673">
        <f t="shared" si="11"/>
        <v>2058</v>
      </c>
      <c r="C71" s="679"/>
      <c r="D71" s="666">
        <v>1</v>
      </c>
      <c r="E71" s="667">
        <f t="shared" si="13"/>
        <v>0.66390000000000005</v>
      </c>
      <c r="F71" s="667">
        <f t="shared" si="13"/>
        <v>0.1285</v>
      </c>
      <c r="G71" s="667">
        <f t="shared" si="13"/>
        <v>0</v>
      </c>
      <c r="H71" s="667">
        <f t="shared" si="13"/>
        <v>0</v>
      </c>
      <c r="I71" s="667">
        <f t="shared" si="13"/>
        <v>0</v>
      </c>
      <c r="J71" s="667">
        <f t="shared" si="13"/>
        <v>8.0999999999999996E-3</v>
      </c>
      <c r="K71" s="667">
        <f t="shared" si="13"/>
        <v>0</v>
      </c>
      <c r="L71" s="667">
        <f t="shared" si="13"/>
        <v>0.1071</v>
      </c>
      <c r="M71" s="667">
        <f t="shared" si="13"/>
        <v>1.77E-2</v>
      </c>
      <c r="N71" s="667">
        <f t="shared" si="13"/>
        <v>1.3299999999999999E-2</v>
      </c>
      <c r="O71" s="667">
        <f t="shared" si="13"/>
        <v>6.2100000000000002E-2</v>
      </c>
      <c r="P71" s="674">
        <f t="shared" si="9"/>
        <v>1.0006999999999999</v>
      </c>
      <c r="S71" s="673">
        <f t="shared" si="4"/>
        <v>2058</v>
      </c>
      <c r="T71" s="675">
        <v>0</v>
      </c>
      <c r="U71" s="675">
        <v>5</v>
      </c>
      <c r="V71" s="676">
        <f t="shared" si="5"/>
        <v>0</v>
      </c>
      <c r="W71" s="677">
        <v>1</v>
      </c>
      <c r="X71" s="678">
        <f t="shared" si="10"/>
        <v>0</v>
      </c>
    </row>
    <row r="72" spans="2:24">
      <c r="B72" s="673">
        <f t="shared" si="11"/>
        <v>2059</v>
      </c>
      <c r="C72" s="679"/>
      <c r="D72" s="666">
        <v>1</v>
      </c>
      <c r="E72" s="667">
        <f t="shared" si="13"/>
        <v>0.66390000000000005</v>
      </c>
      <c r="F72" s="667">
        <f t="shared" si="13"/>
        <v>0.1285</v>
      </c>
      <c r="G72" s="667">
        <f t="shared" si="13"/>
        <v>0</v>
      </c>
      <c r="H72" s="667">
        <f t="shared" si="13"/>
        <v>0</v>
      </c>
      <c r="I72" s="667">
        <f t="shared" si="13"/>
        <v>0</v>
      </c>
      <c r="J72" s="667">
        <f t="shared" si="13"/>
        <v>8.0999999999999996E-3</v>
      </c>
      <c r="K72" s="667">
        <f t="shared" si="13"/>
        <v>0</v>
      </c>
      <c r="L72" s="667">
        <f t="shared" si="13"/>
        <v>0.1071</v>
      </c>
      <c r="M72" s="667">
        <f t="shared" si="13"/>
        <v>1.77E-2</v>
      </c>
      <c r="N72" s="667">
        <f t="shared" si="13"/>
        <v>1.3299999999999999E-2</v>
      </c>
      <c r="O72" s="667">
        <f t="shared" si="13"/>
        <v>6.2100000000000002E-2</v>
      </c>
      <c r="P72" s="674">
        <f t="shared" si="9"/>
        <v>1.0006999999999999</v>
      </c>
      <c r="S72" s="673">
        <f t="shared" si="4"/>
        <v>2059</v>
      </c>
      <c r="T72" s="675">
        <v>0</v>
      </c>
      <c r="U72" s="675">
        <v>5</v>
      </c>
      <c r="V72" s="676">
        <f t="shared" si="5"/>
        <v>0</v>
      </c>
      <c r="W72" s="677">
        <v>1</v>
      </c>
      <c r="X72" s="678">
        <f t="shared" si="10"/>
        <v>0</v>
      </c>
    </row>
    <row r="73" spans="2:24">
      <c r="B73" s="673">
        <f t="shared" si="11"/>
        <v>2060</v>
      </c>
      <c r="C73" s="679"/>
      <c r="D73" s="666">
        <v>1</v>
      </c>
      <c r="E73" s="667">
        <f t="shared" ref="E73:O88" si="14">E$8</f>
        <v>0.66390000000000005</v>
      </c>
      <c r="F73" s="667">
        <f t="shared" si="14"/>
        <v>0.1285</v>
      </c>
      <c r="G73" s="667">
        <f t="shared" si="13"/>
        <v>0</v>
      </c>
      <c r="H73" s="667">
        <f t="shared" si="14"/>
        <v>0</v>
      </c>
      <c r="I73" s="667">
        <f t="shared" si="13"/>
        <v>0</v>
      </c>
      <c r="J73" s="667">
        <f t="shared" si="14"/>
        <v>8.0999999999999996E-3</v>
      </c>
      <c r="K73" s="667">
        <f t="shared" si="14"/>
        <v>0</v>
      </c>
      <c r="L73" s="667">
        <f t="shared" si="14"/>
        <v>0.1071</v>
      </c>
      <c r="M73" s="667">
        <f t="shared" si="14"/>
        <v>1.77E-2</v>
      </c>
      <c r="N73" s="667">
        <f t="shared" si="14"/>
        <v>1.3299999999999999E-2</v>
      </c>
      <c r="O73" s="667">
        <f t="shared" si="14"/>
        <v>6.2100000000000002E-2</v>
      </c>
      <c r="P73" s="674">
        <f t="shared" si="9"/>
        <v>1.0006999999999999</v>
      </c>
      <c r="S73" s="673">
        <f t="shared" si="4"/>
        <v>2060</v>
      </c>
      <c r="T73" s="675">
        <v>0</v>
      </c>
      <c r="U73" s="675">
        <v>5</v>
      </c>
      <c r="V73" s="676">
        <f t="shared" si="5"/>
        <v>0</v>
      </c>
      <c r="W73" s="677">
        <v>1</v>
      </c>
      <c r="X73" s="678">
        <f t="shared" si="10"/>
        <v>0</v>
      </c>
    </row>
    <row r="74" spans="2:24">
      <c r="B74" s="673">
        <f t="shared" si="11"/>
        <v>2061</v>
      </c>
      <c r="C74" s="679"/>
      <c r="D74" s="666">
        <v>1</v>
      </c>
      <c r="E74" s="667">
        <f t="shared" si="14"/>
        <v>0.66390000000000005</v>
      </c>
      <c r="F74" s="667">
        <f t="shared" si="14"/>
        <v>0.1285</v>
      </c>
      <c r="G74" s="667">
        <f t="shared" si="13"/>
        <v>0</v>
      </c>
      <c r="H74" s="667">
        <f t="shared" si="14"/>
        <v>0</v>
      </c>
      <c r="I74" s="667">
        <f t="shared" si="13"/>
        <v>0</v>
      </c>
      <c r="J74" s="667">
        <f t="shared" si="14"/>
        <v>8.0999999999999996E-3</v>
      </c>
      <c r="K74" s="667">
        <f t="shared" si="14"/>
        <v>0</v>
      </c>
      <c r="L74" s="667">
        <f t="shared" si="14"/>
        <v>0.1071</v>
      </c>
      <c r="M74" s="667">
        <f t="shared" si="14"/>
        <v>1.77E-2</v>
      </c>
      <c r="N74" s="667">
        <f t="shared" si="14"/>
        <v>1.3299999999999999E-2</v>
      </c>
      <c r="O74" s="667">
        <f t="shared" si="14"/>
        <v>6.2100000000000002E-2</v>
      </c>
      <c r="P74" s="674">
        <f t="shared" si="9"/>
        <v>1.0006999999999999</v>
      </c>
      <c r="S74" s="673">
        <f t="shared" si="4"/>
        <v>2061</v>
      </c>
      <c r="T74" s="675">
        <v>0</v>
      </c>
      <c r="U74" s="675">
        <v>5</v>
      </c>
      <c r="V74" s="676">
        <f t="shared" si="5"/>
        <v>0</v>
      </c>
      <c r="W74" s="677">
        <v>1</v>
      </c>
      <c r="X74" s="678">
        <f t="shared" si="10"/>
        <v>0</v>
      </c>
    </row>
    <row r="75" spans="2:24">
      <c r="B75" s="673">
        <f t="shared" si="11"/>
        <v>2062</v>
      </c>
      <c r="C75" s="679"/>
      <c r="D75" s="666">
        <v>1</v>
      </c>
      <c r="E75" s="667">
        <f t="shared" si="14"/>
        <v>0.66390000000000005</v>
      </c>
      <c r="F75" s="667">
        <f t="shared" si="14"/>
        <v>0.1285</v>
      </c>
      <c r="G75" s="667">
        <f t="shared" si="13"/>
        <v>0</v>
      </c>
      <c r="H75" s="667">
        <f t="shared" si="14"/>
        <v>0</v>
      </c>
      <c r="I75" s="667">
        <f t="shared" si="13"/>
        <v>0</v>
      </c>
      <c r="J75" s="667">
        <f t="shared" si="14"/>
        <v>8.0999999999999996E-3</v>
      </c>
      <c r="K75" s="667">
        <f t="shared" si="14"/>
        <v>0</v>
      </c>
      <c r="L75" s="667">
        <f t="shared" si="14"/>
        <v>0.1071</v>
      </c>
      <c r="M75" s="667">
        <f t="shared" si="14"/>
        <v>1.77E-2</v>
      </c>
      <c r="N75" s="667">
        <f t="shared" si="14"/>
        <v>1.3299999999999999E-2</v>
      </c>
      <c r="O75" s="667">
        <f t="shared" si="14"/>
        <v>6.2100000000000002E-2</v>
      </c>
      <c r="P75" s="674">
        <f t="shared" si="9"/>
        <v>1.0006999999999999</v>
      </c>
      <c r="S75" s="673">
        <f t="shared" si="4"/>
        <v>2062</v>
      </c>
      <c r="T75" s="675">
        <v>0</v>
      </c>
      <c r="U75" s="675">
        <v>5</v>
      </c>
      <c r="V75" s="676">
        <f t="shared" si="5"/>
        <v>0</v>
      </c>
      <c r="W75" s="677">
        <v>1</v>
      </c>
      <c r="X75" s="678">
        <f t="shared" si="10"/>
        <v>0</v>
      </c>
    </row>
    <row r="76" spans="2:24">
      <c r="B76" s="673">
        <f t="shared" si="11"/>
        <v>2063</v>
      </c>
      <c r="C76" s="679"/>
      <c r="D76" s="666">
        <v>1</v>
      </c>
      <c r="E76" s="667">
        <f t="shared" si="14"/>
        <v>0.66390000000000005</v>
      </c>
      <c r="F76" s="667">
        <f t="shared" si="14"/>
        <v>0.1285</v>
      </c>
      <c r="G76" s="667">
        <f t="shared" si="13"/>
        <v>0</v>
      </c>
      <c r="H76" s="667">
        <f t="shared" si="14"/>
        <v>0</v>
      </c>
      <c r="I76" s="667">
        <f t="shared" si="13"/>
        <v>0</v>
      </c>
      <c r="J76" s="667">
        <f t="shared" si="14"/>
        <v>8.0999999999999996E-3</v>
      </c>
      <c r="K76" s="667">
        <f t="shared" si="14"/>
        <v>0</v>
      </c>
      <c r="L76" s="667">
        <f t="shared" si="14"/>
        <v>0.1071</v>
      </c>
      <c r="M76" s="667">
        <f t="shared" si="14"/>
        <v>1.77E-2</v>
      </c>
      <c r="N76" s="667">
        <f t="shared" si="14"/>
        <v>1.3299999999999999E-2</v>
      </c>
      <c r="O76" s="667">
        <f t="shared" si="14"/>
        <v>6.2100000000000002E-2</v>
      </c>
      <c r="P76" s="674">
        <f t="shared" si="9"/>
        <v>1.0006999999999999</v>
      </c>
      <c r="S76" s="673">
        <f t="shared" si="4"/>
        <v>2063</v>
      </c>
      <c r="T76" s="675">
        <v>0</v>
      </c>
      <c r="U76" s="675">
        <v>5</v>
      </c>
      <c r="V76" s="676">
        <f t="shared" si="5"/>
        <v>0</v>
      </c>
      <c r="W76" s="677">
        <v>1</v>
      </c>
      <c r="X76" s="678">
        <f t="shared" si="10"/>
        <v>0</v>
      </c>
    </row>
    <row r="77" spans="2:24">
      <c r="B77" s="673">
        <f t="shared" si="11"/>
        <v>2064</v>
      </c>
      <c r="C77" s="679"/>
      <c r="D77" s="666">
        <v>1</v>
      </c>
      <c r="E77" s="667">
        <f t="shared" si="14"/>
        <v>0.66390000000000005</v>
      </c>
      <c r="F77" s="667">
        <f t="shared" si="14"/>
        <v>0.1285</v>
      </c>
      <c r="G77" s="667">
        <f t="shared" si="13"/>
        <v>0</v>
      </c>
      <c r="H77" s="667">
        <f t="shared" si="14"/>
        <v>0</v>
      </c>
      <c r="I77" s="667">
        <f t="shared" si="13"/>
        <v>0</v>
      </c>
      <c r="J77" s="667">
        <f t="shared" si="14"/>
        <v>8.0999999999999996E-3</v>
      </c>
      <c r="K77" s="667">
        <f t="shared" si="14"/>
        <v>0</v>
      </c>
      <c r="L77" s="667">
        <f t="shared" si="14"/>
        <v>0.1071</v>
      </c>
      <c r="M77" s="667">
        <f t="shared" si="14"/>
        <v>1.77E-2</v>
      </c>
      <c r="N77" s="667">
        <f t="shared" si="14"/>
        <v>1.3299999999999999E-2</v>
      </c>
      <c r="O77" s="667">
        <f t="shared" si="14"/>
        <v>6.2100000000000002E-2</v>
      </c>
      <c r="P77" s="674">
        <f t="shared" ref="P77:P93" si="15">SUM(E77:O77)</f>
        <v>1.0006999999999999</v>
      </c>
      <c r="S77" s="673">
        <f t="shared" si="4"/>
        <v>2064</v>
      </c>
      <c r="T77" s="675">
        <v>0</v>
      </c>
      <c r="U77" s="675">
        <v>5</v>
      </c>
      <c r="V77" s="676">
        <f t="shared" si="5"/>
        <v>0</v>
      </c>
      <c r="W77" s="677">
        <v>1</v>
      </c>
      <c r="X77" s="678">
        <f t="shared" ref="X77:X93" si="16">V77*W77</f>
        <v>0</v>
      </c>
    </row>
    <row r="78" spans="2:24">
      <c r="B78" s="673">
        <f t="shared" ref="B78:B93" si="17">B77+1</f>
        <v>2065</v>
      </c>
      <c r="C78" s="679"/>
      <c r="D78" s="666">
        <v>1</v>
      </c>
      <c r="E78" s="667">
        <f t="shared" si="14"/>
        <v>0.66390000000000005</v>
      </c>
      <c r="F78" s="667">
        <f t="shared" si="14"/>
        <v>0.1285</v>
      </c>
      <c r="G78" s="667">
        <f t="shared" si="13"/>
        <v>0</v>
      </c>
      <c r="H78" s="667">
        <f t="shared" si="14"/>
        <v>0</v>
      </c>
      <c r="I78" s="667">
        <f t="shared" si="13"/>
        <v>0</v>
      </c>
      <c r="J78" s="667">
        <f t="shared" si="14"/>
        <v>8.0999999999999996E-3</v>
      </c>
      <c r="K78" s="667">
        <f t="shared" si="14"/>
        <v>0</v>
      </c>
      <c r="L78" s="667">
        <f t="shared" si="14"/>
        <v>0.1071</v>
      </c>
      <c r="M78" s="667">
        <f t="shared" si="14"/>
        <v>1.77E-2</v>
      </c>
      <c r="N78" s="667">
        <f t="shared" si="14"/>
        <v>1.3299999999999999E-2</v>
      </c>
      <c r="O78" s="667">
        <f t="shared" si="14"/>
        <v>6.2100000000000002E-2</v>
      </c>
      <c r="P78" s="674">
        <f t="shared" si="15"/>
        <v>1.0006999999999999</v>
      </c>
      <c r="S78" s="673">
        <f t="shared" ref="S78:S93" si="18">S77+1</f>
        <v>2065</v>
      </c>
      <c r="T78" s="675">
        <v>0</v>
      </c>
      <c r="U78" s="675">
        <v>5</v>
      </c>
      <c r="V78" s="676">
        <f t="shared" si="5"/>
        <v>0</v>
      </c>
      <c r="W78" s="677">
        <v>1</v>
      </c>
      <c r="X78" s="678">
        <f t="shared" si="16"/>
        <v>0</v>
      </c>
    </row>
    <row r="79" spans="2:24">
      <c r="B79" s="673">
        <f t="shared" si="17"/>
        <v>2066</v>
      </c>
      <c r="C79" s="679"/>
      <c r="D79" s="666">
        <v>1</v>
      </c>
      <c r="E79" s="667">
        <f t="shared" si="14"/>
        <v>0.66390000000000005</v>
      </c>
      <c r="F79" s="667">
        <f t="shared" si="14"/>
        <v>0.1285</v>
      </c>
      <c r="G79" s="667">
        <f t="shared" si="14"/>
        <v>0</v>
      </c>
      <c r="H79" s="667">
        <f t="shared" si="14"/>
        <v>0</v>
      </c>
      <c r="I79" s="667">
        <f t="shared" si="14"/>
        <v>0</v>
      </c>
      <c r="J79" s="667">
        <f t="shared" si="14"/>
        <v>8.0999999999999996E-3</v>
      </c>
      <c r="K79" s="667">
        <f t="shared" si="14"/>
        <v>0</v>
      </c>
      <c r="L79" s="667">
        <f t="shared" si="14"/>
        <v>0.1071</v>
      </c>
      <c r="M79" s="667">
        <f t="shared" si="14"/>
        <v>1.77E-2</v>
      </c>
      <c r="N79" s="667">
        <f t="shared" si="14"/>
        <v>1.3299999999999999E-2</v>
      </c>
      <c r="O79" s="667">
        <f t="shared" si="14"/>
        <v>6.2100000000000002E-2</v>
      </c>
      <c r="P79" s="674">
        <f t="shared" si="15"/>
        <v>1.0006999999999999</v>
      </c>
      <c r="S79" s="673">
        <f t="shared" si="18"/>
        <v>2066</v>
      </c>
      <c r="T79" s="675">
        <v>0</v>
      </c>
      <c r="U79" s="675">
        <v>5</v>
      </c>
      <c r="V79" s="676">
        <f t="shared" ref="V79:V93" si="19">T79*U79</f>
        <v>0</v>
      </c>
      <c r="W79" s="677">
        <v>1</v>
      </c>
      <c r="X79" s="678">
        <f t="shared" si="16"/>
        <v>0</v>
      </c>
    </row>
    <row r="80" spans="2:24">
      <c r="B80" s="673">
        <f t="shared" si="17"/>
        <v>2067</v>
      </c>
      <c r="C80" s="679"/>
      <c r="D80" s="666">
        <v>1</v>
      </c>
      <c r="E80" s="667">
        <f t="shared" si="14"/>
        <v>0.66390000000000005</v>
      </c>
      <c r="F80" s="667">
        <f t="shared" si="14"/>
        <v>0.1285</v>
      </c>
      <c r="G80" s="667">
        <f t="shared" si="14"/>
        <v>0</v>
      </c>
      <c r="H80" s="667">
        <f t="shared" si="14"/>
        <v>0</v>
      </c>
      <c r="I80" s="667">
        <f t="shared" si="14"/>
        <v>0</v>
      </c>
      <c r="J80" s="667">
        <f t="shared" si="14"/>
        <v>8.0999999999999996E-3</v>
      </c>
      <c r="K80" s="667">
        <f t="shared" si="14"/>
        <v>0</v>
      </c>
      <c r="L80" s="667">
        <f t="shared" si="14"/>
        <v>0.1071</v>
      </c>
      <c r="M80" s="667">
        <f t="shared" si="14"/>
        <v>1.77E-2</v>
      </c>
      <c r="N80" s="667">
        <f t="shared" si="14"/>
        <v>1.3299999999999999E-2</v>
      </c>
      <c r="O80" s="667">
        <f t="shared" si="14"/>
        <v>6.2100000000000002E-2</v>
      </c>
      <c r="P80" s="674">
        <f t="shared" si="15"/>
        <v>1.0006999999999999</v>
      </c>
      <c r="S80" s="673">
        <f t="shared" si="18"/>
        <v>2067</v>
      </c>
      <c r="T80" s="675">
        <v>0</v>
      </c>
      <c r="U80" s="675">
        <v>5</v>
      </c>
      <c r="V80" s="676">
        <f t="shared" si="19"/>
        <v>0</v>
      </c>
      <c r="W80" s="677">
        <v>1</v>
      </c>
      <c r="X80" s="678">
        <f t="shared" si="16"/>
        <v>0</v>
      </c>
    </row>
    <row r="81" spans="2:24">
      <c r="B81" s="673">
        <f t="shared" si="17"/>
        <v>2068</v>
      </c>
      <c r="C81" s="679"/>
      <c r="D81" s="666">
        <v>1</v>
      </c>
      <c r="E81" s="667">
        <f t="shared" si="14"/>
        <v>0.66390000000000005</v>
      </c>
      <c r="F81" s="667">
        <f t="shared" si="14"/>
        <v>0.1285</v>
      </c>
      <c r="G81" s="667">
        <f t="shared" si="14"/>
        <v>0</v>
      </c>
      <c r="H81" s="667">
        <f t="shared" si="14"/>
        <v>0</v>
      </c>
      <c r="I81" s="667">
        <f t="shared" si="14"/>
        <v>0</v>
      </c>
      <c r="J81" s="667">
        <f t="shared" si="14"/>
        <v>8.0999999999999996E-3</v>
      </c>
      <c r="K81" s="667">
        <f t="shared" si="14"/>
        <v>0</v>
      </c>
      <c r="L81" s="667">
        <f t="shared" si="14"/>
        <v>0.1071</v>
      </c>
      <c r="M81" s="667">
        <f t="shared" si="14"/>
        <v>1.77E-2</v>
      </c>
      <c r="N81" s="667">
        <f t="shared" si="14"/>
        <v>1.3299999999999999E-2</v>
      </c>
      <c r="O81" s="667">
        <f t="shared" si="14"/>
        <v>6.2100000000000002E-2</v>
      </c>
      <c r="P81" s="674">
        <f t="shared" si="15"/>
        <v>1.0006999999999999</v>
      </c>
      <c r="S81" s="673">
        <f t="shared" si="18"/>
        <v>2068</v>
      </c>
      <c r="T81" s="675">
        <v>0</v>
      </c>
      <c r="U81" s="675">
        <v>5</v>
      </c>
      <c r="V81" s="676">
        <f t="shared" si="19"/>
        <v>0</v>
      </c>
      <c r="W81" s="677">
        <v>1</v>
      </c>
      <c r="X81" s="678">
        <f t="shared" si="16"/>
        <v>0</v>
      </c>
    </row>
    <row r="82" spans="2:24">
      <c r="B82" s="673">
        <f t="shared" si="17"/>
        <v>2069</v>
      </c>
      <c r="C82" s="679"/>
      <c r="D82" s="666">
        <v>1</v>
      </c>
      <c r="E82" s="667">
        <f t="shared" si="14"/>
        <v>0.66390000000000005</v>
      </c>
      <c r="F82" s="667">
        <f t="shared" si="14"/>
        <v>0.1285</v>
      </c>
      <c r="G82" s="667">
        <f t="shared" si="14"/>
        <v>0</v>
      </c>
      <c r="H82" s="667">
        <f t="shared" si="14"/>
        <v>0</v>
      </c>
      <c r="I82" s="667">
        <f t="shared" si="14"/>
        <v>0</v>
      </c>
      <c r="J82" s="667">
        <f t="shared" si="14"/>
        <v>8.0999999999999996E-3</v>
      </c>
      <c r="K82" s="667">
        <f t="shared" si="14"/>
        <v>0</v>
      </c>
      <c r="L82" s="667">
        <f t="shared" si="14"/>
        <v>0.1071</v>
      </c>
      <c r="M82" s="667">
        <f t="shared" si="14"/>
        <v>1.77E-2</v>
      </c>
      <c r="N82" s="667">
        <f t="shared" si="14"/>
        <v>1.3299999999999999E-2</v>
      </c>
      <c r="O82" s="667">
        <f t="shared" si="14"/>
        <v>6.2100000000000002E-2</v>
      </c>
      <c r="P82" s="674">
        <f t="shared" si="15"/>
        <v>1.0006999999999999</v>
      </c>
      <c r="S82" s="673">
        <f t="shared" si="18"/>
        <v>2069</v>
      </c>
      <c r="T82" s="675">
        <v>0</v>
      </c>
      <c r="U82" s="675">
        <v>5</v>
      </c>
      <c r="V82" s="676">
        <f t="shared" si="19"/>
        <v>0</v>
      </c>
      <c r="W82" s="677">
        <v>1</v>
      </c>
      <c r="X82" s="678">
        <f t="shared" si="16"/>
        <v>0</v>
      </c>
    </row>
    <row r="83" spans="2:24">
      <c r="B83" s="673">
        <f t="shared" si="17"/>
        <v>2070</v>
      </c>
      <c r="C83" s="679"/>
      <c r="D83" s="666">
        <v>1</v>
      </c>
      <c r="E83" s="667">
        <f t="shared" ref="E83:O93" si="20">E$8</f>
        <v>0.66390000000000005</v>
      </c>
      <c r="F83" s="667">
        <f t="shared" si="20"/>
        <v>0.1285</v>
      </c>
      <c r="G83" s="667">
        <f t="shared" si="14"/>
        <v>0</v>
      </c>
      <c r="H83" s="667">
        <f t="shared" si="20"/>
        <v>0</v>
      </c>
      <c r="I83" s="667">
        <f t="shared" si="14"/>
        <v>0</v>
      </c>
      <c r="J83" s="667">
        <f t="shared" si="20"/>
        <v>8.0999999999999996E-3</v>
      </c>
      <c r="K83" s="667">
        <f t="shared" si="20"/>
        <v>0</v>
      </c>
      <c r="L83" s="667">
        <f t="shared" si="20"/>
        <v>0.1071</v>
      </c>
      <c r="M83" s="667">
        <f t="shared" si="20"/>
        <v>1.77E-2</v>
      </c>
      <c r="N83" s="667">
        <f t="shared" si="20"/>
        <v>1.3299999999999999E-2</v>
      </c>
      <c r="O83" s="667">
        <f t="shared" si="20"/>
        <v>6.2100000000000002E-2</v>
      </c>
      <c r="P83" s="674">
        <f t="shared" si="15"/>
        <v>1.0006999999999999</v>
      </c>
      <c r="S83" s="673">
        <f t="shared" si="18"/>
        <v>2070</v>
      </c>
      <c r="T83" s="675">
        <v>0</v>
      </c>
      <c r="U83" s="675">
        <v>5</v>
      </c>
      <c r="V83" s="676">
        <f t="shared" si="19"/>
        <v>0</v>
      </c>
      <c r="W83" s="677">
        <v>1</v>
      </c>
      <c r="X83" s="678">
        <f t="shared" si="16"/>
        <v>0</v>
      </c>
    </row>
    <row r="84" spans="2:24">
      <c r="B84" s="673">
        <f t="shared" si="17"/>
        <v>2071</v>
      </c>
      <c r="C84" s="679"/>
      <c r="D84" s="666">
        <v>1</v>
      </c>
      <c r="E84" s="667">
        <f t="shared" si="20"/>
        <v>0.66390000000000005</v>
      </c>
      <c r="F84" s="667">
        <f t="shared" si="20"/>
        <v>0.1285</v>
      </c>
      <c r="G84" s="667">
        <f t="shared" si="14"/>
        <v>0</v>
      </c>
      <c r="H84" s="667">
        <f t="shared" si="20"/>
        <v>0</v>
      </c>
      <c r="I84" s="667">
        <f t="shared" si="14"/>
        <v>0</v>
      </c>
      <c r="J84" s="667">
        <f t="shared" si="20"/>
        <v>8.0999999999999996E-3</v>
      </c>
      <c r="K84" s="667">
        <f t="shared" si="20"/>
        <v>0</v>
      </c>
      <c r="L84" s="667">
        <f t="shared" si="20"/>
        <v>0.1071</v>
      </c>
      <c r="M84" s="667">
        <f t="shared" si="20"/>
        <v>1.77E-2</v>
      </c>
      <c r="N84" s="667">
        <f t="shared" si="20"/>
        <v>1.3299999999999999E-2</v>
      </c>
      <c r="O84" s="667">
        <f t="shared" si="20"/>
        <v>6.2100000000000002E-2</v>
      </c>
      <c r="P84" s="674">
        <f t="shared" si="15"/>
        <v>1.0006999999999999</v>
      </c>
      <c r="S84" s="673">
        <f t="shared" si="18"/>
        <v>2071</v>
      </c>
      <c r="T84" s="675">
        <v>0</v>
      </c>
      <c r="U84" s="675">
        <v>5</v>
      </c>
      <c r="V84" s="676">
        <f t="shared" si="19"/>
        <v>0</v>
      </c>
      <c r="W84" s="677">
        <v>1</v>
      </c>
      <c r="X84" s="678">
        <f t="shared" si="16"/>
        <v>0</v>
      </c>
    </row>
    <row r="85" spans="2:24">
      <c r="B85" s="673">
        <f t="shared" si="17"/>
        <v>2072</v>
      </c>
      <c r="C85" s="679"/>
      <c r="D85" s="666">
        <v>1</v>
      </c>
      <c r="E85" s="667">
        <f t="shared" si="20"/>
        <v>0.66390000000000005</v>
      </c>
      <c r="F85" s="667">
        <f t="shared" si="20"/>
        <v>0.1285</v>
      </c>
      <c r="G85" s="667">
        <f t="shared" si="14"/>
        <v>0</v>
      </c>
      <c r="H85" s="667">
        <f t="shared" si="20"/>
        <v>0</v>
      </c>
      <c r="I85" s="667">
        <f t="shared" si="14"/>
        <v>0</v>
      </c>
      <c r="J85" s="667">
        <f t="shared" si="20"/>
        <v>8.0999999999999996E-3</v>
      </c>
      <c r="K85" s="667">
        <f t="shared" si="20"/>
        <v>0</v>
      </c>
      <c r="L85" s="667">
        <f t="shared" si="20"/>
        <v>0.1071</v>
      </c>
      <c r="M85" s="667">
        <f t="shared" si="20"/>
        <v>1.77E-2</v>
      </c>
      <c r="N85" s="667">
        <f t="shared" si="20"/>
        <v>1.3299999999999999E-2</v>
      </c>
      <c r="O85" s="667">
        <f t="shared" si="20"/>
        <v>6.2100000000000002E-2</v>
      </c>
      <c r="P85" s="674">
        <f t="shared" si="15"/>
        <v>1.0006999999999999</v>
      </c>
      <c r="S85" s="673">
        <f t="shared" si="18"/>
        <v>2072</v>
      </c>
      <c r="T85" s="675">
        <v>0</v>
      </c>
      <c r="U85" s="675">
        <v>5</v>
      </c>
      <c r="V85" s="676">
        <f t="shared" si="19"/>
        <v>0</v>
      </c>
      <c r="W85" s="677">
        <v>1</v>
      </c>
      <c r="X85" s="678">
        <f t="shared" si="16"/>
        <v>0</v>
      </c>
    </row>
    <row r="86" spans="2:24">
      <c r="B86" s="673">
        <f t="shared" si="17"/>
        <v>2073</v>
      </c>
      <c r="C86" s="679"/>
      <c r="D86" s="666">
        <v>1</v>
      </c>
      <c r="E86" s="667">
        <f t="shared" si="20"/>
        <v>0.66390000000000005</v>
      </c>
      <c r="F86" s="667">
        <f t="shared" si="20"/>
        <v>0.1285</v>
      </c>
      <c r="G86" s="667">
        <f t="shared" si="14"/>
        <v>0</v>
      </c>
      <c r="H86" s="667">
        <f t="shared" si="20"/>
        <v>0</v>
      </c>
      <c r="I86" s="667">
        <f t="shared" si="14"/>
        <v>0</v>
      </c>
      <c r="J86" s="667">
        <f t="shared" si="20"/>
        <v>8.0999999999999996E-3</v>
      </c>
      <c r="K86" s="667">
        <f t="shared" si="20"/>
        <v>0</v>
      </c>
      <c r="L86" s="667">
        <f t="shared" si="20"/>
        <v>0.1071</v>
      </c>
      <c r="M86" s="667">
        <f t="shared" si="20"/>
        <v>1.77E-2</v>
      </c>
      <c r="N86" s="667">
        <f t="shared" si="20"/>
        <v>1.3299999999999999E-2</v>
      </c>
      <c r="O86" s="667">
        <f t="shared" si="20"/>
        <v>6.2100000000000002E-2</v>
      </c>
      <c r="P86" s="674">
        <f t="shared" si="15"/>
        <v>1.0006999999999999</v>
      </c>
      <c r="S86" s="673">
        <f t="shared" si="18"/>
        <v>2073</v>
      </c>
      <c r="T86" s="675">
        <v>0</v>
      </c>
      <c r="U86" s="675">
        <v>5</v>
      </c>
      <c r="V86" s="676">
        <f t="shared" si="19"/>
        <v>0</v>
      </c>
      <c r="W86" s="677">
        <v>1</v>
      </c>
      <c r="X86" s="678">
        <f t="shared" si="16"/>
        <v>0</v>
      </c>
    </row>
    <row r="87" spans="2:24">
      <c r="B87" s="673">
        <f t="shared" si="17"/>
        <v>2074</v>
      </c>
      <c r="C87" s="679"/>
      <c r="D87" s="666">
        <v>1</v>
      </c>
      <c r="E87" s="667">
        <f t="shared" si="20"/>
        <v>0.66390000000000005</v>
      </c>
      <c r="F87" s="667">
        <f t="shared" si="20"/>
        <v>0.1285</v>
      </c>
      <c r="G87" s="667">
        <f t="shared" si="14"/>
        <v>0</v>
      </c>
      <c r="H87" s="667">
        <f t="shared" si="20"/>
        <v>0</v>
      </c>
      <c r="I87" s="667">
        <f t="shared" si="14"/>
        <v>0</v>
      </c>
      <c r="J87" s="667">
        <f t="shared" si="20"/>
        <v>8.0999999999999996E-3</v>
      </c>
      <c r="K87" s="667">
        <f t="shared" si="20"/>
        <v>0</v>
      </c>
      <c r="L87" s="667">
        <f t="shared" si="20"/>
        <v>0.1071</v>
      </c>
      <c r="M87" s="667">
        <f t="shared" si="20"/>
        <v>1.77E-2</v>
      </c>
      <c r="N87" s="667">
        <f t="shared" si="20"/>
        <v>1.3299999999999999E-2</v>
      </c>
      <c r="O87" s="667">
        <f t="shared" si="20"/>
        <v>6.2100000000000002E-2</v>
      </c>
      <c r="P87" s="674">
        <f t="shared" si="15"/>
        <v>1.0006999999999999</v>
      </c>
      <c r="S87" s="673">
        <f t="shared" si="18"/>
        <v>2074</v>
      </c>
      <c r="T87" s="675">
        <v>0</v>
      </c>
      <c r="U87" s="675">
        <v>5</v>
      </c>
      <c r="V87" s="676">
        <f t="shared" si="19"/>
        <v>0</v>
      </c>
      <c r="W87" s="677">
        <v>1</v>
      </c>
      <c r="X87" s="678">
        <f t="shared" si="16"/>
        <v>0</v>
      </c>
    </row>
    <row r="88" spans="2:24">
      <c r="B88" s="673">
        <f t="shared" si="17"/>
        <v>2075</v>
      </c>
      <c r="C88" s="679"/>
      <c r="D88" s="666">
        <v>1</v>
      </c>
      <c r="E88" s="667">
        <f t="shared" si="20"/>
        <v>0.66390000000000005</v>
      </c>
      <c r="F88" s="667">
        <f t="shared" si="20"/>
        <v>0.1285</v>
      </c>
      <c r="G88" s="667">
        <f t="shared" si="14"/>
        <v>0</v>
      </c>
      <c r="H88" s="667">
        <f t="shared" si="20"/>
        <v>0</v>
      </c>
      <c r="I88" s="667">
        <f t="shared" si="14"/>
        <v>0</v>
      </c>
      <c r="J88" s="667">
        <f t="shared" si="20"/>
        <v>8.0999999999999996E-3</v>
      </c>
      <c r="K88" s="667">
        <f t="shared" si="20"/>
        <v>0</v>
      </c>
      <c r="L88" s="667">
        <f t="shared" si="20"/>
        <v>0.1071</v>
      </c>
      <c r="M88" s="667">
        <f t="shared" si="20"/>
        <v>1.77E-2</v>
      </c>
      <c r="N88" s="667">
        <f t="shared" si="20"/>
        <v>1.3299999999999999E-2</v>
      </c>
      <c r="O88" s="667">
        <f t="shared" si="20"/>
        <v>6.2100000000000002E-2</v>
      </c>
      <c r="P88" s="674">
        <f t="shared" si="15"/>
        <v>1.0006999999999999</v>
      </c>
      <c r="S88" s="673">
        <f t="shared" si="18"/>
        <v>2075</v>
      </c>
      <c r="T88" s="675">
        <v>0</v>
      </c>
      <c r="U88" s="675">
        <v>5</v>
      </c>
      <c r="V88" s="676">
        <f t="shared" si="19"/>
        <v>0</v>
      </c>
      <c r="W88" s="677">
        <v>1</v>
      </c>
      <c r="X88" s="678">
        <f t="shared" si="16"/>
        <v>0</v>
      </c>
    </row>
    <row r="89" spans="2:24">
      <c r="B89" s="673">
        <f t="shared" si="17"/>
        <v>2076</v>
      </c>
      <c r="C89" s="679"/>
      <c r="D89" s="666">
        <v>1</v>
      </c>
      <c r="E89" s="667">
        <f t="shared" si="20"/>
        <v>0.66390000000000005</v>
      </c>
      <c r="F89" s="667">
        <f t="shared" si="20"/>
        <v>0.1285</v>
      </c>
      <c r="G89" s="667">
        <f t="shared" si="20"/>
        <v>0</v>
      </c>
      <c r="H89" s="667">
        <f t="shared" si="20"/>
        <v>0</v>
      </c>
      <c r="I89" s="667">
        <f t="shared" si="20"/>
        <v>0</v>
      </c>
      <c r="J89" s="667">
        <f t="shared" si="20"/>
        <v>8.0999999999999996E-3</v>
      </c>
      <c r="K89" s="667">
        <f t="shared" si="20"/>
        <v>0</v>
      </c>
      <c r="L89" s="667">
        <f t="shared" si="20"/>
        <v>0.1071</v>
      </c>
      <c r="M89" s="667">
        <f t="shared" si="20"/>
        <v>1.77E-2</v>
      </c>
      <c r="N89" s="667">
        <f t="shared" si="20"/>
        <v>1.3299999999999999E-2</v>
      </c>
      <c r="O89" s="667">
        <f t="shared" si="20"/>
        <v>6.2100000000000002E-2</v>
      </c>
      <c r="P89" s="674">
        <f t="shared" si="15"/>
        <v>1.0006999999999999</v>
      </c>
      <c r="S89" s="673">
        <f t="shared" si="18"/>
        <v>2076</v>
      </c>
      <c r="T89" s="675">
        <v>0</v>
      </c>
      <c r="U89" s="675">
        <v>5</v>
      </c>
      <c r="V89" s="676">
        <f t="shared" si="19"/>
        <v>0</v>
      </c>
      <c r="W89" s="677">
        <v>1</v>
      </c>
      <c r="X89" s="678">
        <f t="shared" si="16"/>
        <v>0</v>
      </c>
    </row>
    <row r="90" spans="2:24">
      <c r="B90" s="673">
        <f t="shared" si="17"/>
        <v>2077</v>
      </c>
      <c r="C90" s="679"/>
      <c r="D90" s="666">
        <v>1</v>
      </c>
      <c r="E90" s="667">
        <f t="shared" si="20"/>
        <v>0.66390000000000005</v>
      </c>
      <c r="F90" s="667">
        <f t="shared" si="20"/>
        <v>0.1285</v>
      </c>
      <c r="G90" s="667">
        <f t="shared" si="20"/>
        <v>0</v>
      </c>
      <c r="H90" s="667">
        <f t="shared" si="20"/>
        <v>0</v>
      </c>
      <c r="I90" s="667">
        <f t="shared" si="20"/>
        <v>0</v>
      </c>
      <c r="J90" s="667">
        <f t="shared" si="20"/>
        <v>8.0999999999999996E-3</v>
      </c>
      <c r="K90" s="667">
        <f t="shared" si="20"/>
        <v>0</v>
      </c>
      <c r="L90" s="667">
        <f t="shared" si="20"/>
        <v>0.1071</v>
      </c>
      <c r="M90" s="667">
        <f t="shared" si="20"/>
        <v>1.77E-2</v>
      </c>
      <c r="N90" s="667">
        <f t="shared" si="20"/>
        <v>1.3299999999999999E-2</v>
      </c>
      <c r="O90" s="667">
        <f t="shared" si="20"/>
        <v>6.2100000000000002E-2</v>
      </c>
      <c r="P90" s="674">
        <f t="shared" si="15"/>
        <v>1.0006999999999999</v>
      </c>
      <c r="S90" s="673">
        <f t="shared" si="18"/>
        <v>2077</v>
      </c>
      <c r="T90" s="675">
        <v>0</v>
      </c>
      <c r="U90" s="675">
        <v>5</v>
      </c>
      <c r="V90" s="676">
        <f t="shared" si="19"/>
        <v>0</v>
      </c>
      <c r="W90" s="677">
        <v>1</v>
      </c>
      <c r="X90" s="678">
        <f t="shared" si="16"/>
        <v>0</v>
      </c>
    </row>
    <row r="91" spans="2:24">
      <c r="B91" s="673">
        <f t="shared" si="17"/>
        <v>2078</v>
      </c>
      <c r="C91" s="679"/>
      <c r="D91" s="666">
        <v>1</v>
      </c>
      <c r="E91" s="667">
        <f t="shared" si="20"/>
        <v>0.66390000000000005</v>
      </c>
      <c r="F91" s="667">
        <f t="shared" si="20"/>
        <v>0.1285</v>
      </c>
      <c r="G91" s="667">
        <f t="shared" si="20"/>
        <v>0</v>
      </c>
      <c r="H91" s="667">
        <f t="shared" si="20"/>
        <v>0</v>
      </c>
      <c r="I91" s="667">
        <f t="shared" si="20"/>
        <v>0</v>
      </c>
      <c r="J91" s="667">
        <f t="shared" si="20"/>
        <v>8.0999999999999996E-3</v>
      </c>
      <c r="K91" s="667">
        <f t="shared" si="20"/>
        <v>0</v>
      </c>
      <c r="L91" s="667">
        <f t="shared" si="20"/>
        <v>0.1071</v>
      </c>
      <c r="M91" s="667">
        <f t="shared" si="20"/>
        <v>1.77E-2</v>
      </c>
      <c r="N91" s="667">
        <f t="shared" si="20"/>
        <v>1.3299999999999999E-2</v>
      </c>
      <c r="O91" s="667">
        <f t="shared" si="20"/>
        <v>6.2100000000000002E-2</v>
      </c>
      <c r="P91" s="674">
        <f t="shared" si="15"/>
        <v>1.0006999999999999</v>
      </c>
      <c r="S91" s="673">
        <f t="shared" si="18"/>
        <v>2078</v>
      </c>
      <c r="T91" s="675">
        <v>0</v>
      </c>
      <c r="U91" s="675">
        <v>5</v>
      </c>
      <c r="V91" s="676">
        <f t="shared" si="19"/>
        <v>0</v>
      </c>
      <c r="W91" s="677">
        <v>1</v>
      </c>
      <c r="X91" s="678">
        <f t="shared" si="16"/>
        <v>0</v>
      </c>
    </row>
    <row r="92" spans="2:24">
      <c r="B92" s="673">
        <f t="shared" si="17"/>
        <v>2079</v>
      </c>
      <c r="C92" s="679"/>
      <c r="D92" s="666">
        <v>1</v>
      </c>
      <c r="E92" s="667">
        <f t="shared" si="20"/>
        <v>0.66390000000000005</v>
      </c>
      <c r="F92" s="667">
        <f t="shared" si="20"/>
        <v>0.1285</v>
      </c>
      <c r="G92" s="667">
        <f t="shared" si="20"/>
        <v>0</v>
      </c>
      <c r="H92" s="667">
        <f t="shared" si="20"/>
        <v>0</v>
      </c>
      <c r="I92" s="667">
        <f t="shared" si="20"/>
        <v>0</v>
      </c>
      <c r="J92" s="667">
        <f t="shared" si="20"/>
        <v>8.0999999999999996E-3</v>
      </c>
      <c r="K92" s="667">
        <f t="shared" si="20"/>
        <v>0</v>
      </c>
      <c r="L92" s="667">
        <f t="shared" si="20"/>
        <v>0.1071</v>
      </c>
      <c r="M92" s="667">
        <f t="shared" si="20"/>
        <v>1.77E-2</v>
      </c>
      <c r="N92" s="667">
        <f t="shared" si="20"/>
        <v>1.3299999999999999E-2</v>
      </c>
      <c r="O92" s="667">
        <f t="shared" si="20"/>
        <v>6.2100000000000002E-2</v>
      </c>
      <c r="P92" s="674">
        <f t="shared" si="15"/>
        <v>1.0006999999999999</v>
      </c>
      <c r="S92" s="673">
        <f t="shared" si="18"/>
        <v>2079</v>
      </c>
      <c r="T92" s="675">
        <v>0</v>
      </c>
      <c r="U92" s="675">
        <v>5</v>
      </c>
      <c r="V92" s="676">
        <f t="shared" si="19"/>
        <v>0</v>
      </c>
      <c r="W92" s="677">
        <v>1</v>
      </c>
      <c r="X92" s="678">
        <f t="shared" si="16"/>
        <v>0</v>
      </c>
    </row>
    <row r="93" spans="2:24" ht="13.5" thickBot="1">
      <c r="B93" s="680">
        <f t="shared" si="17"/>
        <v>2080</v>
      </c>
      <c r="C93" s="681"/>
      <c r="D93" s="666">
        <v>1</v>
      </c>
      <c r="E93" s="682">
        <f t="shared" si="20"/>
        <v>0.66390000000000005</v>
      </c>
      <c r="F93" s="682">
        <f t="shared" si="20"/>
        <v>0.1285</v>
      </c>
      <c r="G93" s="682">
        <f t="shared" si="20"/>
        <v>0</v>
      </c>
      <c r="H93" s="682">
        <f t="shared" si="20"/>
        <v>0</v>
      </c>
      <c r="I93" s="682">
        <f t="shared" si="20"/>
        <v>0</v>
      </c>
      <c r="J93" s="682">
        <f t="shared" si="20"/>
        <v>8.0999999999999996E-3</v>
      </c>
      <c r="K93" s="682">
        <f t="shared" si="20"/>
        <v>0</v>
      </c>
      <c r="L93" s="682">
        <f t="shared" si="20"/>
        <v>0.1071</v>
      </c>
      <c r="M93" s="682">
        <f t="shared" si="20"/>
        <v>1.77E-2</v>
      </c>
      <c r="N93" s="682">
        <f t="shared" si="20"/>
        <v>1.3299999999999999E-2</v>
      </c>
      <c r="O93" s="683">
        <f t="shared" si="20"/>
        <v>6.2100000000000002E-2</v>
      </c>
      <c r="P93" s="684">
        <f t="shared" si="15"/>
        <v>1.0006999999999999</v>
      </c>
      <c r="S93" s="680">
        <f t="shared" si="18"/>
        <v>2080</v>
      </c>
      <c r="T93" s="685">
        <v>0</v>
      </c>
      <c r="U93" s="686">
        <v>5</v>
      </c>
      <c r="V93" s="687">
        <f t="shared" si="19"/>
        <v>0</v>
      </c>
      <c r="W93" s="688">
        <v>1</v>
      </c>
      <c r="X93" s="689">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16"/>
    <col min="2" max="2" width="7.42578125" style="416" customWidth="1"/>
    <col min="3" max="3" width="10.42578125" style="416" customWidth="1"/>
    <col min="4" max="4" width="10.28515625" style="416" customWidth="1"/>
    <col min="5" max="5" width="11.140625" style="416" customWidth="1"/>
    <col min="6" max="7" width="11.42578125" style="416" customWidth="1"/>
    <col min="8" max="8" width="8.7109375" style="416" customWidth="1"/>
    <col min="9" max="9" width="11" style="416" customWidth="1"/>
    <col min="10" max="16384" width="8.85546875" style="416"/>
  </cols>
  <sheetData>
    <row r="2" spans="2:16" ht="18">
      <c r="B2" s="415" t="s">
        <v>241</v>
      </c>
    </row>
    <row r="3" spans="2:16" ht="13.5" thickBot="1">
      <c r="B3" s="452" t="s">
        <v>274</v>
      </c>
    </row>
    <row r="4" spans="2:16" ht="25.5">
      <c r="B4" s="457" t="s">
        <v>1</v>
      </c>
      <c r="C4" s="458" t="s">
        <v>6</v>
      </c>
      <c r="D4" s="459" t="s">
        <v>269</v>
      </c>
      <c r="E4" s="459" t="s">
        <v>267</v>
      </c>
      <c r="F4" s="459" t="s">
        <v>139</v>
      </c>
      <c r="G4" s="459" t="s">
        <v>2</v>
      </c>
      <c r="H4" s="458" t="s">
        <v>16</v>
      </c>
      <c r="I4" s="458" t="s">
        <v>229</v>
      </c>
      <c r="J4" s="458" t="s">
        <v>230</v>
      </c>
      <c r="K4" s="458" t="s">
        <v>231</v>
      </c>
      <c r="L4" s="458" t="s">
        <v>232</v>
      </c>
      <c r="M4" s="460" t="s">
        <v>233</v>
      </c>
      <c r="N4" s="460" t="s">
        <v>146</v>
      </c>
      <c r="O4" s="460" t="s">
        <v>204</v>
      </c>
      <c r="P4" s="460" t="s">
        <v>308</v>
      </c>
    </row>
    <row r="5" spans="2:16" ht="13.5" thickBot="1">
      <c r="B5" s="461"/>
      <c r="C5" s="456" t="s">
        <v>24</v>
      </c>
      <c r="D5" s="456" t="s">
        <v>24</v>
      </c>
      <c r="E5" s="456" t="s">
        <v>24</v>
      </c>
      <c r="F5" s="456" t="s">
        <v>24</v>
      </c>
      <c r="G5" s="456" t="s">
        <v>24</v>
      </c>
      <c r="H5" s="456" t="s">
        <v>24</v>
      </c>
      <c r="I5" s="456" t="s">
        <v>24</v>
      </c>
      <c r="J5" s="456" t="s">
        <v>24</v>
      </c>
      <c r="K5" s="456" t="s">
        <v>24</v>
      </c>
      <c r="L5" s="456" t="s">
        <v>24</v>
      </c>
      <c r="M5" s="456" t="s">
        <v>24</v>
      </c>
      <c r="N5" s="456" t="s">
        <v>24</v>
      </c>
      <c r="O5" s="456" t="s">
        <v>24</v>
      </c>
      <c r="P5" s="456" t="s">
        <v>24</v>
      </c>
    </row>
    <row r="6" spans="2:16">
      <c r="B6" s="422">
        <f>year</f>
        <v>2000</v>
      </c>
      <c r="C6" s="455">
        <v>0.59</v>
      </c>
      <c r="D6" s="455">
        <v>0.44</v>
      </c>
      <c r="E6" s="455">
        <v>0.44</v>
      </c>
      <c r="F6" s="455">
        <v>0.56999999999999995</v>
      </c>
      <c r="G6" s="455">
        <v>0.56999999999999995</v>
      </c>
      <c r="H6" s="455">
        <v>0.73</v>
      </c>
      <c r="I6" s="455">
        <v>0.89</v>
      </c>
      <c r="J6" s="455">
        <v>0.56999999999999995</v>
      </c>
      <c r="K6" s="455">
        <v>0.97</v>
      </c>
      <c r="L6" s="455">
        <v>0.66</v>
      </c>
      <c r="M6" s="455">
        <v>0.95</v>
      </c>
      <c r="N6" s="455">
        <v>0</v>
      </c>
      <c r="O6" s="455">
        <v>0</v>
      </c>
      <c r="P6" s="455">
        <v>0</v>
      </c>
    </row>
    <row r="7" spans="2:16">
      <c r="B7" s="417">
        <f>B6+1</f>
        <v>2001</v>
      </c>
      <c r="C7" s="455">
        <v>0.59</v>
      </c>
      <c r="D7" s="455">
        <v>0.44</v>
      </c>
      <c r="E7" s="455">
        <v>0.44</v>
      </c>
      <c r="F7" s="455">
        <v>0.56999999999999995</v>
      </c>
      <c r="G7" s="455">
        <v>0.56999999999999995</v>
      </c>
      <c r="H7" s="455">
        <v>0.73</v>
      </c>
      <c r="I7" s="455">
        <v>0.89</v>
      </c>
      <c r="J7" s="455">
        <v>0.56999999999999995</v>
      </c>
      <c r="K7" s="455">
        <v>0.97</v>
      </c>
      <c r="L7" s="455">
        <v>0.66</v>
      </c>
      <c r="M7" s="455">
        <v>0.95</v>
      </c>
      <c r="N7" s="455">
        <v>0</v>
      </c>
      <c r="O7" s="455">
        <v>0</v>
      </c>
      <c r="P7" s="455">
        <v>0</v>
      </c>
    </row>
    <row r="8" spans="2:16">
      <c r="B8" s="417">
        <f t="shared" ref="B8:B71" si="0">B7+1</f>
        <v>2002</v>
      </c>
      <c r="C8" s="455">
        <v>0.59</v>
      </c>
      <c r="D8" s="455">
        <v>0.44</v>
      </c>
      <c r="E8" s="455">
        <v>0.44</v>
      </c>
      <c r="F8" s="455">
        <v>0.56999999999999995</v>
      </c>
      <c r="G8" s="455">
        <v>0.56999999999999995</v>
      </c>
      <c r="H8" s="455">
        <v>0.73</v>
      </c>
      <c r="I8" s="455">
        <v>0.89</v>
      </c>
      <c r="J8" s="455">
        <v>0.56999999999999995</v>
      </c>
      <c r="K8" s="455">
        <v>0.97</v>
      </c>
      <c r="L8" s="455">
        <v>0.66</v>
      </c>
      <c r="M8" s="455">
        <v>0.95</v>
      </c>
      <c r="N8" s="455">
        <v>0</v>
      </c>
      <c r="O8" s="455">
        <v>0</v>
      </c>
      <c r="P8" s="455">
        <v>0</v>
      </c>
    </row>
    <row r="9" spans="2:16">
      <c r="B9" s="417">
        <f t="shared" si="0"/>
        <v>2003</v>
      </c>
      <c r="C9" s="455">
        <v>0.59</v>
      </c>
      <c r="D9" s="455">
        <v>0.44</v>
      </c>
      <c r="E9" s="455">
        <v>0.44</v>
      </c>
      <c r="F9" s="455">
        <v>0.56999999999999995</v>
      </c>
      <c r="G9" s="455">
        <v>0.56999999999999995</v>
      </c>
      <c r="H9" s="455">
        <v>0.73</v>
      </c>
      <c r="I9" s="455">
        <v>0.89</v>
      </c>
      <c r="J9" s="455">
        <v>0.56999999999999995</v>
      </c>
      <c r="K9" s="455">
        <v>0.97</v>
      </c>
      <c r="L9" s="455">
        <v>0.66</v>
      </c>
      <c r="M9" s="455">
        <v>0.95</v>
      </c>
      <c r="N9" s="455">
        <v>0</v>
      </c>
      <c r="O9" s="455">
        <v>0</v>
      </c>
      <c r="P9" s="455">
        <v>0</v>
      </c>
    </row>
    <row r="10" spans="2:16">
      <c r="B10" s="417">
        <f t="shared" si="0"/>
        <v>2004</v>
      </c>
      <c r="C10" s="455">
        <v>0.59</v>
      </c>
      <c r="D10" s="455">
        <v>0.44</v>
      </c>
      <c r="E10" s="455">
        <v>0.44</v>
      </c>
      <c r="F10" s="455">
        <v>0.56999999999999995</v>
      </c>
      <c r="G10" s="455">
        <v>0.56999999999999995</v>
      </c>
      <c r="H10" s="455">
        <v>0.73</v>
      </c>
      <c r="I10" s="455">
        <v>0.89</v>
      </c>
      <c r="J10" s="455">
        <v>0.56999999999999995</v>
      </c>
      <c r="K10" s="455">
        <v>0.97</v>
      </c>
      <c r="L10" s="455">
        <v>0.66</v>
      </c>
      <c r="M10" s="455">
        <v>0.95</v>
      </c>
      <c r="N10" s="455">
        <v>0</v>
      </c>
      <c r="O10" s="455">
        <v>0</v>
      </c>
      <c r="P10" s="455">
        <v>0</v>
      </c>
    </row>
    <row r="11" spans="2:16">
      <c r="B11" s="417">
        <f t="shared" si="0"/>
        <v>2005</v>
      </c>
      <c r="C11" s="455">
        <v>0.59</v>
      </c>
      <c r="D11" s="455">
        <v>0.44</v>
      </c>
      <c r="E11" s="455">
        <v>0.44</v>
      </c>
      <c r="F11" s="455">
        <v>0.56999999999999995</v>
      </c>
      <c r="G11" s="455">
        <v>0.56999999999999995</v>
      </c>
      <c r="H11" s="455">
        <v>0.73</v>
      </c>
      <c r="I11" s="455">
        <v>0.89</v>
      </c>
      <c r="J11" s="455">
        <v>0.56999999999999995</v>
      </c>
      <c r="K11" s="455">
        <v>0.97</v>
      </c>
      <c r="L11" s="455">
        <v>0.66</v>
      </c>
      <c r="M11" s="455">
        <v>0.95</v>
      </c>
      <c r="N11" s="455">
        <v>0</v>
      </c>
      <c r="O11" s="455">
        <v>0</v>
      </c>
      <c r="P11" s="455">
        <v>0</v>
      </c>
    </row>
    <row r="12" spans="2:16">
      <c r="B12" s="417">
        <f t="shared" si="0"/>
        <v>2006</v>
      </c>
      <c r="C12" s="455">
        <v>0.59</v>
      </c>
      <c r="D12" s="455">
        <v>0.44</v>
      </c>
      <c r="E12" s="455">
        <v>0.44</v>
      </c>
      <c r="F12" s="455">
        <v>0.56999999999999995</v>
      </c>
      <c r="G12" s="455">
        <v>0.56999999999999995</v>
      </c>
      <c r="H12" s="455">
        <v>0.73</v>
      </c>
      <c r="I12" s="455">
        <v>0.89</v>
      </c>
      <c r="J12" s="455">
        <v>0.56999999999999995</v>
      </c>
      <c r="K12" s="455">
        <v>0.97</v>
      </c>
      <c r="L12" s="455">
        <v>0.66</v>
      </c>
      <c r="M12" s="455">
        <v>0.95</v>
      </c>
      <c r="N12" s="455">
        <v>0</v>
      </c>
      <c r="O12" s="455">
        <v>0</v>
      </c>
      <c r="P12" s="455">
        <v>0</v>
      </c>
    </row>
    <row r="13" spans="2:16">
      <c r="B13" s="417">
        <f t="shared" si="0"/>
        <v>2007</v>
      </c>
      <c r="C13" s="455">
        <v>0.59</v>
      </c>
      <c r="D13" s="455">
        <v>0.44</v>
      </c>
      <c r="E13" s="455">
        <v>0.44</v>
      </c>
      <c r="F13" s="455">
        <v>0.56999999999999995</v>
      </c>
      <c r="G13" s="455">
        <v>0.56999999999999995</v>
      </c>
      <c r="H13" s="455">
        <v>0.73</v>
      </c>
      <c r="I13" s="455">
        <v>0.89</v>
      </c>
      <c r="J13" s="455">
        <v>0.56999999999999995</v>
      </c>
      <c r="K13" s="455">
        <v>0.97</v>
      </c>
      <c r="L13" s="455">
        <v>0.66</v>
      </c>
      <c r="M13" s="455">
        <v>0.95</v>
      </c>
      <c r="N13" s="455">
        <v>0</v>
      </c>
      <c r="O13" s="455">
        <v>0</v>
      </c>
      <c r="P13" s="455">
        <v>0</v>
      </c>
    </row>
    <row r="14" spans="2:16">
      <c r="B14" s="417">
        <f t="shared" si="0"/>
        <v>2008</v>
      </c>
      <c r="C14" s="455">
        <v>0.59</v>
      </c>
      <c r="D14" s="455">
        <v>0.44</v>
      </c>
      <c r="E14" s="455">
        <v>0.44</v>
      </c>
      <c r="F14" s="455">
        <v>0.56999999999999995</v>
      </c>
      <c r="G14" s="455">
        <v>0.56999999999999995</v>
      </c>
      <c r="H14" s="455">
        <v>0.73</v>
      </c>
      <c r="I14" s="455">
        <v>0.89</v>
      </c>
      <c r="J14" s="455">
        <v>0.56999999999999995</v>
      </c>
      <c r="K14" s="455">
        <v>0.97</v>
      </c>
      <c r="L14" s="455">
        <v>0.66</v>
      </c>
      <c r="M14" s="455">
        <v>0.95</v>
      </c>
      <c r="N14" s="455">
        <v>0</v>
      </c>
      <c r="O14" s="455">
        <v>0</v>
      </c>
      <c r="P14" s="455">
        <v>0</v>
      </c>
    </row>
    <row r="15" spans="2:16">
      <c r="B15" s="417">
        <f t="shared" si="0"/>
        <v>2009</v>
      </c>
      <c r="C15" s="455">
        <v>0.59</v>
      </c>
      <c r="D15" s="455">
        <v>0.44</v>
      </c>
      <c r="E15" s="455">
        <v>0.44</v>
      </c>
      <c r="F15" s="455">
        <v>0.56999999999999995</v>
      </c>
      <c r="G15" s="455">
        <v>0.56999999999999995</v>
      </c>
      <c r="H15" s="455">
        <v>0.73</v>
      </c>
      <c r="I15" s="455">
        <v>0.89</v>
      </c>
      <c r="J15" s="455">
        <v>0.56999999999999995</v>
      </c>
      <c r="K15" s="455">
        <v>0.97</v>
      </c>
      <c r="L15" s="455">
        <v>0.66</v>
      </c>
      <c r="M15" s="455">
        <v>0.95</v>
      </c>
      <c r="N15" s="455">
        <v>0</v>
      </c>
      <c r="O15" s="455">
        <v>0</v>
      </c>
      <c r="P15" s="455">
        <v>0</v>
      </c>
    </row>
    <row r="16" spans="2:16">
      <c r="B16" s="417">
        <f t="shared" si="0"/>
        <v>2010</v>
      </c>
      <c r="C16" s="455">
        <v>0.59</v>
      </c>
      <c r="D16" s="455">
        <v>0.44</v>
      </c>
      <c r="E16" s="455">
        <v>0.44</v>
      </c>
      <c r="F16" s="455">
        <v>0.56999999999999995</v>
      </c>
      <c r="G16" s="455">
        <v>0.56999999999999995</v>
      </c>
      <c r="H16" s="455">
        <v>0.73</v>
      </c>
      <c r="I16" s="455">
        <v>0.89</v>
      </c>
      <c r="J16" s="455">
        <v>0.56999999999999995</v>
      </c>
      <c r="K16" s="455">
        <v>0.97</v>
      </c>
      <c r="L16" s="455">
        <v>0.66</v>
      </c>
      <c r="M16" s="455">
        <v>0.95</v>
      </c>
      <c r="N16" s="455">
        <v>0</v>
      </c>
      <c r="O16" s="455">
        <v>0</v>
      </c>
      <c r="P16" s="455">
        <v>0</v>
      </c>
    </row>
    <row r="17" spans="2:20">
      <c r="B17" s="417">
        <f t="shared" si="0"/>
        <v>2011</v>
      </c>
      <c r="C17" s="455">
        <v>0.59</v>
      </c>
      <c r="D17" s="455">
        <v>0.44</v>
      </c>
      <c r="E17" s="455">
        <v>0.44</v>
      </c>
      <c r="F17" s="455">
        <v>0.56999999999999995</v>
      </c>
      <c r="G17" s="455">
        <v>0.56999999999999995</v>
      </c>
      <c r="H17" s="455">
        <v>0.73</v>
      </c>
      <c r="I17" s="455">
        <v>0.89</v>
      </c>
      <c r="J17" s="455">
        <v>0.56999999999999995</v>
      </c>
      <c r="K17" s="455">
        <v>0.97</v>
      </c>
      <c r="L17" s="455">
        <v>0.66</v>
      </c>
      <c r="M17" s="455">
        <v>0.95</v>
      </c>
      <c r="N17" s="455">
        <v>0</v>
      </c>
      <c r="O17" s="455">
        <v>0</v>
      </c>
      <c r="P17" s="455">
        <v>0</v>
      </c>
    </row>
    <row r="18" spans="2:20">
      <c r="B18" s="417">
        <f t="shared" si="0"/>
        <v>2012</v>
      </c>
      <c r="C18" s="455">
        <v>0.59</v>
      </c>
      <c r="D18" s="455">
        <v>0.44</v>
      </c>
      <c r="E18" s="455">
        <v>0.44</v>
      </c>
      <c r="F18" s="455">
        <v>0.56999999999999995</v>
      </c>
      <c r="G18" s="455">
        <v>0.56999999999999995</v>
      </c>
      <c r="H18" s="455">
        <v>0.73</v>
      </c>
      <c r="I18" s="455">
        <v>0.89</v>
      </c>
      <c r="J18" s="455">
        <v>0.56999999999999995</v>
      </c>
      <c r="K18" s="455">
        <v>0.97</v>
      </c>
      <c r="L18" s="455">
        <v>0.66</v>
      </c>
      <c r="M18" s="455">
        <v>0.95</v>
      </c>
      <c r="N18" s="455">
        <v>0</v>
      </c>
      <c r="O18" s="455">
        <v>0</v>
      </c>
      <c r="P18" s="455">
        <v>0</v>
      </c>
      <c r="S18" s="418"/>
      <c r="T18" s="419"/>
    </row>
    <row r="19" spans="2:20">
      <c r="B19" s="417">
        <f t="shared" si="0"/>
        <v>2013</v>
      </c>
      <c r="C19" s="455">
        <v>0.59</v>
      </c>
      <c r="D19" s="455">
        <v>0.44</v>
      </c>
      <c r="E19" s="455">
        <v>0.44</v>
      </c>
      <c r="F19" s="455">
        <v>0.56999999999999995</v>
      </c>
      <c r="G19" s="455">
        <v>0.56999999999999995</v>
      </c>
      <c r="H19" s="455">
        <v>0.73</v>
      </c>
      <c r="I19" s="455">
        <v>0.89</v>
      </c>
      <c r="J19" s="455">
        <v>0.56999999999999995</v>
      </c>
      <c r="K19" s="455">
        <v>0.97</v>
      </c>
      <c r="L19" s="455">
        <v>0.66</v>
      </c>
      <c r="M19" s="455">
        <v>0.95</v>
      </c>
      <c r="N19" s="455">
        <v>0</v>
      </c>
      <c r="O19" s="455">
        <v>0</v>
      </c>
      <c r="P19" s="455">
        <v>0</v>
      </c>
      <c r="S19" s="418"/>
      <c r="T19" s="420"/>
    </row>
    <row r="20" spans="2:20">
      <c r="B20" s="417">
        <f t="shared" si="0"/>
        <v>2014</v>
      </c>
      <c r="C20" s="455">
        <v>0.59</v>
      </c>
      <c r="D20" s="455">
        <v>0.44</v>
      </c>
      <c r="E20" s="455">
        <v>0.44</v>
      </c>
      <c r="F20" s="455">
        <v>0.56999999999999995</v>
      </c>
      <c r="G20" s="455">
        <v>0.56999999999999995</v>
      </c>
      <c r="H20" s="455">
        <v>0.73</v>
      </c>
      <c r="I20" s="455">
        <v>0.89</v>
      </c>
      <c r="J20" s="455">
        <v>0.56999999999999995</v>
      </c>
      <c r="K20" s="455">
        <v>0.97</v>
      </c>
      <c r="L20" s="455">
        <v>0.66</v>
      </c>
      <c r="M20" s="455">
        <v>0.95</v>
      </c>
      <c r="N20" s="455">
        <v>0</v>
      </c>
      <c r="O20" s="455">
        <v>0</v>
      </c>
      <c r="P20" s="455">
        <v>0</v>
      </c>
      <c r="S20" s="418"/>
      <c r="T20" s="420"/>
    </row>
    <row r="21" spans="2:20">
      <c r="B21" s="417">
        <f t="shared" si="0"/>
        <v>2015</v>
      </c>
      <c r="C21" s="455">
        <v>0.59</v>
      </c>
      <c r="D21" s="455">
        <v>0.44</v>
      </c>
      <c r="E21" s="455">
        <v>0.44</v>
      </c>
      <c r="F21" s="455">
        <v>0.56999999999999995</v>
      </c>
      <c r="G21" s="455">
        <v>0.56999999999999995</v>
      </c>
      <c r="H21" s="455">
        <v>0.73</v>
      </c>
      <c r="I21" s="455">
        <v>0.89</v>
      </c>
      <c r="J21" s="455">
        <v>0.56999999999999995</v>
      </c>
      <c r="K21" s="455">
        <v>0.97</v>
      </c>
      <c r="L21" s="455">
        <v>0.66</v>
      </c>
      <c r="M21" s="455">
        <v>0.95</v>
      </c>
      <c r="N21" s="455">
        <v>0</v>
      </c>
      <c r="O21" s="455">
        <v>0</v>
      </c>
      <c r="P21" s="455">
        <v>0</v>
      </c>
      <c r="S21" s="418"/>
      <c r="T21" s="420"/>
    </row>
    <row r="22" spans="2:20">
      <c r="B22" s="417">
        <f t="shared" si="0"/>
        <v>2016</v>
      </c>
      <c r="C22" s="455">
        <v>0.59</v>
      </c>
      <c r="D22" s="455">
        <v>0.44</v>
      </c>
      <c r="E22" s="455">
        <v>0.44</v>
      </c>
      <c r="F22" s="455">
        <v>0.56999999999999995</v>
      </c>
      <c r="G22" s="455">
        <v>0.56999999999999995</v>
      </c>
      <c r="H22" s="455">
        <v>0.73</v>
      </c>
      <c r="I22" s="455">
        <v>0.89</v>
      </c>
      <c r="J22" s="455">
        <v>0.56999999999999995</v>
      </c>
      <c r="K22" s="455">
        <v>0.97</v>
      </c>
      <c r="L22" s="455">
        <v>0.66</v>
      </c>
      <c r="M22" s="455">
        <v>0.95</v>
      </c>
      <c r="N22" s="455">
        <v>0</v>
      </c>
      <c r="O22" s="455">
        <v>0</v>
      </c>
      <c r="P22" s="455">
        <v>0</v>
      </c>
      <c r="S22" s="418"/>
      <c r="T22" s="420"/>
    </row>
    <row r="23" spans="2:20">
      <c r="B23" s="417">
        <f t="shared" si="0"/>
        <v>2017</v>
      </c>
      <c r="C23" s="455">
        <v>0.59</v>
      </c>
      <c r="D23" s="455">
        <v>0.44</v>
      </c>
      <c r="E23" s="455">
        <v>0.44</v>
      </c>
      <c r="F23" s="455">
        <v>0.56999999999999995</v>
      </c>
      <c r="G23" s="455">
        <v>0.56999999999999995</v>
      </c>
      <c r="H23" s="455">
        <v>0.73</v>
      </c>
      <c r="I23" s="455">
        <v>0.89</v>
      </c>
      <c r="J23" s="455">
        <v>0.56999999999999995</v>
      </c>
      <c r="K23" s="455">
        <v>0.97</v>
      </c>
      <c r="L23" s="455">
        <v>0.66</v>
      </c>
      <c r="M23" s="455">
        <v>0.95</v>
      </c>
      <c r="N23" s="455">
        <v>0</v>
      </c>
      <c r="O23" s="455">
        <v>0</v>
      </c>
      <c r="P23" s="455">
        <v>0</v>
      </c>
      <c r="S23" s="418"/>
      <c r="T23" s="420"/>
    </row>
    <row r="24" spans="2:20">
      <c r="B24" s="417">
        <f t="shared" si="0"/>
        <v>2018</v>
      </c>
      <c r="C24" s="455">
        <v>0.59</v>
      </c>
      <c r="D24" s="455">
        <v>0.44</v>
      </c>
      <c r="E24" s="455">
        <v>0.44</v>
      </c>
      <c r="F24" s="455">
        <v>0.56999999999999995</v>
      </c>
      <c r="G24" s="455">
        <v>0.56999999999999995</v>
      </c>
      <c r="H24" s="455">
        <v>0.73</v>
      </c>
      <c r="I24" s="455">
        <v>0.89</v>
      </c>
      <c r="J24" s="455">
        <v>0.56999999999999995</v>
      </c>
      <c r="K24" s="455">
        <v>0.97</v>
      </c>
      <c r="L24" s="455">
        <v>0.66</v>
      </c>
      <c r="M24" s="455">
        <v>0.95</v>
      </c>
      <c r="N24" s="455">
        <v>0</v>
      </c>
      <c r="O24" s="455">
        <v>0</v>
      </c>
      <c r="P24" s="455">
        <v>0</v>
      </c>
      <c r="S24" s="418"/>
      <c r="T24" s="420"/>
    </row>
    <row r="25" spans="2:20">
      <c r="B25" s="417">
        <f t="shared" si="0"/>
        <v>2019</v>
      </c>
      <c r="C25" s="455">
        <v>0.59</v>
      </c>
      <c r="D25" s="455">
        <v>0.44</v>
      </c>
      <c r="E25" s="455">
        <v>0.44</v>
      </c>
      <c r="F25" s="455">
        <v>0.56999999999999995</v>
      </c>
      <c r="G25" s="455">
        <v>0.56999999999999995</v>
      </c>
      <c r="H25" s="455">
        <v>0.73</v>
      </c>
      <c r="I25" s="455">
        <v>0.89</v>
      </c>
      <c r="J25" s="455">
        <v>0.56999999999999995</v>
      </c>
      <c r="K25" s="455">
        <v>0.97</v>
      </c>
      <c r="L25" s="455">
        <v>0.66</v>
      </c>
      <c r="M25" s="455">
        <v>0.95</v>
      </c>
      <c r="N25" s="455">
        <v>0</v>
      </c>
      <c r="O25" s="455">
        <v>0</v>
      </c>
      <c r="P25" s="455">
        <v>0</v>
      </c>
      <c r="S25" s="418"/>
      <c r="T25" s="420"/>
    </row>
    <row r="26" spans="2:20">
      <c r="B26" s="417">
        <f t="shared" si="0"/>
        <v>2020</v>
      </c>
      <c r="C26" s="455">
        <v>0.59</v>
      </c>
      <c r="D26" s="455">
        <v>0.44</v>
      </c>
      <c r="E26" s="455">
        <v>0.44</v>
      </c>
      <c r="F26" s="455">
        <v>0.56999999999999995</v>
      </c>
      <c r="G26" s="455">
        <v>0.56999999999999995</v>
      </c>
      <c r="H26" s="455">
        <v>0.73</v>
      </c>
      <c r="I26" s="455">
        <v>0.89</v>
      </c>
      <c r="J26" s="455">
        <v>0.56999999999999995</v>
      </c>
      <c r="K26" s="455">
        <v>0.97</v>
      </c>
      <c r="L26" s="455">
        <v>0.66</v>
      </c>
      <c r="M26" s="455">
        <v>0.95</v>
      </c>
      <c r="N26" s="455">
        <v>0</v>
      </c>
      <c r="O26" s="455">
        <v>0</v>
      </c>
      <c r="P26" s="455">
        <v>0</v>
      </c>
      <c r="S26" s="418"/>
      <c r="T26" s="420"/>
    </row>
    <row r="27" spans="2:20">
      <c r="B27" s="417">
        <f t="shared" si="0"/>
        <v>2021</v>
      </c>
      <c r="C27" s="455">
        <v>0.59</v>
      </c>
      <c r="D27" s="455">
        <v>0.44</v>
      </c>
      <c r="E27" s="455">
        <v>0.44</v>
      </c>
      <c r="F27" s="455">
        <v>0.56999999999999995</v>
      </c>
      <c r="G27" s="455">
        <v>0.56999999999999995</v>
      </c>
      <c r="H27" s="455">
        <v>0.73</v>
      </c>
      <c r="I27" s="455">
        <v>0.89</v>
      </c>
      <c r="J27" s="455">
        <v>0.56999999999999995</v>
      </c>
      <c r="K27" s="455">
        <v>0.97</v>
      </c>
      <c r="L27" s="455">
        <v>0.66</v>
      </c>
      <c r="M27" s="455">
        <v>0.95</v>
      </c>
      <c r="N27" s="455">
        <v>0</v>
      </c>
      <c r="O27" s="455">
        <v>0</v>
      </c>
      <c r="P27" s="455">
        <v>0</v>
      </c>
      <c r="S27" s="421"/>
      <c r="T27" s="420"/>
    </row>
    <row r="28" spans="2:20">
      <c r="B28" s="417">
        <f t="shared" si="0"/>
        <v>2022</v>
      </c>
      <c r="C28" s="455">
        <v>0.59</v>
      </c>
      <c r="D28" s="455">
        <v>0.44</v>
      </c>
      <c r="E28" s="455">
        <v>0.44</v>
      </c>
      <c r="F28" s="455">
        <v>0.56999999999999995</v>
      </c>
      <c r="G28" s="455">
        <v>0.56999999999999995</v>
      </c>
      <c r="H28" s="455">
        <v>0.73</v>
      </c>
      <c r="I28" s="455">
        <v>0.89</v>
      </c>
      <c r="J28" s="455">
        <v>0.56999999999999995</v>
      </c>
      <c r="K28" s="455">
        <v>0.97</v>
      </c>
      <c r="L28" s="455">
        <v>0.66</v>
      </c>
      <c r="M28" s="455">
        <v>0.95</v>
      </c>
      <c r="N28" s="455">
        <v>0</v>
      </c>
      <c r="O28" s="455">
        <v>0</v>
      </c>
      <c r="P28" s="455">
        <v>0</v>
      </c>
    </row>
    <row r="29" spans="2:20">
      <c r="B29" s="417">
        <f t="shared" si="0"/>
        <v>2023</v>
      </c>
      <c r="C29" s="455">
        <v>0.59</v>
      </c>
      <c r="D29" s="455">
        <v>0.44</v>
      </c>
      <c r="E29" s="455">
        <v>0.44</v>
      </c>
      <c r="F29" s="455">
        <v>0.56999999999999995</v>
      </c>
      <c r="G29" s="455">
        <v>0.56999999999999995</v>
      </c>
      <c r="H29" s="455">
        <v>0.73</v>
      </c>
      <c r="I29" s="455">
        <v>0.89</v>
      </c>
      <c r="J29" s="455">
        <v>0.56999999999999995</v>
      </c>
      <c r="K29" s="455">
        <v>0.97</v>
      </c>
      <c r="L29" s="455">
        <v>0.66</v>
      </c>
      <c r="M29" s="455">
        <v>0.95</v>
      </c>
      <c r="N29" s="455">
        <v>0</v>
      </c>
      <c r="O29" s="455">
        <v>0</v>
      </c>
      <c r="P29" s="455">
        <v>0</v>
      </c>
    </row>
    <row r="30" spans="2:20">
      <c r="B30" s="417">
        <f t="shared" si="0"/>
        <v>2024</v>
      </c>
      <c r="C30" s="455">
        <v>0.59</v>
      </c>
      <c r="D30" s="455">
        <v>0.44</v>
      </c>
      <c r="E30" s="455">
        <v>0.44</v>
      </c>
      <c r="F30" s="455">
        <v>0.56999999999999995</v>
      </c>
      <c r="G30" s="455">
        <v>0.56999999999999995</v>
      </c>
      <c r="H30" s="455">
        <v>0.73</v>
      </c>
      <c r="I30" s="455">
        <v>0.89</v>
      </c>
      <c r="J30" s="455">
        <v>0.56999999999999995</v>
      </c>
      <c r="K30" s="455">
        <v>0.97</v>
      </c>
      <c r="L30" s="455">
        <v>0.66</v>
      </c>
      <c r="M30" s="455">
        <v>0.95</v>
      </c>
      <c r="N30" s="455">
        <v>0</v>
      </c>
      <c r="O30" s="455">
        <v>0</v>
      </c>
      <c r="P30" s="455">
        <v>0</v>
      </c>
    </row>
    <row r="31" spans="2:20">
      <c r="B31" s="417">
        <f t="shared" si="0"/>
        <v>2025</v>
      </c>
      <c r="C31" s="455">
        <v>0.59</v>
      </c>
      <c r="D31" s="455">
        <v>0.44</v>
      </c>
      <c r="E31" s="455">
        <v>0.44</v>
      </c>
      <c r="F31" s="455">
        <v>0.56999999999999995</v>
      </c>
      <c r="G31" s="455">
        <v>0.56999999999999995</v>
      </c>
      <c r="H31" s="455">
        <v>0.73</v>
      </c>
      <c r="I31" s="455">
        <v>0.89</v>
      </c>
      <c r="J31" s="455">
        <v>0.56999999999999995</v>
      </c>
      <c r="K31" s="455">
        <v>0.97</v>
      </c>
      <c r="L31" s="455">
        <v>0.66</v>
      </c>
      <c r="M31" s="455">
        <v>0.95</v>
      </c>
      <c r="N31" s="455">
        <v>0</v>
      </c>
      <c r="O31" s="455">
        <v>0</v>
      </c>
      <c r="P31" s="455">
        <v>0</v>
      </c>
    </row>
    <row r="32" spans="2:20">
      <c r="B32" s="417">
        <f t="shared" si="0"/>
        <v>2026</v>
      </c>
      <c r="C32" s="455">
        <v>0.59</v>
      </c>
      <c r="D32" s="455">
        <v>0.44</v>
      </c>
      <c r="E32" s="455">
        <v>0.44</v>
      </c>
      <c r="F32" s="455">
        <v>0.56999999999999995</v>
      </c>
      <c r="G32" s="455">
        <v>0.56999999999999995</v>
      </c>
      <c r="H32" s="455">
        <v>0.73</v>
      </c>
      <c r="I32" s="455">
        <v>0.89</v>
      </c>
      <c r="J32" s="455">
        <v>0.56999999999999995</v>
      </c>
      <c r="K32" s="455">
        <v>0.97</v>
      </c>
      <c r="L32" s="455">
        <v>0.66</v>
      </c>
      <c r="M32" s="455">
        <v>0.95</v>
      </c>
      <c r="N32" s="455">
        <v>0</v>
      </c>
      <c r="O32" s="455">
        <v>0</v>
      </c>
      <c r="P32" s="455">
        <v>0</v>
      </c>
    </row>
    <row r="33" spans="2:16">
      <c r="B33" s="417">
        <f t="shared" si="0"/>
        <v>2027</v>
      </c>
      <c r="C33" s="455">
        <v>0.59</v>
      </c>
      <c r="D33" s="455">
        <v>0.44</v>
      </c>
      <c r="E33" s="455">
        <v>0.44</v>
      </c>
      <c r="F33" s="455">
        <v>0.56999999999999995</v>
      </c>
      <c r="G33" s="455">
        <v>0.56999999999999995</v>
      </c>
      <c r="H33" s="455">
        <v>0.73</v>
      </c>
      <c r="I33" s="455">
        <v>0.89</v>
      </c>
      <c r="J33" s="455">
        <v>0.56999999999999995</v>
      </c>
      <c r="K33" s="455">
        <v>0.97</v>
      </c>
      <c r="L33" s="455">
        <v>0.66</v>
      </c>
      <c r="M33" s="455">
        <v>0.95</v>
      </c>
      <c r="N33" s="455">
        <v>0</v>
      </c>
      <c r="O33" s="455">
        <v>0</v>
      </c>
      <c r="P33" s="455">
        <v>0</v>
      </c>
    </row>
    <row r="34" spans="2:16">
      <c r="B34" s="417">
        <f t="shared" si="0"/>
        <v>2028</v>
      </c>
      <c r="C34" s="455">
        <v>0.59</v>
      </c>
      <c r="D34" s="455">
        <v>0.44</v>
      </c>
      <c r="E34" s="455">
        <v>0.44</v>
      </c>
      <c r="F34" s="455">
        <v>0.56999999999999995</v>
      </c>
      <c r="G34" s="455">
        <v>0.56999999999999995</v>
      </c>
      <c r="H34" s="455">
        <v>0.73</v>
      </c>
      <c r="I34" s="455">
        <v>0.89</v>
      </c>
      <c r="J34" s="455">
        <v>0.56999999999999995</v>
      </c>
      <c r="K34" s="455">
        <v>0.97</v>
      </c>
      <c r="L34" s="455">
        <v>0.66</v>
      </c>
      <c r="M34" s="455">
        <v>0.95</v>
      </c>
      <c r="N34" s="455">
        <v>0</v>
      </c>
      <c r="O34" s="455">
        <v>0</v>
      </c>
      <c r="P34" s="455">
        <v>0</v>
      </c>
    </row>
    <row r="35" spans="2:16">
      <c r="B35" s="417">
        <f t="shared" si="0"/>
        <v>2029</v>
      </c>
      <c r="C35" s="455">
        <v>0.59</v>
      </c>
      <c r="D35" s="455">
        <v>0.44</v>
      </c>
      <c r="E35" s="455">
        <v>0.44</v>
      </c>
      <c r="F35" s="455">
        <v>0.56999999999999995</v>
      </c>
      <c r="G35" s="455">
        <v>0.56999999999999995</v>
      </c>
      <c r="H35" s="455">
        <v>0.73</v>
      </c>
      <c r="I35" s="455">
        <v>0.89</v>
      </c>
      <c r="J35" s="455">
        <v>0.56999999999999995</v>
      </c>
      <c r="K35" s="455">
        <v>0.97</v>
      </c>
      <c r="L35" s="455">
        <v>0.66</v>
      </c>
      <c r="M35" s="455">
        <v>0.95</v>
      </c>
      <c r="N35" s="455">
        <v>0</v>
      </c>
      <c r="O35" s="455">
        <v>0</v>
      </c>
      <c r="P35" s="455">
        <v>0</v>
      </c>
    </row>
    <row r="36" spans="2:16">
      <c r="B36" s="417">
        <f t="shared" si="0"/>
        <v>2030</v>
      </c>
      <c r="C36" s="455">
        <v>0.59</v>
      </c>
      <c r="D36" s="455">
        <v>0.44</v>
      </c>
      <c r="E36" s="455">
        <v>0.44</v>
      </c>
      <c r="F36" s="455">
        <v>0.56999999999999995</v>
      </c>
      <c r="G36" s="455">
        <v>0.56999999999999995</v>
      </c>
      <c r="H36" s="455">
        <v>0.73</v>
      </c>
      <c r="I36" s="455">
        <v>0.89</v>
      </c>
      <c r="J36" s="455">
        <v>0.56999999999999995</v>
      </c>
      <c r="K36" s="455">
        <v>0.97</v>
      </c>
      <c r="L36" s="455">
        <v>0.66</v>
      </c>
      <c r="M36" s="455">
        <v>0.95</v>
      </c>
      <c r="N36" s="455">
        <v>0</v>
      </c>
      <c r="O36" s="455">
        <v>0</v>
      </c>
      <c r="P36" s="455">
        <v>0</v>
      </c>
    </row>
    <row r="37" spans="2:16">
      <c r="B37" s="417">
        <f t="shared" si="0"/>
        <v>2031</v>
      </c>
      <c r="C37" s="455">
        <v>0.59</v>
      </c>
      <c r="D37" s="455">
        <v>0.44</v>
      </c>
      <c r="E37" s="455">
        <v>0.44</v>
      </c>
      <c r="F37" s="455">
        <v>0.56999999999999995</v>
      </c>
      <c r="G37" s="455">
        <v>0.56999999999999995</v>
      </c>
      <c r="H37" s="455">
        <v>0.73</v>
      </c>
      <c r="I37" s="455">
        <v>0.89</v>
      </c>
      <c r="J37" s="455">
        <v>0.56999999999999995</v>
      </c>
      <c r="K37" s="455">
        <v>0.97</v>
      </c>
      <c r="L37" s="455">
        <v>0.66</v>
      </c>
      <c r="M37" s="455">
        <v>0.95</v>
      </c>
      <c r="N37" s="455">
        <v>0</v>
      </c>
      <c r="O37" s="455">
        <v>0</v>
      </c>
      <c r="P37" s="455">
        <v>0</v>
      </c>
    </row>
    <row r="38" spans="2:16">
      <c r="B38" s="417">
        <f t="shared" si="0"/>
        <v>2032</v>
      </c>
      <c r="C38" s="455">
        <v>0.59</v>
      </c>
      <c r="D38" s="455">
        <v>0.44</v>
      </c>
      <c r="E38" s="455">
        <v>0.44</v>
      </c>
      <c r="F38" s="455">
        <v>0.56999999999999995</v>
      </c>
      <c r="G38" s="455">
        <v>0.56999999999999995</v>
      </c>
      <c r="H38" s="455">
        <v>0.73</v>
      </c>
      <c r="I38" s="455">
        <v>0.89</v>
      </c>
      <c r="J38" s="455">
        <v>0.56999999999999995</v>
      </c>
      <c r="K38" s="455">
        <v>0.97</v>
      </c>
      <c r="L38" s="455">
        <v>0.66</v>
      </c>
      <c r="M38" s="455">
        <v>0.95</v>
      </c>
      <c r="N38" s="455">
        <v>0</v>
      </c>
      <c r="O38" s="455">
        <v>0</v>
      </c>
      <c r="P38" s="455">
        <v>0</v>
      </c>
    </row>
    <row r="39" spans="2:16">
      <c r="B39" s="417">
        <f t="shared" si="0"/>
        <v>2033</v>
      </c>
      <c r="C39" s="455">
        <v>0.59</v>
      </c>
      <c r="D39" s="455">
        <v>0.44</v>
      </c>
      <c r="E39" s="455">
        <v>0.44</v>
      </c>
      <c r="F39" s="455">
        <v>0.56999999999999995</v>
      </c>
      <c r="G39" s="455">
        <v>0.56999999999999995</v>
      </c>
      <c r="H39" s="455">
        <v>0.73</v>
      </c>
      <c r="I39" s="455">
        <v>0.89</v>
      </c>
      <c r="J39" s="455">
        <v>0.56999999999999995</v>
      </c>
      <c r="K39" s="455">
        <v>0.97</v>
      </c>
      <c r="L39" s="455">
        <v>0.66</v>
      </c>
      <c r="M39" s="455">
        <v>0.95</v>
      </c>
      <c r="N39" s="455">
        <v>0</v>
      </c>
      <c r="O39" s="455">
        <v>0</v>
      </c>
      <c r="P39" s="455">
        <v>0</v>
      </c>
    </row>
    <row r="40" spans="2:16">
      <c r="B40" s="417">
        <f t="shared" si="0"/>
        <v>2034</v>
      </c>
      <c r="C40" s="455">
        <v>0.59</v>
      </c>
      <c r="D40" s="455">
        <v>0.44</v>
      </c>
      <c r="E40" s="455">
        <v>0.44</v>
      </c>
      <c r="F40" s="455">
        <v>0.56999999999999995</v>
      </c>
      <c r="G40" s="455">
        <v>0.56999999999999995</v>
      </c>
      <c r="H40" s="455">
        <v>0.73</v>
      </c>
      <c r="I40" s="455">
        <v>0.89</v>
      </c>
      <c r="J40" s="455">
        <v>0.56999999999999995</v>
      </c>
      <c r="K40" s="455">
        <v>0.97</v>
      </c>
      <c r="L40" s="455">
        <v>0.66</v>
      </c>
      <c r="M40" s="455">
        <v>0.95</v>
      </c>
      <c r="N40" s="455">
        <v>0</v>
      </c>
      <c r="O40" s="455">
        <v>0</v>
      </c>
      <c r="P40" s="455">
        <v>0</v>
      </c>
    </row>
    <row r="41" spans="2:16">
      <c r="B41" s="417">
        <f t="shared" si="0"/>
        <v>2035</v>
      </c>
      <c r="C41" s="455">
        <v>0.59</v>
      </c>
      <c r="D41" s="455">
        <v>0.44</v>
      </c>
      <c r="E41" s="455">
        <v>0.44</v>
      </c>
      <c r="F41" s="455">
        <v>0.56999999999999995</v>
      </c>
      <c r="G41" s="455">
        <v>0.56999999999999995</v>
      </c>
      <c r="H41" s="455">
        <v>0.73</v>
      </c>
      <c r="I41" s="455">
        <v>0.89</v>
      </c>
      <c r="J41" s="455">
        <v>0.56999999999999995</v>
      </c>
      <c r="K41" s="455">
        <v>0.97</v>
      </c>
      <c r="L41" s="455">
        <v>0.66</v>
      </c>
      <c r="M41" s="455">
        <v>0.95</v>
      </c>
      <c r="N41" s="455">
        <v>0</v>
      </c>
      <c r="O41" s="455">
        <v>0</v>
      </c>
      <c r="P41" s="455">
        <v>0</v>
      </c>
    </row>
    <row r="42" spans="2:16">
      <c r="B42" s="417">
        <f t="shared" si="0"/>
        <v>2036</v>
      </c>
      <c r="C42" s="455">
        <v>0.59</v>
      </c>
      <c r="D42" s="455">
        <v>0.44</v>
      </c>
      <c r="E42" s="455">
        <v>0.44</v>
      </c>
      <c r="F42" s="455">
        <v>0.56999999999999995</v>
      </c>
      <c r="G42" s="455">
        <v>0.56999999999999995</v>
      </c>
      <c r="H42" s="455">
        <v>0.73</v>
      </c>
      <c r="I42" s="455">
        <v>0.89</v>
      </c>
      <c r="J42" s="455">
        <v>0.56999999999999995</v>
      </c>
      <c r="K42" s="455">
        <v>0.97</v>
      </c>
      <c r="L42" s="455">
        <v>0.66</v>
      </c>
      <c r="M42" s="455">
        <v>0.95</v>
      </c>
      <c r="N42" s="455">
        <v>0</v>
      </c>
      <c r="O42" s="455">
        <v>0</v>
      </c>
      <c r="P42" s="455">
        <v>0</v>
      </c>
    </row>
    <row r="43" spans="2:16">
      <c r="B43" s="417">
        <f t="shared" si="0"/>
        <v>2037</v>
      </c>
      <c r="C43" s="455">
        <v>0.59</v>
      </c>
      <c r="D43" s="455">
        <v>0.44</v>
      </c>
      <c r="E43" s="455">
        <v>0.44</v>
      </c>
      <c r="F43" s="455">
        <v>0.56999999999999995</v>
      </c>
      <c r="G43" s="455">
        <v>0.56999999999999995</v>
      </c>
      <c r="H43" s="455">
        <v>0.73</v>
      </c>
      <c r="I43" s="455">
        <v>0.89</v>
      </c>
      <c r="J43" s="455">
        <v>0.56999999999999995</v>
      </c>
      <c r="K43" s="455">
        <v>0.97</v>
      </c>
      <c r="L43" s="455">
        <v>0.66</v>
      </c>
      <c r="M43" s="455">
        <v>0.95</v>
      </c>
      <c r="N43" s="455">
        <v>0</v>
      </c>
      <c r="O43" s="455">
        <v>0</v>
      </c>
      <c r="P43" s="455">
        <v>0</v>
      </c>
    </row>
    <row r="44" spans="2:16">
      <c r="B44" s="417">
        <f t="shared" si="0"/>
        <v>2038</v>
      </c>
      <c r="C44" s="455">
        <v>0.59</v>
      </c>
      <c r="D44" s="455">
        <v>0.44</v>
      </c>
      <c r="E44" s="455">
        <v>0.44</v>
      </c>
      <c r="F44" s="455">
        <v>0.56999999999999995</v>
      </c>
      <c r="G44" s="455">
        <v>0.56999999999999995</v>
      </c>
      <c r="H44" s="455">
        <v>0.73</v>
      </c>
      <c r="I44" s="455">
        <v>0.89</v>
      </c>
      <c r="J44" s="455">
        <v>0.56999999999999995</v>
      </c>
      <c r="K44" s="455">
        <v>0.97</v>
      </c>
      <c r="L44" s="455">
        <v>0.66</v>
      </c>
      <c r="M44" s="455">
        <v>0.95</v>
      </c>
      <c r="N44" s="455">
        <v>0</v>
      </c>
      <c r="O44" s="455">
        <v>0</v>
      </c>
      <c r="P44" s="455">
        <v>0</v>
      </c>
    </row>
    <row r="45" spans="2:16">
      <c r="B45" s="417">
        <f t="shared" si="0"/>
        <v>2039</v>
      </c>
      <c r="C45" s="455">
        <v>0.59</v>
      </c>
      <c r="D45" s="455">
        <v>0.44</v>
      </c>
      <c r="E45" s="455">
        <v>0.44</v>
      </c>
      <c r="F45" s="455">
        <v>0.56999999999999995</v>
      </c>
      <c r="G45" s="455">
        <v>0.56999999999999995</v>
      </c>
      <c r="H45" s="455">
        <v>0.73</v>
      </c>
      <c r="I45" s="455">
        <v>0.89</v>
      </c>
      <c r="J45" s="455">
        <v>0.56999999999999995</v>
      </c>
      <c r="K45" s="455">
        <v>0.97</v>
      </c>
      <c r="L45" s="455">
        <v>0.66</v>
      </c>
      <c r="M45" s="455">
        <v>0.95</v>
      </c>
      <c r="N45" s="455">
        <v>0</v>
      </c>
      <c r="O45" s="455">
        <v>0</v>
      </c>
      <c r="P45" s="455">
        <v>0</v>
      </c>
    </row>
    <row r="46" spans="2:16">
      <c r="B46" s="417">
        <f t="shared" si="0"/>
        <v>2040</v>
      </c>
      <c r="C46" s="455">
        <v>0.59</v>
      </c>
      <c r="D46" s="455">
        <v>0.44</v>
      </c>
      <c r="E46" s="455">
        <v>0.44</v>
      </c>
      <c r="F46" s="455">
        <v>0.56999999999999995</v>
      </c>
      <c r="G46" s="455">
        <v>0.56999999999999995</v>
      </c>
      <c r="H46" s="455">
        <v>0.73</v>
      </c>
      <c r="I46" s="455">
        <v>0.89</v>
      </c>
      <c r="J46" s="455">
        <v>0.56999999999999995</v>
      </c>
      <c r="K46" s="455">
        <v>0.97</v>
      </c>
      <c r="L46" s="455">
        <v>0.66</v>
      </c>
      <c r="M46" s="455">
        <v>0.95</v>
      </c>
      <c r="N46" s="455">
        <v>0</v>
      </c>
      <c r="O46" s="455">
        <v>0</v>
      </c>
      <c r="P46" s="455">
        <v>0</v>
      </c>
    </row>
    <row r="47" spans="2:16">
      <c r="B47" s="417">
        <f t="shared" si="0"/>
        <v>2041</v>
      </c>
      <c r="C47" s="455">
        <v>0.59</v>
      </c>
      <c r="D47" s="455">
        <v>0.44</v>
      </c>
      <c r="E47" s="455">
        <v>0.44</v>
      </c>
      <c r="F47" s="455">
        <v>0.56999999999999995</v>
      </c>
      <c r="G47" s="455">
        <v>0.56999999999999995</v>
      </c>
      <c r="H47" s="455">
        <v>0.73</v>
      </c>
      <c r="I47" s="455">
        <v>0.89</v>
      </c>
      <c r="J47" s="455">
        <v>0.56999999999999995</v>
      </c>
      <c r="K47" s="455">
        <v>0.97</v>
      </c>
      <c r="L47" s="455">
        <v>0.66</v>
      </c>
      <c r="M47" s="455">
        <v>0.95</v>
      </c>
      <c r="N47" s="455">
        <v>0</v>
      </c>
      <c r="O47" s="455">
        <v>0</v>
      </c>
      <c r="P47" s="455">
        <v>0</v>
      </c>
    </row>
    <row r="48" spans="2:16">
      <c r="B48" s="417">
        <f t="shared" si="0"/>
        <v>2042</v>
      </c>
      <c r="C48" s="455">
        <v>0.59</v>
      </c>
      <c r="D48" s="455">
        <v>0.44</v>
      </c>
      <c r="E48" s="455">
        <v>0.44</v>
      </c>
      <c r="F48" s="455">
        <v>0.56999999999999995</v>
      </c>
      <c r="G48" s="455">
        <v>0.56999999999999995</v>
      </c>
      <c r="H48" s="455">
        <v>0.73</v>
      </c>
      <c r="I48" s="455">
        <v>0.89</v>
      </c>
      <c r="J48" s="455">
        <v>0.56999999999999995</v>
      </c>
      <c r="K48" s="455">
        <v>0.97</v>
      </c>
      <c r="L48" s="455">
        <v>0.66</v>
      </c>
      <c r="M48" s="455">
        <v>0.95</v>
      </c>
      <c r="N48" s="455">
        <v>0</v>
      </c>
      <c r="O48" s="455">
        <v>0</v>
      </c>
      <c r="P48" s="455">
        <v>0</v>
      </c>
    </row>
    <row r="49" spans="2:16">
      <c r="B49" s="417">
        <f t="shared" si="0"/>
        <v>2043</v>
      </c>
      <c r="C49" s="455">
        <v>0.59</v>
      </c>
      <c r="D49" s="455">
        <v>0.44</v>
      </c>
      <c r="E49" s="455">
        <v>0.44</v>
      </c>
      <c r="F49" s="455">
        <v>0.56999999999999995</v>
      </c>
      <c r="G49" s="455">
        <v>0.56999999999999995</v>
      </c>
      <c r="H49" s="455">
        <v>0.73</v>
      </c>
      <c r="I49" s="455">
        <v>0.89</v>
      </c>
      <c r="J49" s="455">
        <v>0.56999999999999995</v>
      </c>
      <c r="K49" s="455">
        <v>0.97</v>
      </c>
      <c r="L49" s="455">
        <v>0.66</v>
      </c>
      <c r="M49" s="455">
        <v>0.95</v>
      </c>
      <c r="N49" s="455">
        <v>0</v>
      </c>
      <c r="O49" s="455">
        <v>0</v>
      </c>
      <c r="P49" s="455">
        <v>0</v>
      </c>
    </row>
    <row r="50" spans="2:16">
      <c r="B50" s="417">
        <f t="shared" si="0"/>
        <v>2044</v>
      </c>
      <c r="C50" s="455">
        <v>0.59</v>
      </c>
      <c r="D50" s="455">
        <v>0.44</v>
      </c>
      <c r="E50" s="455">
        <v>0.44</v>
      </c>
      <c r="F50" s="455">
        <v>0.56999999999999995</v>
      </c>
      <c r="G50" s="455">
        <v>0.56999999999999995</v>
      </c>
      <c r="H50" s="455">
        <v>0.73</v>
      </c>
      <c r="I50" s="455">
        <v>0.89</v>
      </c>
      <c r="J50" s="455">
        <v>0.56999999999999995</v>
      </c>
      <c r="K50" s="455">
        <v>0.97</v>
      </c>
      <c r="L50" s="455">
        <v>0.66</v>
      </c>
      <c r="M50" s="455">
        <v>0.95</v>
      </c>
      <c r="N50" s="455">
        <v>0</v>
      </c>
      <c r="O50" s="455">
        <v>0</v>
      </c>
      <c r="P50" s="455">
        <v>0</v>
      </c>
    </row>
    <row r="51" spans="2:16">
      <c r="B51" s="417">
        <f t="shared" si="0"/>
        <v>2045</v>
      </c>
      <c r="C51" s="455">
        <v>0.59</v>
      </c>
      <c r="D51" s="455">
        <v>0.44</v>
      </c>
      <c r="E51" s="455">
        <v>0.44</v>
      </c>
      <c r="F51" s="455">
        <v>0.56999999999999995</v>
      </c>
      <c r="G51" s="455">
        <v>0.56999999999999995</v>
      </c>
      <c r="H51" s="455">
        <v>0.73</v>
      </c>
      <c r="I51" s="455">
        <v>0.89</v>
      </c>
      <c r="J51" s="455">
        <v>0.56999999999999995</v>
      </c>
      <c r="K51" s="455">
        <v>0.97</v>
      </c>
      <c r="L51" s="455">
        <v>0.66</v>
      </c>
      <c r="M51" s="455">
        <v>0.95</v>
      </c>
      <c r="N51" s="455">
        <v>0</v>
      </c>
      <c r="O51" s="455">
        <v>0</v>
      </c>
      <c r="P51" s="455">
        <v>0</v>
      </c>
    </row>
    <row r="52" spans="2:16">
      <c r="B52" s="417">
        <f t="shared" si="0"/>
        <v>2046</v>
      </c>
      <c r="C52" s="455">
        <v>0.59</v>
      </c>
      <c r="D52" s="455">
        <v>0.44</v>
      </c>
      <c r="E52" s="455">
        <v>0.44</v>
      </c>
      <c r="F52" s="455">
        <v>0.56999999999999995</v>
      </c>
      <c r="G52" s="455">
        <v>0.56999999999999995</v>
      </c>
      <c r="H52" s="455">
        <v>0.73</v>
      </c>
      <c r="I52" s="455">
        <v>0.89</v>
      </c>
      <c r="J52" s="455">
        <v>0.56999999999999995</v>
      </c>
      <c r="K52" s="455">
        <v>0.97</v>
      </c>
      <c r="L52" s="455">
        <v>0.66</v>
      </c>
      <c r="M52" s="455">
        <v>0.95</v>
      </c>
      <c r="N52" s="455">
        <v>0</v>
      </c>
      <c r="O52" s="455">
        <v>0</v>
      </c>
      <c r="P52" s="455">
        <v>0</v>
      </c>
    </row>
    <row r="53" spans="2:16">
      <c r="B53" s="417">
        <f t="shared" si="0"/>
        <v>2047</v>
      </c>
      <c r="C53" s="455">
        <v>0.59</v>
      </c>
      <c r="D53" s="455">
        <v>0.44</v>
      </c>
      <c r="E53" s="455">
        <v>0.44</v>
      </c>
      <c r="F53" s="455">
        <v>0.56999999999999995</v>
      </c>
      <c r="G53" s="455">
        <v>0.56999999999999995</v>
      </c>
      <c r="H53" s="455">
        <v>0.73</v>
      </c>
      <c r="I53" s="455">
        <v>0.89</v>
      </c>
      <c r="J53" s="455">
        <v>0.56999999999999995</v>
      </c>
      <c r="K53" s="455">
        <v>0.97</v>
      </c>
      <c r="L53" s="455">
        <v>0.66</v>
      </c>
      <c r="M53" s="455">
        <v>0.95</v>
      </c>
      <c r="N53" s="455">
        <v>0</v>
      </c>
      <c r="O53" s="455">
        <v>0</v>
      </c>
      <c r="P53" s="455">
        <v>0</v>
      </c>
    </row>
    <row r="54" spans="2:16">
      <c r="B54" s="417">
        <f t="shared" si="0"/>
        <v>2048</v>
      </c>
      <c r="C54" s="455">
        <v>0.59</v>
      </c>
      <c r="D54" s="455">
        <v>0.44</v>
      </c>
      <c r="E54" s="455">
        <v>0.44</v>
      </c>
      <c r="F54" s="455">
        <v>0.56999999999999995</v>
      </c>
      <c r="G54" s="455">
        <v>0.56999999999999995</v>
      </c>
      <c r="H54" s="455">
        <v>0.73</v>
      </c>
      <c r="I54" s="455">
        <v>0.89</v>
      </c>
      <c r="J54" s="455">
        <v>0.56999999999999995</v>
      </c>
      <c r="K54" s="455">
        <v>0.97</v>
      </c>
      <c r="L54" s="455">
        <v>0.66</v>
      </c>
      <c r="M54" s="455">
        <v>0.95</v>
      </c>
      <c r="N54" s="455">
        <v>0</v>
      </c>
      <c r="O54" s="455">
        <v>0</v>
      </c>
      <c r="P54" s="455">
        <v>0</v>
      </c>
    </row>
    <row r="55" spans="2:16">
      <c r="B55" s="417">
        <f t="shared" si="0"/>
        <v>2049</v>
      </c>
      <c r="C55" s="455">
        <v>0.59</v>
      </c>
      <c r="D55" s="455">
        <v>0.44</v>
      </c>
      <c r="E55" s="455">
        <v>0.44</v>
      </c>
      <c r="F55" s="455">
        <v>0.56999999999999995</v>
      </c>
      <c r="G55" s="455">
        <v>0.56999999999999995</v>
      </c>
      <c r="H55" s="455">
        <v>0.73</v>
      </c>
      <c r="I55" s="455">
        <v>0.89</v>
      </c>
      <c r="J55" s="455">
        <v>0.56999999999999995</v>
      </c>
      <c r="K55" s="455">
        <v>0.97</v>
      </c>
      <c r="L55" s="455">
        <v>0.66</v>
      </c>
      <c r="M55" s="455">
        <v>0.95</v>
      </c>
      <c r="N55" s="455">
        <v>0</v>
      </c>
      <c r="O55" s="455">
        <v>0</v>
      </c>
      <c r="P55" s="455">
        <v>0</v>
      </c>
    </row>
    <row r="56" spans="2:16">
      <c r="B56" s="417">
        <f t="shared" si="0"/>
        <v>2050</v>
      </c>
      <c r="C56" s="455">
        <v>0.59</v>
      </c>
      <c r="D56" s="455">
        <v>0.44</v>
      </c>
      <c r="E56" s="455">
        <v>0.44</v>
      </c>
      <c r="F56" s="455">
        <v>0.56999999999999995</v>
      </c>
      <c r="G56" s="455">
        <v>0.56999999999999995</v>
      </c>
      <c r="H56" s="455">
        <v>0.73</v>
      </c>
      <c r="I56" s="455">
        <v>0.89</v>
      </c>
      <c r="J56" s="455">
        <v>0.56999999999999995</v>
      </c>
      <c r="K56" s="455">
        <v>0.97</v>
      </c>
      <c r="L56" s="455">
        <v>0.66</v>
      </c>
      <c r="M56" s="455">
        <v>0.95</v>
      </c>
      <c r="N56" s="455">
        <v>0</v>
      </c>
      <c r="O56" s="455">
        <v>0</v>
      </c>
      <c r="P56" s="455">
        <v>0</v>
      </c>
    </row>
    <row r="57" spans="2:16">
      <c r="B57" s="417">
        <f t="shared" si="0"/>
        <v>2051</v>
      </c>
      <c r="C57" s="455">
        <v>0.59</v>
      </c>
      <c r="D57" s="455">
        <v>0.44</v>
      </c>
      <c r="E57" s="455">
        <v>0.44</v>
      </c>
      <c r="F57" s="455">
        <v>0.56999999999999995</v>
      </c>
      <c r="G57" s="455">
        <v>0.56999999999999995</v>
      </c>
      <c r="H57" s="455">
        <v>0.73</v>
      </c>
      <c r="I57" s="455">
        <v>0.89</v>
      </c>
      <c r="J57" s="455">
        <v>0.56999999999999995</v>
      </c>
      <c r="K57" s="455">
        <v>0.97</v>
      </c>
      <c r="L57" s="455">
        <v>0.66</v>
      </c>
      <c r="M57" s="455">
        <v>0.95</v>
      </c>
      <c r="N57" s="455">
        <v>0</v>
      </c>
      <c r="O57" s="455">
        <v>0</v>
      </c>
      <c r="P57" s="455">
        <v>0</v>
      </c>
    </row>
    <row r="58" spans="2:16">
      <c r="B58" s="417">
        <f t="shared" si="0"/>
        <v>2052</v>
      </c>
      <c r="C58" s="455">
        <v>0.59</v>
      </c>
      <c r="D58" s="455">
        <v>0.44</v>
      </c>
      <c r="E58" s="455">
        <v>0.44</v>
      </c>
      <c r="F58" s="455">
        <v>0.56999999999999995</v>
      </c>
      <c r="G58" s="455">
        <v>0.56999999999999995</v>
      </c>
      <c r="H58" s="455">
        <v>0.73</v>
      </c>
      <c r="I58" s="455">
        <v>0.89</v>
      </c>
      <c r="J58" s="455">
        <v>0.56999999999999995</v>
      </c>
      <c r="K58" s="455">
        <v>0.97</v>
      </c>
      <c r="L58" s="455">
        <v>0.66</v>
      </c>
      <c r="M58" s="455">
        <v>0.95</v>
      </c>
      <c r="N58" s="455">
        <v>0</v>
      </c>
      <c r="O58" s="455">
        <v>0</v>
      </c>
      <c r="P58" s="455">
        <v>0</v>
      </c>
    </row>
    <row r="59" spans="2:16">
      <c r="B59" s="417">
        <f t="shared" si="0"/>
        <v>2053</v>
      </c>
      <c r="C59" s="455">
        <v>0.59</v>
      </c>
      <c r="D59" s="455">
        <v>0.44</v>
      </c>
      <c r="E59" s="455">
        <v>0.44</v>
      </c>
      <c r="F59" s="455">
        <v>0.56999999999999995</v>
      </c>
      <c r="G59" s="455">
        <v>0.56999999999999995</v>
      </c>
      <c r="H59" s="455">
        <v>0.73</v>
      </c>
      <c r="I59" s="455">
        <v>0.89</v>
      </c>
      <c r="J59" s="455">
        <v>0.56999999999999995</v>
      </c>
      <c r="K59" s="455">
        <v>0.97</v>
      </c>
      <c r="L59" s="455">
        <v>0.66</v>
      </c>
      <c r="M59" s="455">
        <v>0.95</v>
      </c>
      <c r="N59" s="455">
        <v>0</v>
      </c>
      <c r="O59" s="455">
        <v>0</v>
      </c>
      <c r="P59" s="455">
        <v>0</v>
      </c>
    </row>
    <row r="60" spans="2:16">
      <c r="B60" s="417">
        <f t="shared" si="0"/>
        <v>2054</v>
      </c>
      <c r="C60" s="455">
        <v>0.59</v>
      </c>
      <c r="D60" s="455">
        <v>0.44</v>
      </c>
      <c r="E60" s="455">
        <v>0.44</v>
      </c>
      <c r="F60" s="455">
        <v>0.56999999999999995</v>
      </c>
      <c r="G60" s="455">
        <v>0.56999999999999995</v>
      </c>
      <c r="H60" s="455">
        <v>0.73</v>
      </c>
      <c r="I60" s="455">
        <v>0.89</v>
      </c>
      <c r="J60" s="455">
        <v>0.56999999999999995</v>
      </c>
      <c r="K60" s="455">
        <v>0.97</v>
      </c>
      <c r="L60" s="455">
        <v>0.66</v>
      </c>
      <c r="M60" s="455">
        <v>0.95</v>
      </c>
      <c r="N60" s="455">
        <v>0</v>
      </c>
      <c r="O60" s="455">
        <v>0</v>
      </c>
      <c r="P60" s="455">
        <v>0</v>
      </c>
    </row>
    <row r="61" spans="2:16">
      <c r="B61" s="417">
        <f t="shared" si="0"/>
        <v>2055</v>
      </c>
      <c r="C61" s="455">
        <v>0.59</v>
      </c>
      <c r="D61" s="455">
        <v>0.44</v>
      </c>
      <c r="E61" s="455">
        <v>0.44</v>
      </c>
      <c r="F61" s="455">
        <v>0.56999999999999995</v>
      </c>
      <c r="G61" s="455">
        <v>0.56999999999999995</v>
      </c>
      <c r="H61" s="455">
        <v>0.73</v>
      </c>
      <c r="I61" s="455">
        <v>0.89</v>
      </c>
      <c r="J61" s="455">
        <v>0.56999999999999995</v>
      </c>
      <c r="K61" s="455">
        <v>0.97</v>
      </c>
      <c r="L61" s="455">
        <v>0.66</v>
      </c>
      <c r="M61" s="455">
        <v>0.95</v>
      </c>
      <c r="N61" s="455">
        <v>0</v>
      </c>
      <c r="O61" s="455">
        <v>0</v>
      </c>
      <c r="P61" s="455">
        <v>0</v>
      </c>
    </row>
    <row r="62" spans="2:16">
      <c r="B62" s="417">
        <f t="shared" si="0"/>
        <v>2056</v>
      </c>
      <c r="C62" s="455">
        <v>0.59</v>
      </c>
      <c r="D62" s="455">
        <v>0.44</v>
      </c>
      <c r="E62" s="455">
        <v>0.44</v>
      </c>
      <c r="F62" s="455">
        <v>0.56999999999999995</v>
      </c>
      <c r="G62" s="455">
        <v>0.56999999999999995</v>
      </c>
      <c r="H62" s="455">
        <v>0.73</v>
      </c>
      <c r="I62" s="455">
        <v>0.89</v>
      </c>
      <c r="J62" s="455">
        <v>0.56999999999999995</v>
      </c>
      <c r="K62" s="455">
        <v>0.97</v>
      </c>
      <c r="L62" s="455">
        <v>0.66</v>
      </c>
      <c r="M62" s="455">
        <v>0.95</v>
      </c>
      <c r="N62" s="455">
        <v>0</v>
      </c>
      <c r="O62" s="455">
        <v>0</v>
      </c>
      <c r="P62" s="455">
        <v>0</v>
      </c>
    </row>
    <row r="63" spans="2:16">
      <c r="B63" s="417">
        <f t="shared" si="0"/>
        <v>2057</v>
      </c>
      <c r="C63" s="455">
        <v>0.59</v>
      </c>
      <c r="D63" s="455">
        <v>0.44</v>
      </c>
      <c r="E63" s="455">
        <v>0.44</v>
      </c>
      <c r="F63" s="455">
        <v>0.56999999999999995</v>
      </c>
      <c r="G63" s="455">
        <v>0.56999999999999995</v>
      </c>
      <c r="H63" s="455">
        <v>0.73</v>
      </c>
      <c r="I63" s="455">
        <v>0.89</v>
      </c>
      <c r="J63" s="455">
        <v>0.56999999999999995</v>
      </c>
      <c r="K63" s="455">
        <v>0.97</v>
      </c>
      <c r="L63" s="455">
        <v>0.66</v>
      </c>
      <c r="M63" s="455">
        <v>0.95</v>
      </c>
      <c r="N63" s="455">
        <v>0</v>
      </c>
      <c r="O63" s="455">
        <v>0</v>
      </c>
      <c r="P63" s="455">
        <v>0</v>
      </c>
    </row>
    <row r="64" spans="2:16">
      <c r="B64" s="417">
        <f t="shared" si="0"/>
        <v>2058</v>
      </c>
      <c r="C64" s="455">
        <v>0.59</v>
      </c>
      <c r="D64" s="455">
        <v>0.44</v>
      </c>
      <c r="E64" s="455">
        <v>0.44</v>
      </c>
      <c r="F64" s="455">
        <v>0.56999999999999995</v>
      </c>
      <c r="G64" s="455">
        <v>0.56999999999999995</v>
      </c>
      <c r="H64" s="455">
        <v>0.73</v>
      </c>
      <c r="I64" s="455">
        <v>0.89</v>
      </c>
      <c r="J64" s="455">
        <v>0.56999999999999995</v>
      </c>
      <c r="K64" s="455">
        <v>0.97</v>
      </c>
      <c r="L64" s="455">
        <v>0.66</v>
      </c>
      <c r="M64" s="455">
        <v>0.95</v>
      </c>
      <c r="N64" s="455">
        <v>0</v>
      </c>
      <c r="O64" s="455">
        <v>0</v>
      </c>
      <c r="P64" s="455">
        <v>0</v>
      </c>
    </row>
    <row r="65" spans="2:16">
      <c r="B65" s="417">
        <f t="shared" si="0"/>
        <v>2059</v>
      </c>
      <c r="C65" s="455">
        <v>0.59</v>
      </c>
      <c r="D65" s="455">
        <v>0.44</v>
      </c>
      <c r="E65" s="455">
        <v>0.44</v>
      </c>
      <c r="F65" s="455">
        <v>0.56999999999999995</v>
      </c>
      <c r="G65" s="455">
        <v>0.56999999999999995</v>
      </c>
      <c r="H65" s="455">
        <v>0.73</v>
      </c>
      <c r="I65" s="455">
        <v>0.89</v>
      </c>
      <c r="J65" s="455">
        <v>0.56999999999999995</v>
      </c>
      <c r="K65" s="455">
        <v>0.97</v>
      </c>
      <c r="L65" s="455">
        <v>0.66</v>
      </c>
      <c r="M65" s="455">
        <v>0.95</v>
      </c>
      <c r="N65" s="455">
        <v>0</v>
      </c>
      <c r="O65" s="455">
        <v>0</v>
      </c>
      <c r="P65" s="455">
        <v>0</v>
      </c>
    </row>
    <row r="66" spans="2:16">
      <c r="B66" s="417">
        <f t="shared" si="0"/>
        <v>2060</v>
      </c>
      <c r="C66" s="455">
        <v>0.59</v>
      </c>
      <c r="D66" s="455">
        <v>0.44</v>
      </c>
      <c r="E66" s="455">
        <v>0.44</v>
      </c>
      <c r="F66" s="455">
        <v>0.56999999999999995</v>
      </c>
      <c r="G66" s="455">
        <v>0.56999999999999995</v>
      </c>
      <c r="H66" s="455">
        <v>0.73</v>
      </c>
      <c r="I66" s="455">
        <v>0.89</v>
      </c>
      <c r="J66" s="455">
        <v>0.56999999999999995</v>
      </c>
      <c r="K66" s="455">
        <v>0.97</v>
      </c>
      <c r="L66" s="455">
        <v>0.66</v>
      </c>
      <c r="M66" s="455">
        <v>0.95</v>
      </c>
      <c r="N66" s="455">
        <v>0</v>
      </c>
      <c r="O66" s="455">
        <v>0</v>
      </c>
      <c r="P66" s="455">
        <v>0</v>
      </c>
    </row>
    <row r="67" spans="2:16">
      <c r="B67" s="417">
        <f t="shared" si="0"/>
        <v>2061</v>
      </c>
      <c r="C67" s="455">
        <v>0.59</v>
      </c>
      <c r="D67" s="455">
        <v>0.44</v>
      </c>
      <c r="E67" s="455">
        <v>0.44</v>
      </c>
      <c r="F67" s="455">
        <v>0.56999999999999995</v>
      </c>
      <c r="G67" s="455">
        <v>0.56999999999999995</v>
      </c>
      <c r="H67" s="455">
        <v>0.73</v>
      </c>
      <c r="I67" s="455">
        <v>0.89</v>
      </c>
      <c r="J67" s="455">
        <v>0.56999999999999995</v>
      </c>
      <c r="K67" s="455">
        <v>0.97</v>
      </c>
      <c r="L67" s="455">
        <v>0.66</v>
      </c>
      <c r="M67" s="455">
        <v>0.95</v>
      </c>
      <c r="N67" s="455">
        <v>0</v>
      </c>
      <c r="O67" s="455">
        <v>0</v>
      </c>
      <c r="P67" s="455">
        <v>0</v>
      </c>
    </row>
    <row r="68" spans="2:16">
      <c r="B68" s="417">
        <f t="shared" si="0"/>
        <v>2062</v>
      </c>
      <c r="C68" s="455">
        <v>0.59</v>
      </c>
      <c r="D68" s="455">
        <v>0.44</v>
      </c>
      <c r="E68" s="455">
        <v>0.44</v>
      </c>
      <c r="F68" s="455">
        <v>0.56999999999999995</v>
      </c>
      <c r="G68" s="455">
        <v>0.56999999999999995</v>
      </c>
      <c r="H68" s="455">
        <v>0.73</v>
      </c>
      <c r="I68" s="455">
        <v>0.89</v>
      </c>
      <c r="J68" s="455">
        <v>0.56999999999999995</v>
      </c>
      <c r="K68" s="455">
        <v>0.97</v>
      </c>
      <c r="L68" s="455">
        <v>0.66</v>
      </c>
      <c r="M68" s="455">
        <v>0.95</v>
      </c>
      <c r="N68" s="455">
        <v>0</v>
      </c>
      <c r="O68" s="455">
        <v>0</v>
      </c>
      <c r="P68" s="455">
        <v>0</v>
      </c>
    </row>
    <row r="69" spans="2:16">
      <c r="B69" s="417">
        <f t="shared" si="0"/>
        <v>2063</v>
      </c>
      <c r="C69" s="455">
        <v>0.59</v>
      </c>
      <c r="D69" s="455">
        <v>0.44</v>
      </c>
      <c r="E69" s="455">
        <v>0.44</v>
      </c>
      <c r="F69" s="455">
        <v>0.56999999999999995</v>
      </c>
      <c r="G69" s="455">
        <v>0.56999999999999995</v>
      </c>
      <c r="H69" s="455">
        <v>0.73</v>
      </c>
      <c r="I69" s="455">
        <v>0.89</v>
      </c>
      <c r="J69" s="455">
        <v>0.56999999999999995</v>
      </c>
      <c r="K69" s="455">
        <v>0.97</v>
      </c>
      <c r="L69" s="455">
        <v>0.66</v>
      </c>
      <c r="M69" s="455">
        <v>0.95</v>
      </c>
      <c r="N69" s="455">
        <v>0</v>
      </c>
      <c r="O69" s="455">
        <v>0</v>
      </c>
      <c r="P69" s="455">
        <v>0</v>
      </c>
    </row>
    <row r="70" spans="2:16">
      <c r="B70" s="417">
        <f t="shared" si="0"/>
        <v>2064</v>
      </c>
      <c r="C70" s="455">
        <v>0.59</v>
      </c>
      <c r="D70" s="455">
        <v>0.44</v>
      </c>
      <c r="E70" s="455">
        <v>0.44</v>
      </c>
      <c r="F70" s="455">
        <v>0.56999999999999995</v>
      </c>
      <c r="G70" s="455">
        <v>0.56999999999999995</v>
      </c>
      <c r="H70" s="455">
        <v>0.73</v>
      </c>
      <c r="I70" s="455">
        <v>0.89</v>
      </c>
      <c r="J70" s="455">
        <v>0.56999999999999995</v>
      </c>
      <c r="K70" s="455">
        <v>0.97</v>
      </c>
      <c r="L70" s="455">
        <v>0.66</v>
      </c>
      <c r="M70" s="455">
        <v>0.95</v>
      </c>
      <c r="N70" s="455">
        <v>0</v>
      </c>
      <c r="O70" s="455">
        <v>0</v>
      </c>
      <c r="P70" s="455">
        <v>0</v>
      </c>
    </row>
    <row r="71" spans="2:16">
      <c r="B71" s="417">
        <f t="shared" si="0"/>
        <v>2065</v>
      </c>
      <c r="C71" s="455">
        <v>0.59</v>
      </c>
      <c r="D71" s="455">
        <v>0.44</v>
      </c>
      <c r="E71" s="455">
        <v>0.44</v>
      </c>
      <c r="F71" s="455">
        <v>0.56999999999999995</v>
      </c>
      <c r="G71" s="455">
        <v>0.56999999999999995</v>
      </c>
      <c r="H71" s="455">
        <v>0.73</v>
      </c>
      <c r="I71" s="455">
        <v>0.89</v>
      </c>
      <c r="J71" s="455">
        <v>0.56999999999999995</v>
      </c>
      <c r="K71" s="455">
        <v>0.97</v>
      </c>
      <c r="L71" s="455">
        <v>0.66</v>
      </c>
      <c r="M71" s="455">
        <v>0.95</v>
      </c>
      <c r="N71" s="455">
        <v>0</v>
      </c>
      <c r="O71" s="455">
        <v>0</v>
      </c>
      <c r="P71" s="455">
        <v>0</v>
      </c>
    </row>
    <row r="72" spans="2:16">
      <c r="B72" s="417">
        <f t="shared" ref="B72:B86" si="1">B71+1</f>
        <v>2066</v>
      </c>
      <c r="C72" s="455">
        <v>0.59</v>
      </c>
      <c r="D72" s="455">
        <v>0.44</v>
      </c>
      <c r="E72" s="455">
        <v>0.44</v>
      </c>
      <c r="F72" s="455">
        <v>0.56999999999999995</v>
      </c>
      <c r="G72" s="455">
        <v>0.56999999999999995</v>
      </c>
      <c r="H72" s="455">
        <v>0.73</v>
      </c>
      <c r="I72" s="455">
        <v>0.89</v>
      </c>
      <c r="J72" s="455">
        <v>0.56999999999999995</v>
      </c>
      <c r="K72" s="455">
        <v>0.97</v>
      </c>
      <c r="L72" s="455">
        <v>0.66</v>
      </c>
      <c r="M72" s="455">
        <v>0.95</v>
      </c>
      <c r="N72" s="455">
        <v>0</v>
      </c>
      <c r="O72" s="455">
        <v>0</v>
      </c>
      <c r="P72" s="455">
        <v>0</v>
      </c>
    </row>
    <row r="73" spans="2:16">
      <c r="B73" s="417">
        <f t="shared" si="1"/>
        <v>2067</v>
      </c>
      <c r="C73" s="455">
        <v>0.59</v>
      </c>
      <c r="D73" s="455">
        <v>0.44</v>
      </c>
      <c r="E73" s="455">
        <v>0.44</v>
      </c>
      <c r="F73" s="455">
        <v>0.56999999999999995</v>
      </c>
      <c r="G73" s="455">
        <v>0.56999999999999995</v>
      </c>
      <c r="H73" s="455">
        <v>0.73</v>
      </c>
      <c r="I73" s="455">
        <v>0.89</v>
      </c>
      <c r="J73" s="455">
        <v>0.56999999999999995</v>
      </c>
      <c r="K73" s="455">
        <v>0.97</v>
      </c>
      <c r="L73" s="455">
        <v>0.66</v>
      </c>
      <c r="M73" s="455">
        <v>0.95</v>
      </c>
      <c r="N73" s="455">
        <v>0</v>
      </c>
      <c r="O73" s="455">
        <v>0</v>
      </c>
      <c r="P73" s="455">
        <v>0</v>
      </c>
    </row>
    <row r="74" spans="2:16">
      <c r="B74" s="417">
        <f t="shared" si="1"/>
        <v>2068</v>
      </c>
      <c r="C74" s="455">
        <v>0.59</v>
      </c>
      <c r="D74" s="455">
        <v>0.44</v>
      </c>
      <c r="E74" s="455">
        <v>0.44</v>
      </c>
      <c r="F74" s="455">
        <v>0.56999999999999995</v>
      </c>
      <c r="G74" s="455">
        <v>0.56999999999999995</v>
      </c>
      <c r="H74" s="455">
        <v>0.73</v>
      </c>
      <c r="I74" s="455">
        <v>0.89</v>
      </c>
      <c r="J74" s="455">
        <v>0.56999999999999995</v>
      </c>
      <c r="K74" s="455">
        <v>0.97</v>
      </c>
      <c r="L74" s="455">
        <v>0.66</v>
      </c>
      <c r="M74" s="455">
        <v>0.95</v>
      </c>
      <c r="N74" s="455">
        <v>0</v>
      </c>
      <c r="O74" s="455">
        <v>0</v>
      </c>
      <c r="P74" s="455">
        <v>0</v>
      </c>
    </row>
    <row r="75" spans="2:16">
      <c r="B75" s="417">
        <f t="shared" si="1"/>
        <v>2069</v>
      </c>
      <c r="C75" s="455">
        <v>0.59</v>
      </c>
      <c r="D75" s="455">
        <v>0.44</v>
      </c>
      <c r="E75" s="455">
        <v>0.44</v>
      </c>
      <c r="F75" s="455">
        <v>0.56999999999999995</v>
      </c>
      <c r="G75" s="455">
        <v>0.56999999999999995</v>
      </c>
      <c r="H75" s="455">
        <v>0.73</v>
      </c>
      <c r="I75" s="455">
        <v>0.89</v>
      </c>
      <c r="J75" s="455">
        <v>0.56999999999999995</v>
      </c>
      <c r="K75" s="455">
        <v>0.97</v>
      </c>
      <c r="L75" s="455">
        <v>0.66</v>
      </c>
      <c r="M75" s="455">
        <v>0.95</v>
      </c>
      <c r="N75" s="455">
        <v>0</v>
      </c>
      <c r="O75" s="455">
        <v>0</v>
      </c>
      <c r="P75" s="455">
        <v>0</v>
      </c>
    </row>
    <row r="76" spans="2:16">
      <c r="B76" s="417">
        <f t="shared" si="1"/>
        <v>2070</v>
      </c>
      <c r="C76" s="455">
        <v>0.59</v>
      </c>
      <c r="D76" s="455">
        <v>0.44</v>
      </c>
      <c r="E76" s="455">
        <v>0.44</v>
      </c>
      <c r="F76" s="455">
        <v>0.56999999999999995</v>
      </c>
      <c r="G76" s="455">
        <v>0.56999999999999995</v>
      </c>
      <c r="H76" s="455">
        <v>0.73</v>
      </c>
      <c r="I76" s="455">
        <v>0.89</v>
      </c>
      <c r="J76" s="455">
        <v>0.56999999999999995</v>
      </c>
      <c r="K76" s="455">
        <v>0.97</v>
      </c>
      <c r="L76" s="455">
        <v>0.66</v>
      </c>
      <c r="M76" s="455">
        <v>0.95</v>
      </c>
      <c r="N76" s="455">
        <v>0</v>
      </c>
      <c r="O76" s="455">
        <v>0</v>
      </c>
      <c r="P76" s="455">
        <v>0</v>
      </c>
    </row>
    <row r="77" spans="2:16">
      <c r="B77" s="417">
        <f t="shared" si="1"/>
        <v>2071</v>
      </c>
      <c r="C77" s="455">
        <v>0.59</v>
      </c>
      <c r="D77" s="455">
        <v>0.44</v>
      </c>
      <c r="E77" s="455">
        <v>0.44</v>
      </c>
      <c r="F77" s="455">
        <v>0.56999999999999995</v>
      </c>
      <c r="G77" s="455">
        <v>0.56999999999999995</v>
      </c>
      <c r="H77" s="455">
        <v>0.73</v>
      </c>
      <c r="I77" s="455">
        <v>0.89</v>
      </c>
      <c r="J77" s="455">
        <v>0.56999999999999995</v>
      </c>
      <c r="K77" s="455">
        <v>0.97</v>
      </c>
      <c r="L77" s="455">
        <v>0.66</v>
      </c>
      <c r="M77" s="455">
        <v>0.95</v>
      </c>
      <c r="N77" s="455">
        <v>0</v>
      </c>
      <c r="O77" s="455">
        <v>0</v>
      </c>
      <c r="P77" s="455">
        <v>0</v>
      </c>
    </row>
    <row r="78" spans="2:16">
      <c r="B78" s="417">
        <f t="shared" si="1"/>
        <v>2072</v>
      </c>
      <c r="C78" s="455">
        <v>0.59</v>
      </c>
      <c r="D78" s="455">
        <v>0.44</v>
      </c>
      <c r="E78" s="455">
        <v>0.44</v>
      </c>
      <c r="F78" s="455">
        <v>0.56999999999999995</v>
      </c>
      <c r="G78" s="455">
        <v>0.56999999999999995</v>
      </c>
      <c r="H78" s="455">
        <v>0.73</v>
      </c>
      <c r="I78" s="455">
        <v>0.89</v>
      </c>
      <c r="J78" s="455">
        <v>0.56999999999999995</v>
      </c>
      <c r="K78" s="455">
        <v>0.97</v>
      </c>
      <c r="L78" s="455">
        <v>0.66</v>
      </c>
      <c r="M78" s="455">
        <v>0.95</v>
      </c>
      <c r="N78" s="455">
        <v>0</v>
      </c>
      <c r="O78" s="455">
        <v>0</v>
      </c>
      <c r="P78" s="455">
        <v>0</v>
      </c>
    </row>
    <row r="79" spans="2:16">
      <c r="B79" s="417">
        <f t="shared" si="1"/>
        <v>2073</v>
      </c>
      <c r="C79" s="455">
        <v>0.59</v>
      </c>
      <c r="D79" s="455">
        <v>0.44</v>
      </c>
      <c r="E79" s="455">
        <v>0.44</v>
      </c>
      <c r="F79" s="455">
        <v>0.56999999999999995</v>
      </c>
      <c r="G79" s="455">
        <v>0.56999999999999995</v>
      </c>
      <c r="H79" s="455">
        <v>0.73</v>
      </c>
      <c r="I79" s="455">
        <v>0.89</v>
      </c>
      <c r="J79" s="455">
        <v>0.56999999999999995</v>
      </c>
      <c r="K79" s="455">
        <v>0.97</v>
      </c>
      <c r="L79" s="455">
        <v>0.66</v>
      </c>
      <c r="M79" s="455">
        <v>0.95</v>
      </c>
      <c r="N79" s="455">
        <v>0</v>
      </c>
      <c r="O79" s="455">
        <v>0</v>
      </c>
      <c r="P79" s="455">
        <v>0</v>
      </c>
    </row>
    <row r="80" spans="2:16">
      <c r="B80" s="417">
        <f t="shared" si="1"/>
        <v>2074</v>
      </c>
      <c r="C80" s="455">
        <v>0.59</v>
      </c>
      <c r="D80" s="455">
        <v>0.44</v>
      </c>
      <c r="E80" s="455">
        <v>0.44</v>
      </c>
      <c r="F80" s="455">
        <v>0.56999999999999995</v>
      </c>
      <c r="G80" s="455">
        <v>0.56999999999999995</v>
      </c>
      <c r="H80" s="455">
        <v>0.73</v>
      </c>
      <c r="I80" s="455">
        <v>0.89</v>
      </c>
      <c r="J80" s="455">
        <v>0.56999999999999995</v>
      </c>
      <c r="K80" s="455">
        <v>0.97</v>
      </c>
      <c r="L80" s="455">
        <v>0.66</v>
      </c>
      <c r="M80" s="455">
        <v>0.95</v>
      </c>
      <c r="N80" s="455">
        <v>0</v>
      </c>
      <c r="O80" s="455">
        <v>0</v>
      </c>
      <c r="P80" s="455">
        <v>0</v>
      </c>
    </row>
    <row r="81" spans="2:16">
      <c r="B81" s="417">
        <f t="shared" si="1"/>
        <v>2075</v>
      </c>
      <c r="C81" s="455">
        <v>0.59</v>
      </c>
      <c r="D81" s="455">
        <v>0.44</v>
      </c>
      <c r="E81" s="455">
        <v>0.44</v>
      </c>
      <c r="F81" s="455">
        <v>0.56999999999999995</v>
      </c>
      <c r="G81" s="455">
        <v>0.56999999999999995</v>
      </c>
      <c r="H81" s="455">
        <v>0.73</v>
      </c>
      <c r="I81" s="455">
        <v>0.89</v>
      </c>
      <c r="J81" s="455">
        <v>0.56999999999999995</v>
      </c>
      <c r="K81" s="455">
        <v>0.97</v>
      </c>
      <c r="L81" s="455">
        <v>0.66</v>
      </c>
      <c r="M81" s="455">
        <v>0.95</v>
      </c>
      <c r="N81" s="455">
        <v>0</v>
      </c>
      <c r="O81" s="455">
        <v>0</v>
      </c>
      <c r="P81" s="455">
        <v>0</v>
      </c>
    </row>
    <row r="82" spans="2:16">
      <c r="B82" s="417">
        <f t="shared" si="1"/>
        <v>2076</v>
      </c>
      <c r="C82" s="455">
        <v>0.59</v>
      </c>
      <c r="D82" s="455">
        <v>0.44</v>
      </c>
      <c r="E82" s="455">
        <v>0.44</v>
      </c>
      <c r="F82" s="455">
        <v>0.56999999999999995</v>
      </c>
      <c r="G82" s="455">
        <v>0.56999999999999995</v>
      </c>
      <c r="H82" s="455">
        <v>0.73</v>
      </c>
      <c r="I82" s="455">
        <v>0.89</v>
      </c>
      <c r="J82" s="455">
        <v>0.56999999999999995</v>
      </c>
      <c r="K82" s="455">
        <v>0.97</v>
      </c>
      <c r="L82" s="455">
        <v>0.66</v>
      </c>
      <c r="M82" s="455">
        <v>0.95</v>
      </c>
      <c r="N82" s="455">
        <v>0</v>
      </c>
      <c r="O82" s="455">
        <v>0</v>
      </c>
      <c r="P82" s="455">
        <v>0</v>
      </c>
    </row>
    <row r="83" spans="2:16">
      <c r="B83" s="417">
        <f t="shared" si="1"/>
        <v>2077</v>
      </c>
      <c r="C83" s="455">
        <v>0.59</v>
      </c>
      <c r="D83" s="455">
        <v>0.44</v>
      </c>
      <c r="E83" s="455">
        <v>0.44</v>
      </c>
      <c r="F83" s="455">
        <v>0.56999999999999995</v>
      </c>
      <c r="G83" s="455">
        <v>0.56999999999999995</v>
      </c>
      <c r="H83" s="455">
        <v>0.73</v>
      </c>
      <c r="I83" s="455">
        <v>0.89</v>
      </c>
      <c r="J83" s="455">
        <v>0.56999999999999995</v>
      </c>
      <c r="K83" s="455">
        <v>0.97</v>
      </c>
      <c r="L83" s="455">
        <v>0.66</v>
      </c>
      <c r="M83" s="455">
        <v>0.95</v>
      </c>
      <c r="N83" s="455">
        <v>0</v>
      </c>
      <c r="O83" s="455">
        <v>0</v>
      </c>
      <c r="P83" s="455">
        <v>0</v>
      </c>
    </row>
    <row r="84" spans="2:16">
      <c r="B84" s="417">
        <f t="shared" si="1"/>
        <v>2078</v>
      </c>
      <c r="C84" s="455">
        <v>0.59</v>
      </c>
      <c r="D84" s="455">
        <v>0.44</v>
      </c>
      <c r="E84" s="455">
        <v>0.44</v>
      </c>
      <c r="F84" s="455">
        <v>0.56999999999999995</v>
      </c>
      <c r="G84" s="455">
        <v>0.56999999999999995</v>
      </c>
      <c r="H84" s="455">
        <v>0.73</v>
      </c>
      <c r="I84" s="455">
        <v>0.89</v>
      </c>
      <c r="J84" s="455">
        <v>0.56999999999999995</v>
      </c>
      <c r="K84" s="455">
        <v>0.97</v>
      </c>
      <c r="L84" s="455">
        <v>0.66</v>
      </c>
      <c r="M84" s="455">
        <v>0.95</v>
      </c>
      <c r="N84" s="455">
        <v>0</v>
      </c>
      <c r="O84" s="455">
        <v>0</v>
      </c>
      <c r="P84" s="455">
        <v>0</v>
      </c>
    </row>
    <row r="85" spans="2:16">
      <c r="B85" s="417">
        <f t="shared" si="1"/>
        <v>2079</v>
      </c>
      <c r="C85" s="455">
        <v>0.59</v>
      </c>
      <c r="D85" s="455">
        <v>0.44</v>
      </c>
      <c r="E85" s="455">
        <v>0.44</v>
      </c>
      <c r="F85" s="455">
        <v>0.56999999999999995</v>
      </c>
      <c r="G85" s="455">
        <v>0.56999999999999995</v>
      </c>
      <c r="H85" s="455">
        <v>0.73</v>
      </c>
      <c r="I85" s="455">
        <v>0.89</v>
      </c>
      <c r="J85" s="455">
        <v>0.56999999999999995</v>
      </c>
      <c r="K85" s="455">
        <v>0.97</v>
      </c>
      <c r="L85" s="455">
        <v>0.66</v>
      </c>
      <c r="M85" s="455">
        <v>0.95</v>
      </c>
      <c r="N85" s="455">
        <v>0</v>
      </c>
      <c r="O85" s="455">
        <v>0</v>
      </c>
      <c r="P85" s="455">
        <v>0</v>
      </c>
    </row>
    <row r="86" spans="2:16">
      <c r="B86" s="417">
        <f t="shared" si="1"/>
        <v>2080</v>
      </c>
      <c r="C86" s="455">
        <v>0.59</v>
      </c>
      <c r="D86" s="455">
        <v>0.44</v>
      </c>
      <c r="E86" s="455">
        <v>0.44</v>
      </c>
      <c r="F86" s="455">
        <v>0.56999999999999995</v>
      </c>
      <c r="G86" s="455">
        <v>0.56999999999999995</v>
      </c>
      <c r="H86" s="455">
        <v>0.73</v>
      </c>
      <c r="I86" s="455">
        <v>0.89</v>
      </c>
      <c r="J86" s="455">
        <v>0.56999999999999995</v>
      </c>
      <c r="K86" s="455">
        <v>0.97</v>
      </c>
      <c r="L86" s="455">
        <v>0.66</v>
      </c>
      <c r="M86" s="455">
        <v>0.95</v>
      </c>
      <c r="N86" s="455">
        <v>0</v>
      </c>
      <c r="O86" s="455">
        <v>0</v>
      </c>
      <c r="P86" s="45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07" t="str">
        <f>city</f>
        <v>SAMARINDA</v>
      </c>
      <c r="J2" s="808"/>
      <c r="K2" s="808"/>
      <c r="L2" s="808"/>
      <c r="M2" s="808"/>
      <c r="N2" s="808"/>
      <c r="O2" s="808"/>
    </row>
    <row r="3" spans="2:16" ht="16.5" thickBot="1">
      <c r="C3" s="4"/>
      <c r="H3" s="5" t="s">
        <v>276</v>
      </c>
      <c r="I3" s="807" t="str">
        <f>province</f>
        <v>Kalimantan Timur</v>
      </c>
      <c r="J3" s="808"/>
      <c r="K3" s="808"/>
      <c r="L3" s="808"/>
      <c r="M3" s="808"/>
      <c r="N3" s="808"/>
      <c r="O3" s="808"/>
    </row>
    <row r="4" spans="2:16" ht="16.5" thickBot="1">
      <c r="D4" s="4"/>
      <c r="E4" s="4"/>
      <c r="H4" s="5" t="s">
        <v>30</v>
      </c>
      <c r="I4" s="807" t="str">
        <f>country</f>
        <v>Indonesia</v>
      </c>
      <c r="J4" s="808"/>
      <c r="K4" s="808"/>
      <c r="L4" s="808"/>
      <c r="M4" s="808"/>
      <c r="N4" s="808"/>
      <c r="O4" s="808"/>
      <c r="P4" s="576"/>
    </row>
    <row r="5" spans="2:16">
      <c r="C5" s="5"/>
      <c r="D5" s="5"/>
      <c r="E5" s="5"/>
      <c r="F5" s="89"/>
      <c r="G5" s="89"/>
      <c r="P5" s="576"/>
    </row>
    <row r="6" spans="2:16" s="153" customFormat="1">
      <c r="C6" s="89" t="s">
        <v>101</v>
      </c>
      <c r="D6" s="89"/>
      <c r="E6" s="89"/>
      <c r="F6" s="89"/>
      <c r="G6" s="89"/>
      <c r="P6"/>
    </row>
    <row r="7" spans="2:16" s="153" customFormat="1">
      <c r="C7" s="89" t="s">
        <v>96</v>
      </c>
      <c r="D7" s="89"/>
      <c r="E7" s="89"/>
      <c r="F7" s="89"/>
      <c r="G7" s="89"/>
      <c r="P7"/>
    </row>
    <row r="9" spans="2:16" ht="13.5" thickBot="1"/>
    <row r="10" spans="2:16" ht="13.5" thickBot="1">
      <c r="C10" s="789" t="s">
        <v>32</v>
      </c>
      <c r="D10" s="790"/>
      <c r="E10" s="790"/>
      <c r="F10" s="790"/>
      <c r="G10" s="790"/>
      <c r="H10" s="790"/>
      <c r="I10" s="790"/>
      <c r="J10" s="790"/>
      <c r="K10" s="790"/>
      <c r="L10" s="790"/>
      <c r="M10" s="790"/>
      <c r="N10" s="790"/>
      <c r="O10" s="790"/>
      <c r="P10" s="791"/>
    </row>
    <row r="11" spans="2:16" ht="13.5" customHeight="1" thickBot="1">
      <c r="C11" s="793" t="s">
        <v>228</v>
      </c>
      <c r="D11" s="793" t="s">
        <v>262</v>
      </c>
      <c r="E11" s="793" t="s">
        <v>267</v>
      </c>
      <c r="F11" s="793" t="s">
        <v>261</v>
      </c>
      <c r="G11" s="793" t="s">
        <v>2</v>
      </c>
      <c r="H11" s="793" t="s">
        <v>16</v>
      </c>
      <c r="I11" s="793" t="s">
        <v>229</v>
      </c>
      <c r="J11" s="809" t="s">
        <v>273</v>
      </c>
      <c r="K11" s="810"/>
      <c r="L11" s="810"/>
      <c r="M11" s="811"/>
      <c r="N11" s="793" t="s">
        <v>146</v>
      </c>
      <c r="O11" s="793" t="s">
        <v>210</v>
      </c>
      <c r="P11" s="792" t="s">
        <v>308</v>
      </c>
    </row>
    <row r="12" spans="2:16" s="1" customFormat="1">
      <c r="B12" s="400" t="s">
        <v>1</v>
      </c>
      <c r="C12" s="812"/>
      <c r="D12" s="812"/>
      <c r="E12" s="812"/>
      <c r="F12" s="812"/>
      <c r="G12" s="812"/>
      <c r="H12" s="812"/>
      <c r="I12" s="812"/>
      <c r="J12" s="404" t="s">
        <v>230</v>
      </c>
      <c r="K12" s="404" t="s">
        <v>231</v>
      </c>
      <c r="L12" s="404" t="s">
        <v>232</v>
      </c>
      <c r="M12" s="400" t="s">
        <v>233</v>
      </c>
      <c r="N12" s="812"/>
      <c r="O12" s="812"/>
      <c r="P12" s="812"/>
    </row>
    <row r="13" spans="2:16" s="3" customFormat="1" ht="13.5" thickBot="1">
      <c r="B13" s="48"/>
      <c r="C13" s="401" t="s">
        <v>15</v>
      </c>
      <c r="D13" s="402" t="s">
        <v>15</v>
      </c>
      <c r="E13" s="402" t="s">
        <v>15</v>
      </c>
      <c r="F13" s="403" t="s">
        <v>15</v>
      </c>
      <c r="G13" s="402" t="s">
        <v>15</v>
      </c>
      <c r="H13" s="403" t="s">
        <v>15</v>
      </c>
      <c r="I13" s="403" t="s">
        <v>15</v>
      </c>
      <c r="J13" s="403" t="s">
        <v>15</v>
      </c>
      <c r="K13" s="403" t="s">
        <v>15</v>
      </c>
      <c r="L13" s="403" t="s">
        <v>15</v>
      </c>
      <c r="M13" s="403" t="s">
        <v>15</v>
      </c>
      <c r="N13" s="403" t="s">
        <v>15</v>
      </c>
      <c r="O13" s="463" t="s">
        <v>15</v>
      </c>
      <c r="P13" s="463" t="s">
        <v>15</v>
      </c>
    </row>
    <row r="14" spans="2:16">
      <c r="B14" s="149">
        <f>year</f>
        <v>2000</v>
      </c>
      <c r="C14" s="598">
        <f>Activity!$C13*Activity!$D13*Activity!E13</f>
        <v>21.341436171303602</v>
      </c>
      <c r="D14" s="599">
        <f>Activity!$C13*Activity!$D13*Activity!F13</f>
        <v>4.1307042446339999</v>
      </c>
      <c r="E14" s="599">
        <f>Activity!$C13*Activity!$D13*Activity!G13</f>
        <v>0</v>
      </c>
      <c r="F14" s="599">
        <f>Activity!$C13*Activity!$D13*Activity!H13</f>
        <v>0</v>
      </c>
      <c r="G14" s="599">
        <f>Activity!$C13*Activity!$D13*Activity!I13</f>
        <v>0</v>
      </c>
      <c r="H14" s="599">
        <f>Activity!$C13*Activity!$D13*Activity!J13</f>
        <v>0.26037902242439998</v>
      </c>
      <c r="I14" s="599">
        <f>Activity!$C13*Activity!$D13*Activity!K13</f>
        <v>0</v>
      </c>
      <c r="J14" s="599">
        <f>Activity!$C13*Activity!$D13*Activity!L13</f>
        <v>3.4427892965004001</v>
      </c>
      <c r="K14" s="600">
        <f>Activity!$C13*Activity!$D13*Activity!M13</f>
        <v>0.56897638233479997</v>
      </c>
      <c r="L14" s="600">
        <f>Activity!$C13*Activity!$D13*Activity!N13</f>
        <v>0.42753592570919996</v>
      </c>
      <c r="M14" s="599">
        <f>Activity!$C13*Activity!$D13*Activity!O13</f>
        <v>1.9962391719204</v>
      </c>
      <c r="N14" s="447">
        <v>0</v>
      </c>
      <c r="O14" s="607">
        <f>Activity!C13*Activity!D13</f>
        <v>32.145558324</v>
      </c>
      <c r="P14" s="608">
        <f>Activity!X13</f>
        <v>0</v>
      </c>
    </row>
    <row r="15" spans="2:16">
      <c r="B15" s="49">
        <f>B14+1</f>
        <v>2001</v>
      </c>
      <c r="C15" s="601">
        <f>Activity!$C14*Activity!$D14*Activity!E14</f>
        <v>21.768738811459201</v>
      </c>
      <c r="D15" s="602">
        <f>Activity!$C14*Activity!$D14*Activity!F14</f>
        <v>4.2134100576479998</v>
      </c>
      <c r="E15" s="600">
        <f>Activity!$C14*Activity!$D14*Activity!G14</f>
        <v>0</v>
      </c>
      <c r="F15" s="602">
        <f>Activity!$C14*Activity!$D14*Activity!H14</f>
        <v>0</v>
      </c>
      <c r="G15" s="602">
        <f>Activity!$C14*Activity!$D14*Activity!I14</f>
        <v>0</v>
      </c>
      <c r="H15" s="602">
        <f>Activity!$C14*Activity!$D14*Activity!J14</f>
        <v>0.26559238495679999</v>
      </c>
      <c r="I15" s="602">
        <f>Activity!$C14*Activity!$D14*Activity!K14</f>
        <v>0</v>
      </c>
      <c r="J15" s="603">
        <f>Activity!$C14*Activity!$D14*Activity!L14</f>
        <v>3.5117215344288</v>
      </c>
      <c r="K15" s="602">
        <f>Activity!$C14*Activity!$D14*Activity!M14</f>
        <v>0.58036854490559997</v>
      </c>
      <c r="L15" s="602">
        <f>Activity!$C14*Activity!$D14*Activity!N14</f>
        <v>0.43609613826239996</v>
      </c>
      <c r="M15" s="600">
        <f>Activity!$C14*Activity!$D14*Activity!O14</f>
        <v>2.0362082846687999</v>
      </c>
      <c r="N15" s="448">
        <v>0</v>
      </c>
      <c r="O15" s="602">
        <f>Activity!C14*Activity!D14</f>
        <v>32.789183328</v>
      </c>
      <c r="P15" s="609">
        <f>Activity!X14</f>
        <v>0</v>
      </c>
    </row>
    <row r="16" spans="2:16">
      <c r="B16" s="7">
        <f t="shared" ref="B16:B21" si="0">B15+1</f>
        <v>2002</v>
      </c>
      <c r="C16" s="601">
        <f>Activity!$C15*Activity!$D15*Activity!E15</f>
        <v>22.265246390270406</v>
      </c>
      <c r="D16" s="602">
        <f>Activity!$C15*Activity!$D15*Activity!F15</f>
        <v>4.3095107111760012</v>
      </c>
      <c r="E16" s="600">
        <f>Activity!$C15*Activity!$D15*Activity!G15</f>
        <v>0</v>
      </c>
      <c r="F16" s="602">
        <f>Activity!$C15*Activity!$D15*Activity!H15</f>
        <v>0</v>
      </c>
      <c r="G16" s="602">
        <f>Activity!$C15*Activity!$D15*Activity!I15</f>
        <v>0</v>
      </c>
      <c r="H16" s="602">
        <f>Activity!$C15*Activity!$D15*Activity!J15</f>
        <v>0.27165009152160002</v>
      </c>
      <c r="I16" s="602">
        <f>Activity!$C15*Activity!$D15*Activity!K15</f>
        <v>0</v>
      </c>
      <c r="J16" s="603">
        <f>Activity!$C15*Activity!$D15*Activity!L15</f>
        <v>3.5918178767856004</v>
      </c>
      <c r="K16" s="602">
        <f>Activity!$C15*Activity!$D15*Activity!M15</f>
        <v>0.59360575554720008</v>
      </c>
      <c r="L16" s="602">
        <f>Activity!$C15*Activity!$D15*Activity!N15</f>
        <v>0.44604274286880002</v>
      </c>
      <c r="M16" s="600">
        <f>Activity!$C15*Activity!$D15*Activity!O15</f>
        <v>2.0826507016656004</v>
      </c>
      <c r="N16" s="448">
        <v>0</v>
      </c>
      <c r="O16" s="602">
        <f>Activity!C15*Activity!D15</f>
        <v>33.537048336000005</v>
      </c>
      <c r="P16" s="609">
        <f>Activity!X15</f>
        <v>0</v>
      </c>
    </row>
    <row r="17" spans="2:16">
      <c r="B17" s="7">
        <f t="shared" si="0"/>
        <v>2003</v>
      </c>
      <c r="C17" s="601">
        <f>Activity!$C16*Activity!$D16*Activity!E16</f>
        <v>22.978454235303598</v>
      </c>
      <c r="D17" s="602">
        <f>Activity!$C16*Activity!$D16*Activity!F16</f>
        <v>4.4475544046339994</v>
      </c>
      <c r="E17" s="600">
        <f>Activity!$C16*Activity!$D16*Activity!G16</f>
        <v>0</v>
      </c>
      <c r="F17" s="602">
        <f>Activity!$C16*Activity!$D16*Activity!H16</f>
        <v>0</v>
      </c>
      <c r="G17" s="602">
        <f>Activity!$C16*Activity!$D16*Activity!I16</f>
        <v>0</v>
      </c>
      <c r="H17" s="602">
        <f>Activity!$C16*Activity!$D16*Activity!J16</f>
        <v>0.28035167842439995</v>
      </c>
      <c r="I17" s="602">
        <f>Activity!$C16*Activity!$D16*Activity!K16</f>
        <v>0</v>
      </c>
      <c r="J17" s="603">
        <f>Activity!$C16*Activity!$D16*Activity!L16</f>
        <v>3.7068721925003993</v>
      </c>
      <c r="K17" s="602">
        <f>Activity!$C16*Activity!$D16*Activity!M16</f>
        <v>0.6126203343347999</v>
      </c>
      <c r="L17" s="602">
        <f>Activity!$C16*Activity!$D16*Activity!N16</f>
        <v>0.46033053370919991</v>
      </c>
      <c r="M17" s="600">
        <f>Activity!$C16*Activity!$D16*Activity!O16</f>
        <v>2.1493628679204</v>
      </c>
      <c r="N17" s="448">
        <v>0</v>
      </c>
      <c r="O17" s="602">
        <f>Activity!C16*Activity!D16</f>
        <v>34.611318323999996</v>
      </c>
      <c r="P17" s="609">
        <f>Activity!X16</f>
        <v>0</v>
      </c>
    </row>
    <row r="18" spans="2:16">
      <c r="B18" s="7">
        <f t="shared" si="0"/>
        <v>2004</v>
      </c>
      <c r="C18" s="601">
        <f>Activity!$C17*Activity!$D17*Activity!E17</f>
        <v>23.2455337324452</v>
      </c>
      <c r="D18" s="602">
        <f>Activity!$C17*Activity!$D17*Activity!F17</f>
        <v>4.4992485082379998</v>
      </c>
      <c r="E18" s="600">
        <f>Activity!$C17*Activity!$D17*Activity!G17</f>
        <v>0</v>
      </c>
      <c r="F18" s="602">
        <f>Activity!$C17*Activity!$D17*Activity!H17</f>
        <v>0</v>
      </c>
      <c r="G18" s="602">
        <f>Activity!$C17*Activity!$D17*Activity!I17</f>
        <v>0</v>
      </c>
      <c r="H18" s="602">
        <f>Activity!$C17*Activity!$D17*Activity!J17</f>
        <v>0.28361021725079999</v>
      </c>
      <c r="I18" s="602">
        <f>Activity!$C17*Activity!$D17*Activity!K17</f>
        <v>0</v>
      </c>
      <c r="J18" s="603">
        <f>Activity!$C17*Activity!$D17*Activity!L17</f>
        <v>3.7499573169827998</v>
      </c>
      <c r="K18" s="602">
        <f>Activity!$C17*Activity!$D17*Activity!M17</f>
        <v>0.61974084510359995</v>
      </c>
      <c r="L18" s="602">
        <f>Activity!$C17*Activity!$D17*Activity!N17</f>
        <v>0.46568097400439995</v>
      </c>
      <c r="M18" s="600">
        <f>Activity!$C17*Activity!$D17*Activity!O17</f>
        <v>2.1743449989228001</v>
      </c>
      <c r="N18" s="448">
        <v>0</v>
      </c>
      <c r="O18" s="602">
        <f>Activity!C17*Activity!D17</f>
        <v>35.013607067999999</v>
      </c>
      <c r="P18" s="609">
        <f>Activity!X17</f>
        <v>0</v>
      </c>
    </row>
    <row r="19" spans="2:16">
      <c r="B19" s="7">
        <f t="shared" si="0"/>
        <v>2005</v>
      </c>
      <c r="C19" s="601">
        <f>Activity!$C18*Activity!$D18*Activity!E18</f>
        <v>23.8917056877576</v>
      </c>
      <c r="D19" s="602">
        <f>Activity!$C18*Activity!$D18*Activity!F18</f>
        <v>4.6243171876439995</v>
      </c>
      <c r="E19" s="600">
        <f>Activity!$C18*Activity!$D18*Activity!G18</f>
        <v>0</v>
      </c>
      <c r="F19" s="602">
        <f>Activity!$C18*Activity!$D18*Activity!H18</f>
        <v>0</v>
      </c>
      <c r="G19" s="602">
        <f>Activity!$C18*Activity!$D18*Activity!I18</f>
        <v>0</v>
      </c>
      <c r="H19" s="602">
        <f>Activity!$C18*Activity!$D18*Activity!J18</f>
        <v>0.29149392389039996</v>
      </c>
      <c r="I19" s="602">
        <f>Activity!$C18*Activity!$D18*Activity!K18</f>
        <v>0</v>
      </c>
      <c r="J19" s="603">
        <f>Activity!$C18*Activity!$D18*Activity!L18</f>
        <v>3.8541974381063997</v>
      </c>
      <c r="K19" s="602">
        <f>Activity!$C18*Activity!$D18*Activity!M18</f>
        <v>0.63696820405679999</v>
      </c>
      <c r="L19" s="602">
        <f>Activity!$C18*Activity!$D18*Activity!N18</f>
        <v>0.47862582564719991</v>
      </c>
      <c r="M19" s="600">
        <f>Activity!$C18*Activity!$D18*Activity!O18</f>
        <v>2.2347867498263998</v>
      </c>
      <c r="N19" s="448">
        <v>0</v>
      </c>
      <c r="O19" s="602">
        <f>Activity!C18*Activity!D18</f>
        <v>35.986904183999997</v>
      </c>
      <c r="P19" s="609">
        <f>Activity!X18</f>
        <v>0</v>
      </c>
    </row>
    <row r="20" spans="2:16">
      <c r="B20" s="7">
        <f t="shared" si="0"/>
        <v>2006</v>
      </c>
      <c r="C20" s="601">
        <f>Activity!$C19*Activity!$D19*Activity!E19</f>
        <v>24.167256753380403</v>
      </c>
      <c r="D20" s="602">
        <f>Activity!$C19*Activity!$D19*Activity!F19</f>
        <v>4.6776509908260007</v>
      </c>
      <c r="E20" s="600">
        <f>Activity!$C19*Activity!$D19*Activity!G19</f>
        <v>0</v>
      </c>
      <c r="F20" s="602">
        <f>Activity!$C19*Activity!$D19*Activity!H19</f>
        <v>0</v>
      </c>
      <c r="G20" s="602">
        <f>Activity!$C19*Activity!$D19*Activity!I19</f>
        <v>0</v>
      </c>
      <c r="H20" s="602">
        <f>Activity!$C19*Activity!$D19*Activity!J19</f>
        <v>0.29485582121160003</v>
      </c>
      <c r="I20" s="602">
        <f>Activity!$C19*Activity!$D19*Activity!K19</f>
        <v>0</v>
      </c>
      <c r="J20" s="603">
        <f>Activity!$C19*Activity!$D19*Activity!L19</f>
        <v>3.8986491915756005</v>
      </c>
      <c r="K20" s="602">
        <f>Activity!$C19*Activity!$D19*Activity!M19</f>
        <v>0.64431457227720013</v>
      </c>
      <c r="L20" s="602">
        <f>Activity!$C19*Activity!$D19*Activity!N19</f>
        <v>0.48414597803880005</v>
      </c>
      <c r="M20" s="600">
        <f>Activity!$C19*Activity!$D19*Activity!O19</f>
        <v>2.2605612959556005</v>
      </c>
      <c r="N20" s="448">
        <v>0</v>
      </c>
      <c r="O20" s="602">
        <f>Activity!C19*Activity!D19</f>
        <v>36.401953236000004</v>
      </c>
      <c r="P20" s="609">
        <f>Activity!X19</f>
        <v>0</v>
      </c>
    </row>
    <row r="21" spans="2:16">
      <c r="B21" s="7">
        <f t="shared" si="0"/>
        <v>2007</v>
      </c>
      <c r="C21" s="601">
        <f>Activity!$C20*Activity!$D20*Activity!E20</f>
        <v>24.435564014070007</v>
      </c>
      <c r="D21" s="602">
        <f>Activity!$C20*Activity!$D20*Activity!F20</f>
        <v>4.7295827320500008</v>
      </c>
      <c r="E21" s="600">
        <f>Activity!$C20*Activity!$D20*Activity!G20</f>
        <v>0</v>
      </c>
      <c r="F21" s="602">
        <f>Activity!$C20*Activity!$D20*Activity!H20</f>
        <v>0</v>
      </c>
      <c r="G21" s="602">
        <f>Activity!$C20*Activity!$D20*Activity!I20</f>
        <v>0</v>
      </c>
      <c r="H21" s="602">
        <f>Activity!$C20*Activity!$D20*Activity!J20</f>
        <v>0.29812933953000004</v>
      </c>
      <c r="I21" s="602">
        <f>Activity!$C20*Activity!$D20*Activity!K20</f>
        <v>0</v>
      </c>
      <c r="J21" s="603">
        <f>Activity!$C20*Activity!$D20*Activity!L20</f>
        <v>3.9419323782300006</v>
      </c>
      <c r="K21" s="602">
        <f>Activity!$C20*Activity!$D20*Activity!M20</f>
        <v>0.65146781601000014</v>
      </c>
      <c r="L21" s="602">
        <f>Activity!$C20*Activity!$D20*Activity!N20</f>
        <v>0.48952101429000006</v>
      </c>
      <c r="M21" s="600">
        <f>Activity!$C20*Activity!$D20*Activity!O20</f>
        <v>2.2856582697300003</v>
      </c>
      <c r="N21" s="448">
        <v>0</v>
      </c>
      <c r="O21" s="602">
        <f>Activity!C20*Activity!D20</f>
        <v>36.806091300000006</v>
      </c>
      <c r="P21" s="609">
        <f>Activity!X20</f>
        <v>0</v>
      </c>
    </row>
    <row r="22" spans="2:16">
      <c r="B22" s="7">
        <f t="shared" ref="B22:B85" si="1">B21+1</f>
        <v>2008</v>
      </c>
      <c r="C22" s="601">
        <f>Activity!$C21*Activity!$D21*Activity!E21</f>
        <v>24.693967315472399</v>
      </c>
      <c r="D22" s="602">
        <f>Activity!$C21*Activity!$D21*Activity!F21</f>
        <v>4.7795975298059998</v>
      </c>
      <c r="E22" s="600">
        <f>Activity!$C21*Activity!$D21*Activity!G21</f>
        <v>0</v>
      </c>
      <c r="F22" s="602">
        <f>Activity!$C21*Activity!$D21*Activity!H21</f>
        <v>0</v>
      </c>
      <c r="G22" s="602">
        <f>Activity!$C21*Activity!$D21*Activity!I21</f>
        <v>0</v>
      </c>
      <c r="H22" s="602">
        <f>Activity!$C21*Activity!$D21*Activity!J21</f>
        <v>0.30128202327959996</v>
      </c>
      <c r="I22" s="602">
        <f>Activity!$C21*Activity!$D21*Activity!K21</f>
        <v>0</v>
      </c>
      <c r="J22" s="603">
        <f>Activity!$C21*Activity!$D21*Activity!L21</f>
        <v>3.9836178633635995</v>
      </c>
      <c r="K22" s="602">
        <f>Activity!$C21*Activity!$D21*Activity!M21</f>
        <v>0.6583570138332</v>
      </c>
      <c r="L22" s="602">
        <f>Activity!$C21*Activity!$D21*Activity!N21</f>
        <v>0.4946976431627999</v>
      </c>
      <c r="M22" s="600">
        <f>Activity!$C21*Activity!$D21*Activity!O21</f>
        <v>2.3098288451436</v>
      </c>
      <c r="N22" s="448">
        <v>0</v>
      </c>
      <c r="O22" s="602">
        <f>Activity!C21*Activity!D21</f>
        <v>37.195311515999997</v>
      </c>
      <c r="P22" s="609">
        <f>Activity!X21</f>
        <v>0</v>
      </c>
    </row>
    <row r="23" spans="2:16">
      <c r="B23" s="7">
        <f t="shared" si="1"/>
        <v>2009</v>
      </c>
      <c r="C23" s="601">
        <f>Activity!$C22*Activity!$D22*Activity!E22</f>
        <v>24.939151696008</v>
      </c>
      <c r="D23" s="602">
        <f>Activity!$C22*Activity!$D22*Activity!F22</f>
        <v>4.8270537625200003</v>
      </c>
      <c r="E23" s="600">
        <f>Activity!$C22*Activity!$D22*Activity!G22</f>
        <v>0</v>
      </c>
      <c r="F23" s="602">
        <f>Activity!$C22*Activity!$D22*Activity!H22</f>
        <v>0</v>
      </c>
      <c r="G23" s="602">
        <f>Activity!$C22*Activity!$D22*Activity!I22</f>
        <v>0</v>
      </c>
      <c r="H23" s="602">
        <f>Activity!$C22*Activity!$D22*Activity!J22</f>
        <v>0.30427342783200001</v>
      </c>
      <c r="I23" s="602">
        <f>Activity!$C22*Activity!$D22*Activity!K22</f>
        <v>0</v>
      </c>
      <c r="J23" s="603">
        <f>Activity!$C22*Activity!$D22*Activity!L22</f>
        <v>4.0231708791120004</v>
      </c>
      <c r="K23" s="602">
        <f>Activity!$C22*Activity!$D22*Activity!M22</f>
        <v>0.66489378674400001</v>
      </c>
      <c r="L23" s="602">
        <f>Activity!$C22*Activity!$D22*Activity!N22</f>
        <v>0.49960945557600001</v>
      </c>
      <c r="M23" s="600">
        <f>Activity!$C22*Activity!$D22*Activity!O22</f>
        <v>2.3327629467120001</v>
      </c>
      <c r="N23" s="448">
        <v>0</v>
      </c>
      <c r="O23" s="602">
        <f>Activity!C22*Activity!D22</f>
        <v>37.564620720000001</v>
      </c>
      <c r="P23" s="609">
        <f>Activity!X22</f>
        <v>0</v>
      </c>
    </row>
    <row r="24" spans="2:16">
      <c r="B24" s="7">
        <f t="shared" si="1"/>
        <v>2010</v>
      </c>
      <c r="C24" s="601">
        <f>Activity!$C23*Activity!$D23*Activity!E23</f>
        <v>29.773266039000006</v>
      </c>
      <c r="D24" s="602">
        <f>Activity!$C23*Activity!$D23*Activity!F23</f>
        <v>5.762712285000001</v>
      </c>
      <c r="E24" s="600">
        <f>Activity!$C23*Activity!$D23*Activity!G23</f>
        <v>0</v>
      </c>
      <c r="F24" s="602">
        <f>Activity!$C23*Activity!$D23*Activity!H23</f>
        <v>0</v>
      </c>
      <c r="G24" s="602">
        <f>Activity!$C23*Activity!$D23*Activity!I23</f>
        <v>0</v>
      </c>
      <c r="H24" s="602">
        <f>Activity!$C23*Activity!$D23*Activity!J23</f>
        <v>0.36325268100000002</v>
      </c>
      <c r="I24" s="602">
        <f>Activity!$C23*Activity!$D23*Activity!K23</f>
        <v>0</v>
      </c>
      <c r="J24" s="603">
        <f>Activity!$C23*Activity!$D23*Activity!L23</f>
        <v>4.8030076710000005</v>
      </c>
      <c r="K24" s="602">
        <f>Activity!$C23*Activity!$D23*Activity!M23</f>
        <v>0.79377437700000009</v>
      </c>
      <c r="L24" s="602">
        <f>Activity!$C23*Activity!$D23*Activity!N23</f>
        <v>0.5964519330000001</v>
      </c>
      <c r="M24" s="600">
        <f>Activity!$C23*Activity!$D23*Activity!O23</f>
        <v>2.7849372210000007</v>
      </c>
      <c r="N24" s="448">
        <v>0</v>
      </c>
      <c r="O24" s="602">
        <f>Activity!C23*Activity!D23</f>
        <v>44.846010000000007</v>
      </c>
      <c r="P24" s="609">
        <f>Activity!X23</f>
        <v>0</v>
      </c>
    </row>
    <row r="25" spans="2:16">
      <c r="B25" s="7">
        <f t="shared" si="1"/>
        <v>2011</v>
      </c>
      <c r="C25" s="601">
        <f>Activity!$C24*Activity!$D24*Activity!E24</f>
        <v>0</v>
      </c>
      <c r="D25" s="602">
        <f>Activity!$C24*Activity!$D24*Activity!F24</f>
        <v>0</v>
      </c>
      <c r="E25" s="600">
        <f>Activity!$C24*Activity!$D24*Activity!G24</f>
        <v>0</v>
      </c>
      <c r="F25" s="602">
        <f>Activity!$C24*Activity!$D24*Activity!H24</f>
        <v>0</v>
      </c>
      <c r="G25" s="602">
        <f>Activity!$C24*Activity!$D24*Activity!I24</f>
        <v>0</v>
      </c>
      <c r="H25" s="602">
        <f>Activity!$C24*Activity!$D24*Activity!J24</f>
        <v>0</v>
      </c>
      <c r="I25" s="602">
        <f>Activity!$C24*Activity!$D24*Activity!K24</f>
        <v>0</v>
      </c>
      <c r="J25" s="603">
        <f>Activity!$C24*Activity!$D24*Activity!L24</f>
        <v>0</v>
      </c>
      <c r="K25" s="602">
        <f>Activity!$C24*Activity!$D24*Activity!M24</f>
        <v>0</v>
      </c>
      <c r="L25" s="602">
        <f>Activity!$C24*Activity!$D24*Activity!N24</f>
        <v>0</v>
      </c>
      <c r="M25" s="600">
        <f>Activity!$C24*Activity!$D24*Activity!O24</f>
        <v>0</v>
      </c>
      <c r="N25" s="448">
        <v>0</v>
      </c>
      <c r="O25" s="602">
        <f>Activity!C24*Activity!D24</f>
        <v>0</v>
      </c>
      <c r="P25" s="609">
        <f>Activity!X24</f>
        <v>0</v>
      </c>
    </row>
    <row r="26" spans="2:16">
      <c r="B26" s="7">
        <f t="shared" si="1"/>
        <v>2012</v>
      </c>
      <c r="C26" s="601">
        <f>Activity!$C25*Activity!$D25*Activity!E25</f>
        <v>0</v>
      </c>
      <c r="D26" s="602">
        <f>Activity!$C25*Activity!$D25*Activity!F25</f>
        <v>0</v>
      </c>
      <c r="E26" s="600">
        <f>Activity!$C25*Activity!$D25*Activity!G25</f>
        <v>0</v>
      </c>
      <c r="F26" s="602">
        <f>Activity!$C25*Activity!$D25*Activity!H25</f>
        <v>0</v>
      </c>
      <c r="G26" s="602">
        <f>Activity!$C25*Activity!$D25*Activity!I25</f>
        <v>0</v>
      </c>
      <c r="H26" s="602">
        <f>Activity!$C25*Activity!$D25*Activity!J25</f>
        <v>0</v>
      </c>
      <c r="I26" s="602">
        <f>Activity!$C25*Activity!$D25*Activity!K25</f>
        <v>0</v>
      </c>
      <c r="J26" s="603">
        <f>Activity!$C25*Activity!$D25*Activity!L25</f>
        <v>0</v>
      </c>
      <c r="K26" s="602">
        <f>Activity!$C25*Activity!$D25*Activity!M25</f>
        <v>0</v>
      </c>
      <c r="L26" s="602">
        <f>Activity!$C25*Activity!$D25*Activity!N25</f>
        <v>0</v>
      </c>
      <c r="M26" s="600">
        <f>Activity!$C25*Activity!$D25*Activity!O25</f>
        <v>0</v>
      </c>
      <c r="N26" s="448">
        <v>0</v>
      </c>
      <c r="O26" s="602">
        <f>Activity!C25*Activity!D25</f>
        <v>0</v>
      </c>
      <c r="P26" s="609">
        <f>Activity!X25</f>
        <v>0</v>
      </c>
    </row>
    <row r="27" spans="2:16">
      <c r="B27" s="7">
        <f t="shared" si="1"/>
        <v>2013</v>
      </c>
      <c r="C27" s="601">
        <f>Activity!$C26*Activity!$D26*Activity!E26</f>
        <v>0</v>
      </c>
      <c r="D27" s="602">
        <f>Activity!$C26*Activity!$D26*Activity!F26</f>
        <v>0</v>
      </c>
      <c r="E27" s="600">
        <f>Activity!$C26*Activity!$D26*Activity!G26</f>
        <v>0</v>
      </c>
      <c r="F27" s="602">
        <f>Activity!$C26*Activity!$D26*Activity!H26</f>
        <v>0</v>
      </c>
      <c r="G27" s="602">
        <f>Activity!$C26*Activity!$D26*Activity!I26</f>
        <v>0</v>
      </c>
      <c r="H27" s="602">
        <f>Activity!$C26*Activity!$D26*Activity!J26</f>
        <v>0</v>
      </c>
      <c r="I27" s="602">
        <f>Activity!$C26*Activity!$D26*Activity!K26</f>
        <v>0</v>
      </c>
      <c r="J27" s="603">
        <f>Activity!$C26*Activity!$D26*Activity!L26</f>
        <v>0</v>
      </c>
      <c r="K27" s="602">
        <f>Activity!$C26*Activity!$D26*Activity!M26</f>
        <v>0</v>
      </c>
      <c r="L27" s="602">
        <f>Activity!$C26*Activity!$D26*Activity!N26</f>
        <v>0</v>
      </c>
      <c r="M27" s="600">
        <f>Activity!$C26*Activity!$D26*Activity!O26</f>
        <v>0</v>
      </c>
      <c r="N27" s="448">
        <v>0</v>
      </c>
      <c r="O27" s="602">
        <f>Activity!C26*Activity!D26</f>
        <v>0</v>
      </c>
      <c r="P27" s="609">
        <f>Activity!X26</f>
        <v>0</v>
      </c>
    </row>
    <row r="28" spans="2:16">
      <c r="B28" s="7">
        <f t="shared" si="1"/>
        <v>2014</v>
      </c>
      <c r="C28" s="601">
        <f>Activity!$C27*Activity!$D27*Activity!E27</f>
        <v>0</v>
      </c>
      <c r="D28" s="602">
        <f>Activity!$C27*Activity!$D27*Activity!F27</f>
        <v>0</v>
      </c>
      <c r="E28" s="600">
        <f>Activity!$C27*Activity!$D27*Activity!G27</f>
        <v>0</v>
      </c>
      <c r="F28" s="602">
        <f>Activity!$C27*Activity!$D27*Activity!H27</f>
        <v>0</v>
      </c>
      <c r="G28" s="602">
        <f>Activity!$C27*Activity!$D27*Activity!I27</f>
        <v>0</v>
      </c>
      <c r="H28" s="602">
        <f>Activity!$C27*Activity!$D27*Activity!J27</f>
        <v>0</v>
      </c>
      <c r="I28" s="602">
        <f>Activity!$C27*Activity!$D27*Activity!K27</f>
        <v>0</v>
      </c>
      <c r="J28" s="603">
        <f>Activity!$C27*Activity!$D27*Activity!L27</f>
        <v>0</v>
      </c>
      <c r="K28" s="602">
        <f>Activity!$C27*Activity!$D27*Activity!M27</f>
        <v>0</v>
      </c>
      <c r="L28" s="602">
        <f>Activity!$C27*Activity!$D27*Activity!N27</f>
        <v>0</v>
      </c>
      <c r="M28" s="600">
        <f>Activity!$C27*Activity!$D27*Activity!O27</f>
        <v>0</v>
      </c>
      <c r="N28" s="448">
        <v>0</v>
      </c>
      <c r="O28" s="602">
        <f>Activity!C27*Activity!D27</f>
        <v>0</v>
      </c>
      <c r="P28" s="609">
        <f>Activity!X27</f>
        <v>0</v>
      </c>
    </row>
    <row r="29" spans="2:16">
      <c r="B29" s="7">
        <f t="shared" si="1"/>
        <v>2015</v>
      </c>
      <c r="C29" s="601">
        <f>Activity!$C28*Activity!$D28*Activity!E28</f>
        <v>0</v>
      </c>
      <c r="D29" s="602">
        <f>Activity!$C28*Activity!$D28*Activity!F28</f>
        <v>0</v>
      </c>
      <c r="E29" s="600">
        <f>Activity!$C28*Activity!$D28*Activity!G28</f>
        <v>0</v>
      </c>
      <c r="F29" s="602">
        <f>Activity!$C28*Activity!$D28*Activity!H28</f>
        <v>0</v>
      </c>
      <c r="G29" s="602">
        <f>Activity!$C28*Activity!$D28*Activity!I28</f>
        <v>0</v>
      </c>
      <c r="H29" s="602">
        <f>Activity!$C28*Activity!$D28*Activity!J28</f>
        <v>0</v>
      </c>
      <c r="I29" s="602">
        <f>Activity!$C28*Activity!$D28*Activity!K28</f>
        <v>0</v>
      </c>
      <c r="J29" s="603">
        <f>Activity!$C28*Activity!$D28*Activity!L28</f>
        <v>0</v>
      </c>
      <c r="K29" s="602">
        <f>Activity!$C28*Activity!$D28*Activity!M28</f>
        <v>0</v>
      </c>
      <c r="L29" s="602">
        <f>Activity!$C28*Activity!$D28*Activity!N28</f>
        <v>0</v>
      </c>
      <c r="M29" s="600">
        <f>Activity!$C28*Activity!$D28*Activity!O28</f>
        <v>0</v>
      </c>
      <c r="N29" s="448">
        <v>0</v>
      </c>
      <c r="O29" s="602">
        <f>Activity!C28*Activity!D28</f>
        <v>0</v>
      </c>
      <c r="P29" s="609">
        <f>Activity!X28</f>
        <v>0</v>
      </c>
    </row>
    <row r="30" spans="2:16">
      <c r="B30" s="7">
        <f t="shared" si="1"/>
        <v>2016</v>
      </c>
      <c r="C30" s="601">
        <f>Activity!$C29*Activity!$D29*Activity!E29</f>
        <v>0</v>
      </c>
      <c r="D30" s="602">
        <f>Activity!$C29*Activity!$D29*Activity!F29</f>
        <v>0</v>
      </c>
      <c r="E30" s="600">
        <f>Activity!$C29*Activity!$D29*Activity!G29</f>
        <v>0</v>
      </c>
      <c r="F30" s="602">
        <f>Activity!$C29*Activity!$D29*Activity!H29</f>
        <v>0</v>
      </c>
      <c r="G30" s="602">
        <f>Activity!$C29*Activity!$D29*Activity!I29</f>
        <v>0</v>
      </c>
      <c r="H30" s="602">
        <f>Activity!$C29*Activity!$D29*Activity!J29</f>
        <v>0</v>
      </c>
      <c r="I30" s="602">
        <f>Activity!$C29*Activity!$D29*Activity!K29</f>
        <v>0</v>
      </c>
      <c r="J30" s="603">
        <f>Activity!$C29*Activity!$D29*Activity!L29</f>
        <v>0</v>
      </c>
      <c r="K30" s="602">
        <f>Activity!$C29*Activity!$D29*Activity!M29</f>
        <v>0</v>
      </c>
      <c r="L30" s="602">
        <f>Activity!$C29*Activity!$D29*Activity!N29</f>
        <v>0</v>
      </c>
      <c r="M30" s="600">
        <f>Activity!$C29*Activity!$D29*Activity!O29</f>
        <v>0</v>
      </c>
      <c r="N30" s="448">
        <v>0</v>
      </c>
      <c r="O30" s="602">
        <f>Activity!C29*Activity!D29</f>
        <v>0</v>
      </c>
      <c r="P30" s="609">
        <f>Activity!X29</f>
        <v>0</v>
      </c>
    </row>
    <row r="31" spans="2:16">
      <c r="B31" s="7">
        <f t="shared" si="1"/>
        <v>2017</v>
      </c>
      <c r="C31" s="601">
        <f>Activity!$C30*Activity!$D30*Activity!E30</f>
        <v>0</v>
      </c>
      <c r="D31" s="602">
        <f>Activity!$C30*Activity!$D30*Activity!F30</f>
        <v>0</v>
      </c>
      <c r="E31" s="600">
        <f>Activity!$C30*Activity!$D30*Activity!G30</f>
        <v>0</v>
      </c>
      <c r="F31" s="602">
        <f>Activity!$C30*Activity!$D30*Activity!H30</f>
        <v>0</v>
      </c>
      <c r="G31" s="602">
        <f>Activity!$C30*Activity!$D30*Activity!I30</f>
        <v>0</v>
      </c>
      <c r="H31" s="602">
        <f>Activity!$C30*Activity!$D30*Activity!J30</f>
        <v>0</v>
      </c>
      <c r="I31" s="602">
        <f>Activity!$C30*Activity!$D30*Activity!K30</f>
        <v>0</v>
      </c>
      <c r="J31" s="603">
        <f>Activity!$C30*Activity!$D30*Activity!L30</f>
        <v>0</v>
      </c>
      <c r="K31" s="602">
        <f>Activity!$C30*Activity!$D30*Activity!M30</f>
        <v>0</v>
      </c>
      <c r="L31" s="602">
        <f>Activity!$C30*Activity!$D30*Activity!N30</f>
        <v>0</v>
      </c>
      <c r="M31" s="600">
        <f>Activity!$C30*Activity!$D30*Activity!O30</f>
        <v>0</v>
      </c>
      <c r="N31" s="448">
        <v>0</v>
      </c>
      <c r="O31" s="602">
        <f>Activity!C30*Activity!D30</f>
        <v>0</v>
      </c>
      <c r="P31" s="609">
        <f>Activity!X30</f>
        <v>0</v>
      </c>
    </row>
    <row r="32" spans="2:16">
      <c r="B32" s="7">
        <f t="shared" si="1"/>
        <v>2018</v>
      </c>
      <c r="C32" s="601">
        <f>Activity!$C31*Activity!$D31*Activity!E31</f>
        <v>0</v>
      </c>
      <c r="D32" s="602">
        <f>Activity!$C31*Activity!$D31*Activity!F31</f>
        <v>0</v>
      </c>
      <c r="E32" s="600">
        <f>Activity!$C31*Activity!$D31*Activity!G31</f>
        <v>0</v>
      </c>
      <c r="F32" s="602">
        <f>Activity!$C31*Activity!$D31*Activity!H31</f>
        <v>0</v>
      </c>
      <c r="G32" s="602">
        <f>Activity!$C31*Activity!$D31*Activity!I31</f>
        <v>0</v>
      </c>
      <c r="H32" s="602">
        <f>Activity!$C31*Activity!$D31*Activity!J31</f>
        <v>0</v>
      </c>
      <c r="I32" s="602">
        <f>Activity!$C31*Activity!$D31*Activity!K31</f>
        <v>0</v>
      </c>
      <c r="J32" s="603">
        <f>Activity!$C31*Activity!$D31*Activity!L31</f>
        <v>0</v>
      </c>
      <c r="K32" s="602">
        <f>Activity!$C31*Activity!$D31*Activity!M31</f>
        <v>0</v>
      </c>
      <c r="L32" s="602">
        <f>Activity!$C31*Activity!$D31*Activity!N31</f>
        <v>0</v>
      </c>
      <c r="M32" s="600">
        <f>Activity!$C31*Activity!$D31*Activity!O31</f>
        <v>0</v>
      </c>
      <c r="N32" s="448">
        <v>0</v>
      </c>
      <c r="O32" s="602">
        <f>Activity!C31*Activity!D31</f>
        <v>0</v>
      </c>
      <c r="P32" s="609">
        <f>Activity!X31</f>
        <v>0</v>
      </c>
    </row>
    <row r="33" spans="2:16">
      <c r="B33" s="7">
        <f t="shared" si="1"/>
        <v>2019</v>
      </c>
      <c r="C33" s="601">
        <f>Activity!$C32*Activity!$D32*Activity!E32</f>
        <v>0</v>
      </c>
      <c r="D33" s="602">
        <f>Activity!$C32*Activity!$D32*Activity!F32</f>
        <v>0</v>
      </c>
      <c r="E33" s="600">
        <f>Activity!$C32*Activity!$D32*Activity!G32</f>
        <v>0</v>
      </c>
      <c r="F33" s="602">
        <f>Activity!$C32*Activity!$D32*Activity!H32</f>
        <v>0</v>
      </c>
      <c r="G33" s="602">
        <f>Activity!$C32*Activity!$D32*Activity!I32</f>
        <v>0</v>
      </c>
      <c r="H33" s="602">
        <f>Activity!$C32*Activity!$D32*Activity!J32</f>
        <v>0</v>
      </c>
      <c r="I33" s="602">
        <f>Activity!$C32*Activity!$D32*Activity!K32</f>
        <v>0</v>
      </c>
      <c r="J33" s="603">
        <f>Activity!$C32*Activity!$D32*Activity!L32</f>
        <v>0</v>
      </c>
      <c r="K33" s="602">
        <f>Activity!$C32*Activity!$D32*Activity!M32</f>
        <v>0</v>
      </c>
      <c r="L33" s="602">
        <f>Activity!$C32*Activity!$D32*Activity!N32</f>
        <v>0</v>
      </c>
      <c r="M33" s="600">
        <f>Activity!$C32*Activity!$D32*Activity!O32</f>
        <v>0</v>
      </c>
      <c r="N33" s="448">
        <v>0</v>
      </c>
      <c r="O33" s="602">
        <f>Activity!C32*Activity!D32</f>
        <v>0</v>
      </c>
      <c r="P33" s="609">
        <f>Activity!X32</f>
        <v>0</v>
      </c>
    </row>
    <row r="34" spans="2:16">
      <c r="B34" s="7">
        <f t="shared" si="1"/>
        <v>2020</v>
      </c>
      <c r="C34" s="601">
        <f>Activity!$C33*Activity!$D33*Activity!E33</f>
        <v>0</v>
      </c>
      <c r="D34" s="602">
        <f>Activity!$C33*Activity!$D33*Activity!F33</f>
        <v>0</v>
      </c>
      <c r="E34" s="600">
        <f>Activity!$C33*Activity!$D33*Activity!G33</f>
        <v>0</v>
      </c>
      <c r="F34" s="602">
        <f>Activity!$C33*Activity!$D33*Activity!H33</f>
        <v>0</v>
      </c>
      <c r="G34" s="602">
        <f>Activity!$C33*Activity!$D33*Activity!I33</f>
        <v>0</v>
      </c>
      <c r="H34" s="602">
        <f>Activity!$C33*Activity!$D33*Activity!J33</f>
        <v>0</v>
      </c>
      <c r="I34" s="602">
        <f>Activity!$C33*Activity!$D33*Activity!K33</f>
        <v>0</v>
      </c>
      <c r="J34" s="603">
        <f>Activity!$C33*Activity!$D33*Activity!L33</f>
        <v>0</v>
      </c>
      <c r="K34" s="602">
        <f>Activity!$C33*Activity!$D33*Activity!M33</f>
        <v>0</v>
      </c>
      <c r="L34" s="602">
        <f>Activity!$C33*Activity!$D33*Activity!N33</f>
        <v>0</v>
      </c>
      <c r="M34" s="600">
        <f>Activity!$C33*Activity!$D33*Activity!O33</f>
        <v>0</v>
      </c>
      <c r="N34" s="448">
        <v>0</v>
      </c>
      <c r="O34" s="602">
        <f>Activity!C33*Activity!D33</f>
        <v>0</v>
      </c>
      <c r="P34" s="609">
        <f>Activity!X33</f>
        <v>0</v>
      </c>
    </row>
    <row r="35" spans="2:16">
      <c r="B35" s="7">
        <f t="shared" si="1"/>
        <v>2021</v>
      </c>
      <c r="C35" s="601">
        <f>Activity!$C34*Activity!$D34*Activity!E34</f>
        <v>0</v>
      </c>
      <c r="D35" s="602">
        <f>Activity!$C34*Activity!$D34*Activity!F34</f>
        <v>0</v>
      </c>
      <c r="E35" s="600">
        <f>Activity!$C34*Activity!$D34*Activity!G34</f>
        <v>0</v>
      </c>
      <c r="F35" s="602">
        <f>Activity!$C34*Activity!$D34*Activity!H34</f>
        <v>0</v>
      </c>
      <c r="G35" s="602">
        <f>Activity!$C34*Activity!$D34*Activity!I34</f>
        <v>0</v>
      </c>
      <c r="H35" s="602">
        <f>Activity!$C34*Activity!$D34*Activity!J34</f>
        <v>0</v>
      </c>
      <c r="I35" s="602">
        <f>Activity!$C34*Activity!$D34*Activity!K34</f>
        <v>0</v>
      </c>
      <c r="J35" s="603">
        <f>Activity!$C34*Activity!$D34*Activity!L34</f>
        <v>0</v>
      </c>
      <c r="K35" s="602">
        <f>Activity!$C34*Activity!$D34*Activity!M34</f>
        <v>0</v>
      </c>
      <c r="L35" s="602">
        <f>Activity!$C34*Activity!$D34*Activity!N34</f>
        <v>0</v>
      </c>
      <c r="M35" s="600">
        <f>Activity!$C34*Activity!$D34*Activity!O34</f>
        <v>0</v>
      </c>
      <c r="N35" s="448">
        <v>0</v>
      </c>
      <c r="O35" s="602">
        <f>Activity!C34*Activity!D34</f>
        <v>0</v>
      </c>
      <c r="P35" s="609">
        <f>Activity!X34</f>
        <v>0</v>
      </c>
    </row>
    <row r="36" spans="2:16">
      <c r="B36" s="7">
        <f t="shared" si="1"/>
        <v>2022</v>
      </c>
      <c r="C36" s="601">
        <f>Activity!$C35*Activity!$D35*Activity!E35</f>
        <v>0</v>
      </c>
      <c r="D36" s="602">
        <f>Activity!$C35*Activity!$D35*Activity!F35</f>
        <v>0</v>
      </c>
      <c r="E36" s="600">
        <f>Activity!$C35*Activity!$D35*Activity!G35</f>
        <v>0</v>
      </c>
      <c r="F36" s="602">
        <f>Activity!$C35*Activity!$D35*Activity!H35</f>
        <v>0</v>
      </c>
      <c r="G36" s="602">
        <f>Activity!$C35*Activity!$D35*Activity!I35</f>
        <v>0</v>
      </c>
      <c r="H36" s="602">
        <f>Activity!$C35*Activity!$D35*Activity!J35</f>
        <v>0</v>
      </c>
      <c r="I36" s="602">
        <f>Activity!$C35*Activity!$D35*Activity!K35</f>
        <v>0</v>
      </c>
      <c r="J36" s="603">
        <f>Activity!$C35*Activity!$D35*Activity!L35</f>
        <v>0</v>
      </c>
      <c r="K36" s="602">
        <f>Activity!$C35*Activity!$D35*Activity!M35</f>
        <v>0</v>
      </c>
      <c r="L36" s="602">
        <f>Activity!$C35*Activity!$D35*Activity!N35</f>
        <v>0</v>
      </c>
      <c r="M36" s="600">
        <f>Activity!$C35*Activity!$D35*Activity!O35</f>
        <v>0</v>
      </c>
      <c r="N36" s="448">
        <v>0</v>
      </c>
      <c r="O36" s="602">
        <f>Activity!C35*Activity!D35</f>
        <v>0</v>
      </c>
      <c r="P36" s="609">
        <f>Activity!X35</f>
        <v>0</v>
      </c>
    </row>
    <row r="37" spans="2:16">
      <c r="B37" s="7">
        <f t="shared" si="1"/>
        <v>2023</v>
      </c>
      <c r="C37" s="601">
        <f>Activity!$C36*Activity!$D36*Activity!E36</f>
        <v>0</v>
      </c>
      <c r="D37" s="602">
        <f>Activity!$C36*Activity!$D36*Activity!F36</f>
        <v>0</v>
      </c>
      <c r="E37" s="600">
        <f>Activity!$C36*Activity!$D36*Activity!G36</f>
        <v>0</v>
      </c>
      <c r="F37" s="602">
        <f>Activity!$C36*Activity!$D36*Activity!H36</f>
        <v>0</v>
      </c>
      <c r="G37" s="602">
        <f>Activity!$C36*Activity!$D36*Activity!I36</f>
        <v>0</v>
      </c>
      <c r="H37" s="602">
        <f>Activity!$C36*Activity!$D36*Activity!J36</f>
        <v>0</v>
      </c>
      <c r="I37" s="602">
        <f>Activity!$C36*Activity!$D36*Activity!K36</f>
        <v>0</v>
      </c>
      <c r="J37" s="603">
        <f>Activity!$C36*Activity!$D36*Activity!L36</f>
        <v>0</v>
      </c>
      <c r="K37" s="602">
        <f>Activity!$C36*Activity!$D36*Activity!M36</f>
        <v>0</v>
      </c>
      <c r="L37" s="602">
        <f>Activity!$C36*Activity!$D36*Activity!N36</f>
        <v>0</v>
      </c>
      <c r="M37" s="600">
        <f>Activity!$C36*Activity!$D36*Activity!O36</f>
        <v>0</v>
      </c>
      <c r="N37" s="448">
        <v>0</v>
      </c>
      <c r="O37" s="602">
        <f>Activity!C36*Activity!D36</f>
        <v>0</v>
      </c>
      <c r="P37" s="609">
        <f>Activity!X36</f>
        <v>0</v>
      </c>
    </row>
    <row r="38" spans="2:16">
      <c r="B38" s="7">
        <f t="shared" si="1"/>
        <v>2024</v>
      </c>
      <c r="C38" s="601">
        <f>Activity!$C37*Activity!$D37*Activity!E37</f>
        <v>0</v>
      </c>
      <c r="D38" s="602">
        <f>Activity!$C37*Activity!$D37*Activity!F37</f>
        <v>0</v>
      </c>
      <c r="E38" s="600">
        <f>Activity!$C37*Activity!$D37*Activity!G37</f>
        <v>0</v>
      </c>
      <c r="F38" s="602">
        <f>Activity!$C37*Activity!$D37*Activity!H37</f>
        <v>0</v>
      </c>
      <c r="G38" s="602">
        <f>Activity!$C37*Activity!$D37*Activity!I37</f>
        <v>0</v>
      </c>
      <c r="H38" s="602">
        <f>Activity!$C37*Activity!$D37*Activity!J37</f>
        <v>0</v>
      </c>
      <c r="I38" s="602">
        <f>Activity!$C37*Activity!$D37*Activity!K37</f>
        <v>0</v>
      </c>
      <c r="J38" s="603">
        <f>Activity!$C37*Activity!$D37*Activity!L37</f>
        <v>0</v>
      </c>
      <c r="K38" s="602">
        <f>Activity!$C37*Activity!$D37*Activity!M37</f>
        <v>0</v>
      </c>
      <c r="L38" s="602">
        <f>Activity!$C37*Activity!$D37*Activity!N37</f>
        <v>0</v>
      </c>
      <c r="M38" s="600">
        <f>Activity!$C37*Activity!$D37*Activity!O37</f>
        <v>0</v>
      </c>
      <c r="N38" s="448">
        <v>0</v>
      </c>
      <c r="O38" s="602">
        <f>Activity!C37*Activity!D37</f>
        <v>0</v>
      </c>
      <c r="P38" s="609">
        <f>Activity!X37</f>
        <v>0</v>
      </c>
    </row>
    <row r="39" spans="2:16">
      <c r="B39" s="7">
        <f t="shared" si="1"/>
        <v>2025</v>
      </c>
      <c r="C39" s="601">
        <f>Activity!$C38*Activity!$D38*Activity!E38</f>
        <v>0</v>
      </c>
      <c r="D39" s="602">
        <f>Activity!$C38*Activity!$D38*Activity!F38</f>
        <v>0</v>
      </c>
      <c r="E39" s="600">
        <f>Activity!$C38*Activity!$D38*Activity!G38</f>
        <v>0</v>
      </c>
      <c r="F39" s="602">
        <f>Activity!$C38*Activity!$D38*Activity!H38</f>
        <v>0</v>
      </c>
      <c r="G39" s="602">
        <f>Activity!$C38*Activity!$D38*Activity!I38</f>
        <v>0</v>
      </c>
      <c r="H39" s="602">
        <f>Activity!$C38*Activity!$D38*Activity!J38</f>
        <v>0</v>
      </c>
      <c r="I39" s="602">
        <f>Activity!$C38*Activity!$D38*Activity!K38</f>
        <v>0</v>
      </c>
      <c r="J39" s="603">
        <f>Activity!$C38*Activity!$D38*Activity!L38</f>
        <v>0</v>
      </c>
      <c r="K39" s="602">
        <f>Activity!$C38*Activity!$D38*Activity!M38</f>
        <v>0</v>
      </c>
      <c r="L39" s="602">
        <f>Activity!$C38*Activity!$D38*Activity!N38</f>
        <v>0</v>
      </c>
      <c r="M39" s="600">
        <f>Activity!$C38*Activity!$D38*Activity!O38</f>
        <v>0</v>
      </c>
      <c r="N39" s="448">
        <v>0</v>
      </c>
      <c r="O39" s="602">
        <f>Activity!C38*Activity!D38</f>
        <v>0</v>
      </c>
      <c r="P39" s="609">
        <f>Activity!X38</f>
        <v>0</v>
      </c>
    </row>
    <row r="40" spans="2:16">
      <c r="B40" s="7">
        <f t="shared" si="1"/>
        <v>2026</v>
      </c>
      <c r="C40" s="601">
        <f>Activity!$C39*Activity!$D39*Activity!E39</f>
        <v>0</v>
      </c>
      <c r="D40" s="602">
        <f>Activity!$C39*Activity!$D39*Activity!F39</f>
        <v>0</v>
      </c>
      <c r="E40" s="600">
        <f>Activity!$C39*Activity!$D39*Activity!G39</f>
        <v>0</v>
      </c>
      <c r="F40" s="602">
        <f>Activity!$C39*Activity!$D39*Activity!H39</f>
        <v>0</v>
      </c>
      <c r="G40" s="602">
        <f>Activity!$C39*Activity!$D39*Activity!I39</f>
        <v>0</v>
      </c>
      <c r="H40" s="602">
        <f>Activity!$C39*Activity!$D39*Activity!J39</f>
        <v>0</v>
      </c>
      <c r="I40" s="602">
        <f>Activity!$C39*Activity!$D39*Activity!K39</f>
        <v>0</v>
      </c>
      <c r="J40" s="603">
        <f>Activity!$C39*Activity!$D39*Activity!L39</f>
        <v>0</v>
      </c>
      <c r="K40" s="602">
        <f>Activity!$C39*Activity!$D39*Activity!M39</f>
        <v>0</v>
      </c>
      <c r="L40" s="602">
        <f>Activity!$C39*Activity!$D39*Activity!N39</f>
        <v>0</v>
      </c>
      <c r="M40" s="600">
        <f>Activity!$C39*Activity!$D39*Activity!O39</f>
        <v>0</v>
      </c>
      <c r="N40" s="448">
        <v>0</v>
      </c>
      <c r="O40" s="602">
        <f>Activity!C39*Activity!D39</f>
        <v>0</v>
      </c>
      <c r="P40" s="609">
        <f>Activity!X39</f>
        <v>0</v>
      </c>
    </row>
    <row r="41" spans="2:16">
      <c r="B41" s="7">
        <f t="shared" si="1"/>
        <v>2027</v>
      </c>
      <c r="C41" s="601">
        <f>Activity!$C40*Activity!$D40*Activity!E40</f>
        <v>0</v>
      </c>
      <c r="D41" s="602">
        <f>Activity!$C40*Activity!$D40*Activity!F40</f>
        <v>0</v>
      </c>
      <c r="E41" s="600">
        <f>Activity!$C40*Activity!$D40*Activity!G40</f>
        <v>0</v>
      </c>
      <c r="F41" s="602">
        <f>Activity!$C40*Activity!$D40*Activity!H40</f>
        <v>0</v>
      </c>
      <c r="G41" s="602">
        <f>Activity!$C40*Activity!$D40*Activity!I40</f>
        <v>0</v>
      </c>
      <c r="H41" s="602">
        <f>Activity!$C40*Activity!$D40*Activity!J40</f>
        <v>0</v>
      </c>
      <c r="I41" s="602">
        <f>Activity!$C40*Activity!$D40*Activity!K40</f>
        <v>0</v>
      </c>
      <c r="J41" s="603">
        <f>Activity!$C40*Activity!$D40*Activity!L40</f>
        <v>0</v>
      </c>
      <c r="K41" s="602">
        <f>Activity!$C40*Activity!$D40*Activity!M40</f>
        <v>0</v>
      </c>
      <c r="L41" s="602">
        <f>Activity!$C40*Activity!$D40*Activity!N40</f>
        <v>0</v>
      </c>
      <c r="M41" s="600">
        <f>Activity!$C40*Activity!$D40*Activity!O40</f>
        <v>0</v>
      </c>
      <c r="N41" s="448">
        <v>0</v>
      </c>
      <c r="O41" s="602">
        <f>Activity!C40*Activity!D40</f>
        <v>0</v>
      </c>
      <c r="P41" s="609">
        <f>Activity!X40</f>
        <v>0</v>
      </c>
    </row>
    <row r="42" spans="2:16">
      <c r="B42" s="7">
        <f t="shared" si="1"/>
        <v>2028</v>
      </c>
      <c r="C42" s="601">
        <f>Activity!$C41*Activity!$D41*Activity!E41</f>
        <v>0</v>
      </c>
      <c r="D42" s="602">
        <f>Activity!$C41*Activity!$D41*Activity!F41</f>
        <v>0</v>
      </c>
      <c r="E42" s="600">
        <f>Activity!$C41*Activity!$D41*Activity!G41</f>
        <v>0</v>
      </c>
      <c r="F42" s="602">
        <f>Activity!$C41*Activity!$D41*Activity!H41</f>
        <v>0</v>
      </c>
      <c r="G42" s="602">
        <f>Activity!$C41*Activity!$D41*Activity!I41</f>
        <v>0</v>
      </c>
      <c r="H42" s="602">
        <f>Activity!$C41*Activity!$D41*Activity!J41</f>
        <v>0</v>
      </c>
      <c r="I42" s="602">
        <f>Activity!$C41*Activity!$D41*Activity!K41</f>
        <v>0</v>
      </c>
      <c r="J42" s="603">
        <f>Activity!$C41*Activity!$D41*Activity!L41</f>
        <v>0</v>
      </c>
      <c r="K42" s="602">
        <f>Activity!$C41*Activity!$D41*Activity!M41</f>
        <v>0</v>
      </c>
      <c r="L42" s="602">
        <f>Activity!$C41*Activity!$D41*Activity!N41</f>
        <v>0</v>
      </c>
      <c r="M42" s="600">
        <f>Activity!$C41*Activity!$D41*Activity!O41</f>
        <v>0</v>
      </c>
      <c r="N42" s="448">
        <v>0</v>
      </c>
      <c r="O42" s="602">
        <f>Activity!C41*Activity!D41</f>
        <v>0</v>
      </c>
      <c r="P42" s="609">
        <f>Activity!X41</f>
        <v>0</v>
      </c>
    </row>
    <row r="43" spans="2:16">
      <c r="B43" s="7">
        <f t="shared" si="1"/>
        <v>2029</v>
      </c>
      <c r="C43" s="601">
        <f>Activity!$C42*Activity!$D42*Activity!E42</f>
        <v>0</v>
      </c>
      <c r="D43" s="602">
        <f>Activity!$C42*Activity!$D42*Activity!F42</f>
        <v>0</v>
      </c>
      <c r="E43" s="600">
        <f>Activity!$C42*Activity!$D42*Activity!G42</f>
        <v>0</v>
      </c>
      <c r="F43" s="602">
        <f>Activity!$C42*Activity!$D42*Activity!H42</f>
        <v>0</v>
      </c>
      <c r="G43" s="602">
        <f>Activity!$C42*Activity!$D42*Activity!I42</f>
        <v>0</v>
      </c>
      <c r="H43" s="602">
        <f>Activity!$C42*Activity!$D42*Activity!J42</f>
        <v>0</v>
      </c>
      <c r="I43" s="602">
        <f>Activity!$C42*Activity!$D42*Activity!K42</f>
        <v>0</v>
      </c>
      <c r="J43" s="603">
        <f>Activity!$C42*Activity!$D42*Activity!L42</f>
        <v>0</v>
      </c>
      <c r="K43" s="602">
        <f>Activity!$C42*Activity!$D42*Activity!M42</f>
        <v>0</v>
      </c>
      <c r="L43" s="602">
        <f>Activity!$C42*Activity!$D42*Activity!N42</f>
        <v>0</v>
      </c>
      <c r="M43" s="600">
        <f>Activity!$C42*Activity!$D42*Activity!O42</f>
        <v>0</v>
      </c>
      <c r="N43" s="448">
        <v>0</v>
      </c>
      <c r="O43" s="602">
        <f>Activity!C42*Activity!D42</f>
        <v>0</v>
      </c>
      <c r="P43" s="609">
        <f>Activity!X42</f>
        <v>0</v>
      </c>
    </row>
    <row r="44" spans="2:16">
      <c r="B44" s="7">
        <f t="shared" si="1"/>
        <v>2030</v>
      </c>
      <c r="C44" s="601">
        <f>Activity!$C43*Activity!$D43*Activity!E43</f>
        <v>0</v>
      </c>
      <c r="D44" s="602">
        <f>Activity!$C43*Activity!$D43*Activity!F43</f>
        <v>0</v>
      </c>
      <c r="E44" s="600">
        <f>Activity!$C43*Activity!$D43*Activity!G43</f>
        <v>0</v>
      </c>
      <c r="F44" s="602">
        <f>Activity!$C43*Activity!$D43*Activity!H43</f>
        <v>0</v>
      </c>
      <c r="G44" s="602">
        <f>Activity!$C43*Activity!$D43*Activity!I43</f>
        <v>0</v>
      </c>
      <c r="H44" s="602">
        <f>Activity!$C43*Activity!$D43*Activity!J43</f>
        <v>0</v>
      </c>
      <c r="I44" s="602">
        <f>Activity!$C43*Activity!$D43*Activity!K43</f>
        <v>0</v>
      </c>
      <c r="J44" s="603">
        <f>Activity!$C43*Activity!$D43*Activity!L43</f>
        <v>0</v>
      </c>
      <c r="K44" s="602">
        <f>Activity!$C43*Activity!$D43*Activity!M43</f>
        <v>0</v>
      </c>
      <c r="L44" s="602">
        <f>Activity!$C43*Activity!$D43*Activity!N43</f>
        <v>0</v>
      </c>
      <c r="M44" s="600">
        <f>Activity!$C43*Activity!$D43*Activity!O43</f>
        <v>0</v>
      </c>
      <c r="N44" s="448">
        <v>0</v>
      </c>
      <c r="O44" s="602">
        <f>Activity!C43*Activity!D43</f>
        <v>0</v>
      </c>
      <c r="P44" s="609">
        <f>Activity!X43</f>
        <v>0</v>
      </c>
    </row>
    <row r="45" spans="2:16">
      <c r="B45" s="7">
        <f t="shared" si="1"/>
        <v>2031</v>
      </c>
      <c r="C45" s="601">
        <f>Activity!$C44*Activity!$D44*Activity!E44</f>
        <v>0</v>
      </c>
      <c r="D45" s="602">
        <f>Activity!$C44*Activity!$D44*Activity!F44</f>
        <v>0</v>
      </c>
      <c r="E45" s="600">
        <f>Activity!$C44*Activity!$D44*Activity!G44</f>
        <v>0</v>
      </c>
      <c r="F45" s="602">
        <f>Activity!$C44*Activity!$D44*Activity!H44</f>
        <v>0</v>
      </c>
      <c r="G45" s="602">
        <f>Activity!$C44*Activity!$D44*Activity!I44</f>
        <v>0</v>
      </c>
      <c r="H45" s="602">
        <f>Activity!$C44*Activity!$D44*Activity!J44</f>
        <v>0</v>
      </c>
      <c r="I45" s="602">
        <f>Activity!$C44*Activity!$D44*Activity!K44</f>
        <v>0</v>
      </c>
      <c r="J45" s="603">
        <f>Activity!$C44*Activity!$D44*Activity!L44</f>
        <v>0</v>
      </c>
      <c r="K45" s="602">
        <f>Activity!$C44*Activity!$D44*Activity!M44</f>
        <v>0</v>
      </c>
      <c r="L45" s="602">
        <f>Activity!$C44*Activity!$D44*Activity!N44</f>
        <v>0</v>
      </c>
      <c r="M45" s="600">
        <f>Activity!$C44*Activity!$D44*Activity!O44</f>
        <v>0</v>
      </c>
      <c r="N45" s="448">
        <v>0</v>
      </c>
      <c r="O45" s="602">
        <f>Activity!C44*Activity!D44</f>
        <v>0</v>
      </c>
      <c r="P45" s="609">
        <f>Activity!X44</f>
        <v>0</v>
      </c>
    </row>
    <row r="46" spans="2:16">
      <c r="B46" s="7">
        <f t="shared" si="1"/>
        <v>2032</v>
      </c>
      <c r="C46" s="601">
        <f>Activity!$C45*Activity!$D45*Activity!E45</f>
        <v>0</v>
      </c>
      <c r="D46" s="602">
        <f>Activity!$C45*Activity!$D45*Activity!F45</f>
        <v>0</v>
      </c>
      <c r="E46" s="600">
        <f>Activity!$C45*Activity!$D45*Activity!G45</f>
        <v>0</v>
      </c>
      <c r="F46" s="602">
        <f>Activity!$C45*Activity!$D45*Activity!H45</f>
        <v>0</v>
      </c>
      <c r="G46" s="602">
        <f>Activity!$C45*Activity!$D45*Activity!I45</f>
        <v>0</v>
      </c>
      <c r="H46" s="602">
        <f>Activity!$C45*Activity!$D45*Activity!J45</f>
        <v>0</v>
      </c>
      <c r="I46" s="602">
        <f>Activity!$C45*Activity!$D45*Activity!K45</f>
        <v>0</v>
      </c>
      <c r="J46" s="603">
        <f>Activity!$C45*Activity!$D45*Activity!L45</f>
        <v>0</v>
      </c>
      <c r="K46" s="602">
        <f>Activity!$C45*Activity!$D45*Activity!M45</f>
        <v>0</v>
      </c>
      <c r="L46" s="602">
        <f>Activity!$C45*Activity!$D45*Activity!N45</f>
        <v>0</v>
      </c>
      <c r="M46" s="600">
        <f>Activity!$C45*Activity!$D45*Activity!O45</f>
        <v>0</v>
      </c>
      <c r="N46" s="448">
        <v>0</v>
      </c>
      <c r="O46" s="602">
        <f>Activity!C45*Activity!D45</f>
        <v>0</v>
      </c>
      <c r="P46" s="609">
        <f>Activity!X45</f>
        <v>0</v>
      </c>
    </row>
    <row r="47" spans="2:16">
      <c r="B47" s="7">
        <f t="shared" si="1"/>
        <v>2033</v>
      </c>
      <c r="C47" s="601">
        <f>Activity!$C46*Activity!$D46*Activity!E46</f>
        <v>0</v>
      </c>
      <c r="D47" s="602">
        <f>Activity!$C46*Activity!$D46*Activity!F46</f>
        <v>0</v>
      </c>
      <c r="E47" s="600">
        <f>Activity!$C46*Activity!$D46*Activity!G46</f>
        <v>0</v>
      </c>
      <c r="F47" s="602">
        <f>Activity!$C46*Activity!$D46*Activity!H46</f>
        <v>0</v>
      </c>
      <c r="G47" s="602">
        <f>Activity!$C46*Activity!$D46*Activity!I46</f>
        <v>0</v>
      </c>
      <c r="H47" s="602">
        <f>Activity!$C46*Activity!$D46*Activity!J46</f>
        <v>0</v>
      </c>
      <c r="I47" s="602">
        <f>Activity!$C46*Activity!$D46*Activity!K46</f>
        <v>0</v>
      </c>
      <c r="J47" s="603">
        <f>Activity!$C46*Activity!$D46*Activity!L46</f>
        <v>0</v>
      </c>
      <c r="K47" s="602">
        <f>Activity!$C46*Activity!$D46*Activity!M46</f>
        <v>0</v>
      </c>
      <c r="L47" s="602">
        <f>Activity!$C46*Activity!$D46*Activity!N46</f>
        <v>0</v>
      </c>
      <c r="M47" s="600">
        <f>Activity!$C46*Activity!$D46*Activity!O46</f>
        <v>0</v>
      </c>
      <c r="N47" s="448">
        <v>0</v>
      </c>
      <c r="O47" s="602">
        <f>Activity!C46*Activity!D46</f>
        <v>0</v>
      </c>
      <c r="P47" s="609">
        <f>Activity!X46</f>
        <v>0</v>
      </c>
    </row>
    <row r="48" spans="2:16">
      <c r="B48" s="7">
        <f t="shared" si="1"/>
        <v>2034</v>
      </c>
      <c r="C48" s="601">
        <f>Activity!$C47*Activity!$D47*Activity!E47</f>
        <v>0</v>
      </c>
      <c r="D48" s="602">
        <f>Activity!$C47*Activity!$D47*Activity!F47</f>
        <v>0</v>
      </c>
      <c r="E48" s="600">
        <f>Activity!$C47*Activity!$D47*Activity!G47</f>
        <v>0</v>
      </c>
      <c r="F48" s="602">
        <f>Activity!$C47*Activity!$D47*Activity!H47</f>
        <v>0</v>
      </c>
      <c r="G48" s="602">
        <f>Activity!$C47*Activity!$D47*Activity!I47</f>
        <v>0</v>
      </c>
      <c r="H48" s="602">
        <f>Activity!$C47*Activity!$D47*Activity!J47</f>
        <v>0</v>
      </c>
      <c r="I48" s="602">
        <f>Activity!$C47*Activity!$D47*Activity!K47</f>
        <v>0</v>
      </c>
      <c r="J48" s="603">
        <f>Activity!$C47*Activity!$D47*Activity!L47</f>
        <v>0</v>
      </c>
      <c r="K48" s="602">
        <f>Activity!$C47*Activity!$D47*Activity!M47</f>
        <v>0</v>
      </c>
      <c r="L48" s="602">
        <f>Activity!$C47*Activity!$D47*Activity!N47</f>
        <v>0</v>
      </c>
      <c r="M48" s="600">
        <f>Activity!$C47*Activity!$D47*Activity!O47</f>
        <v>0</v>
      </c>
      <c r="N48" s="448">
        <v>0</v>
      </c>
      <c r="O48" s="602">
        <f>Activity!C47*Activity!D47</f>
        <v>0</v>
      </c>
      <c r="P48" s="609">
        <f>Activity!X47</f>
        <v>0</v>
      </c>
    </row>
    <row r="49" spans="2:16">
      <c r="B49" s="7">
        <f t="shared" si="1"/>
        <v>2035</v>
      </c>
      <c r="C49" s="601">
        <f>Activity!$C48*Activity!$D48*Activity!E48</f>
        <v>0</v>
      </c>
      <c r="D49" s="602">
        <f>Activity!$C48*Activity!$D48*Activity!F48</f>
        <v>0</v>
      </c>
      <c r="E49" s="600">
        <f>Activity!$C48*Activity!$D48*Activity!G48</f>
        <v>0</v>
      </c>
      <c r="F49" s="602">
        <f>Activity!$C48*Activity!$D48*Activity!H48</f>
        <v>0</v>
      </c>
      <c r="G49" s="602">
        <f>Activity!$C48*Activity!$D48*Activity!I48</f>
        <v>0</v>
      </c>
      <c r="H49" s="602">
        <f>Activity!$C48*Activity!$D48*Activity!J48</f>
        <v>0</v>
      </c>
      <c r="I49" s="602">
        <f>Activity!$C48*Activity!$D48*Activity!K48</f>
        <v>0</v>
      </c>
      <c r="J49" s="603">
        <f>Activity!$C48*Activity!$D48*Activity!L48</f>
        <v>0</v>
      </c>
      <c r="K49" s="602">
        <f>Activity!$C48*Activity!$D48*Activity!M48</f>
        <v>0</v>
      </c>
      <c r="L49" s="602">
        <f>Activity!$C48*Activity!$D48*Activity!N48</f>
        <v>0</v>
      </c>
      <c r="M49" s="600">
        <f>Activity!$C48*Activity!$D48*Activity!O48</f>
        <v>0</v>
      </c>
      <c r="N49" s="448">
        <v>0</v>
      </c>
      <c r="O49" s="602">
        <f>Activity!C48*Activity!D48</f>
        <v>0</v>
      </c>
      <c r="P49" s="609">
        <f>Activity!X48</f>
        <v>0</v>
      </c>
    </row>
    <row r="50" spans="2:16">
      <c r="B50" s="7">
        <f t="shared" si="1"/>
        <v>2036</v>
      </c>
      <c r="C50" s="601">
        <f>Activity!$C49*Activity!$D49*Activity!E49</f>
        <v>0</v>
      </c>
      <c r="D50" s="602">
        <f>Activity!$C49*Activity!$D49*Activity!F49</f>
        <v>0</v>
      </c>
      <c r="E50" s="600">
        <f>Activity!$C49*Activity!$D49*Activity!G49</f>
        <v>0</v>
      </c>
      <c r="F50" s="602">
        <f>Activity!$C49*Activity!$D49*Activity!H49</f>
        <v>0</v>
      </c>
      <c r="G50" s="602">
        <f>Activity!$C49*Activity!$D49*Activity!I49</f>
        <v>0</v>
      </c>
      <c r="H50" s="602">
        <f>Activity!$C49*Activity!$D49*Activity!J49</f>
        <v>0</v>
      </c>
      <c r="I50" s="602">
        <f>Activity!$C49*Activity!$D49*Activity!K49</f>
        <v>0</v>
      </c>
      <c r="J50" s="603">
        <f>Activity!$C49*Activity!$D49*Activity!L49</f>
        <v>0</v>
      </c>
      <c r="K50" s="602">
        <f>Activity!$C49*Activity!$D49*Activity!M49</f>
        <v>0</v>
      </c>
      <c r="L50" s="602">
        <f>Activity!$C49*Activity!$D49*Activity!N49</f>
        <v>0</v>
      </c>
      <c r="M50" s="600">
        <f>Activity!$C49*Activity!$D49*Activity!O49</f>
        <v>0</v>
      </c>
      <c r="N50" s="448">
        <v>0</v>
      </c>
      <c r="O50" s="602">
        <f>Activity!C49*Activity!D49</f>
        <v>0</v>
      </c>
      <c r="P50" s="609">
        <f>Activity!X49</f>
        <v>0</v>
      </c>
    </row>
    <row r="51" spans="2:16">
      <c r="B51" s="7">
        <f t="shared" si="1"/>
        <v>2037</v>
      </c>
      <c r="C51" s="601">
        <f>Activity!$C50*Activity!$D50*Activity!E50</f>
        <v>0</v>
      </c>
      <c r="D51" s="602">
        <f>Activity!$C50*Activity!$D50*Activity!F50</f>
        <v>0</v>
      </c>
      <c r="E51" s="600">
        <f>Activity!$C50*Activity!$D50*Activity!G50</f>
        <v>0</v>
      </c>
      <c r="F51" s="602">
        <f>Activity!$C50*Activity!$D50*Activity!H50</f>
        <v>0</v>
      </c>
      <c r="G51" s="602">
        <f>Activity!$C50*Activity!$D50*Activity!I50</f>
        <v>0</v>
      </c>
      <c r="H51" s="602">
        <f>Activity!$C50*Activity!$D50*Activity!J50</f>
        <v>0</v>
      </c>
      <c r="I51" s="602">
        <f>Activity!$C50*Activity!$D50*Activity!K50</f>
        <v>0</v>
      </c>
      <c r="J51" s="603">
        <f>Activity!$C50*Activity!$D50*Activity!L50</f>
        <v>0</v>
      </c>
      <c r="K51" s="602">
        <f>Activity!$C50*Activity!$D50*Activity!M50</f>
        <v>0</v>
      </c>
      <c r="L51" s="602">
        <f>Activity!$C50*Activity!$D50*Activity!N50</f>
        <v>0</v>
      </c>
      <c r="M51" s="600">
        <f>Activity!$C50*Activity!$D50*Activity!O50</f>
        <v>0</v>
      </c>
      <c r="N51" s="448">
        <v>0</v>
      </c>
      <c r="O51" s="602">
        <f>Activity!C50*Activity!D50</f>
        <v>0</v>
      </c>
      <c r="P51" s="609">
        <f>Activity!X50</f>
        <v>0</v>
      </c>
    </row>
    <row r="52" spans="2:16">
      <c r="B52" s="7">
        <f t="shared" si="1"/>
        <v>2038</v>
      </c>
      <c r="C52" s="601">
        <f>Activity!$C51*Activity!$D51*Activity!E51</f>
        <v>0</v>
      </c>
      <c r="D52" s="602">
        <f>Activity!$C51*Activity!$D51*Activity!F51</f>
        <v>0</v>
      </c>
      <c r="E52" s="600">
        <f>Activity!$C51*Activity!$D51*Activity!G51</f>
        <v>0</v>
      </c>
      <c r="F52" s="602">
        <f>Activity!$C51*Activity!$D51*Activity!H51</f>
        <v>0</v>
      </c>
      <c r="G52" s="602">
        <f>Activity!$C51*Activity!$D51*Activity!I51</f>
        <v>0</v>
      </c>
      <c r="H52" s="602">
        <f>Activity!$C51*Activity!$D51*Activity!J51</f>
        <v>0</v>
      </c>
      <c r="I52" s="602">
        <f>Activity!$C51*Activity!$D51*Activity!K51</f>
        <v>0</v>
      </c>
      <c r="J52" s="603">
        <f>Activity!$C51*Activity!$D51*Activity!L51</f>
        <v>0</v>
      </c>
      <c r="K52" s="602">
        <f>Activity!$C51*Activity!$D51*Activity!M51</f>
        <v>0</v>
      </c>
      <c r="L52" s="602">
        <f>Activity!$C51*Activity!$D51*Activity!N51</f>
        <v>0</v>
      </c>
      <c r="M52" s="600">
        <f>Activity!$C51*Activity!$D51*Activity!O51</f>
        <v>0</v>
      </c>
      <c r="N52" s="448">
        <v>0</v>
      </c>
      <c r="O52" s="602">
        <f>Activity!C51*Activity!D51</f>
        <v>0</v>
      </c>
      <c r="P52" s="609">
        <f>Activity!X51</f>
        <v>0</v>
      </c>
    </row>
    <row r="53" spans="2:16">
      <c r="B53" s="7">
        <f t="shared" si="1"/>
        <v>2039</v>
      </c>
      <c r="C53" s="601">
        <f>Activity!$C52*Activity!$D52*Activity!E52</f>
        <v>0</v>
      </c>
      <c r="D53" s="602">
        <f>Activity!$C52*Activity!$D52*Activity!F52</f>
        <v>0</v>
      </c>
      <c r="E53" s="600">
        <f>Activity!$C52*Activity!$D52*Activity!G52</f>
        <v>0</v>
      </c>
      <c r="F53" s="602">
        <f>Activity!$C52*Activity!$D52*Activity!H52</f>
        <v>0</v>
      </c>
      <c r="G53" s="602">
        <f>Activity!$C52*Activity!$D52*Activity!I52</f>
        <v>0</v>
      </c>
      <c r="H53" s="602">
        <f>Activity!$C52*Activity!$D52*Activity!J52</f>
        <v>0</v>
      </c>
      <c r="I53" s="602">
        <f>Activity!$C52*Activity!$D52*Activity!K52</f>
        <v>0</v>
      </c>
      <c r="J53" s="603">
        <f>Activity!$C52*Activity!$D52*Activity!L52</f>
        <v>0</v>
      </c>
      <c r="K53" s="602">
        <f>Activity!$C52*Activity!$D52*Activity!M52</f>
        <v>0</v>
      </c>
      <c r="L53" s="602">
        <f>Activity!$C52*Activity!$D52*Activity!N52</f>
        <v>0</v>
      </c>
      <c r="M53" s="600">
        <f>Activity!$C52*Activity!$D52*Activity!O52</f>
        <v>0</v>
      </c>
      <c r="N53" s="448">
        <v>0</v>
      </c>
      <c r="O53" s="602">
        <f>Activity!C52*Activity!D52</f>
        <v>0</v>
      </c>
      <c r="P53" s="609">
        <f>Activity!X52</f>
        <v>0</v>
      </c>
    </row>
    <row r="54" spans="2:16">
      <c r="B54" s="7">
        <f t="shared" si="1"/>
        <v>2040</v>
      </c>
      <c r="C54" s="601">
        <f>Activity!$C53*Activity!$D53*Activity!E53</f>
        <v>0</v>
      </c>
      <c r="D54" s="602">
        <f>Activity!$C53*Activity!$D53*Activity!F53</f>
        <v>0</v>
      </c>
      <c r="E54" s="600">
        <f>Activity!$C53*Activity!$D53*Activity!G53</f>
        <v>0</v>
      </c>
      <c r="F54" s="602">
        <f>Activity!$C53*Activity!$D53*Activity!H53</f>
        <v>0</v>
      </c>
      <c r="G54" s="602">
        <f>Activity!$C53*Activity!$D53*Activity!I53</f>
        <v>0</v>
      </c>
      <c r="H54" s="602">
        <f>Activity!$C53*Activity!$D53*Activity!J53</f>
        <v>0</v>
      </c>
      <c r="I54" s="602">
        <f>Activity!$C53*Activity!$D53*Activity!K53</f>
        <v>0</v>
      </c>
      <c r="J54" s="603">
        <f>Activity!$C53*Activity!$D53*Activity!L53</f>
        <v>0</v>
      </c>
      <c r="K54" s="602">
        <f>Activity!$C53*Activity!$D53*Activity!M53</f>
        <v>0</v>
      </c>
      <c r="L54" s="602">
        <f>Activity!$C53*Activity!$D53*Activity!N53</f>
        <v>0</v>
      </c>
      <c r="M54" s="600">
        <f>Activity!$C53*Activity!$D53*Activity!O53</f>
        <v>0</v>
      </c>
      <c r="N54" s="448">
        <v>0</v>
      </c>
      <c r="O54" s="602">
        <f>Activity!C53*Activity!D53</f>
        <v>0</v>
      </c>
      <c r="P54" s="609">
        <f>Activity!X53</f>
        <v>0</v>
      </c>
    </row>
    <row r="55" spans="2:16">
      <c r="B55" s="7">
        <f t="shared" si="1"/>
        <v>2041</v>
      </c>
      <c r="C55" s="601">
        <f>Activity!$C54*Activity!$D54*Activity!E54</f>
        <v>0</v>
      </c>
      <c r="D55" s="602">
        <f>Activity!$C54*Activity!$D54*Activity!F54</f>
        <v>0</v>
      </c>
      <c r="E55" s="600">
        <f>Activity!$C54*Activity!$D54*Activity!G54</f>
        <v>0</v>
      </c>
      <c r="F55" s="602">
        <f>Activity!$C54*Activity!$D54*Activity!H54</f>
        <v>0</v>
      </c>
      <c r="G55" s="602">
        <f>Activity!$C54*Activity!$D54*Activity!I54</f>
        <v>0</v>
      </c>
      <c r="H55" s="602">
        <f>Activity!$C54*Activity!$D54*Activity!J54</f>
        <v>0</v>
      </c>
      <c r="I55" s="602">
        <f>Activity!$C54*Activity!$D54*Activity!K54</f>
        <v>0</v>
      </c>
      <c r="J55" s="603">
        <f>Activity!$C54*Activity!$D54*Activity!L54</f>
        <v>0</v>
      </c>
      <c r="K55" s="602">
        <f>Activity!$C54*Activity!$D54*Activity!M54</f>
        <v>0</v>
      </c>
      <c r="L55" s="602">
        <f>Activity!$C54*Activity!$D54*Activity!N54</f>
        <v>0</v>
      </c>
      <c r="M55" s="600">
        <f>Activity!$C54*Activity!$D54*Activity!O54</f>
        <v>0</v>
      </c>
      <c r="N55" s="448">
        <v>0</v>
      </c>
      <c r="O55" s="602">
        <f>Activity!C54*Activity!D54</f>
        <v>0</v>
      </c>
      <c r="P55" s="609">
        <f>Activity!X54</f>
        <v>0</v>
      </c>
    </row>
    <row r="56" spans="2:16">
      <c r="B56" s="7">
        <f t="shared" si="1"/>
        <v>2042</v>
      </c>
      <c r="C56" s="601">
        <f>Activity!$C55*Activity!$D55*Activity!E55</f>
        <v>0</v>
      </c>
      <c r="D56" s="602">
        <f>Activity!$C55*Activity!$D55*Activity!F55</f>
        <v>0</v>
      </c>
      <c r="E56" s="600">
        <f>Activity!$C55*Activity!$D55*Activity!G55</f>
        <v>0</v>
      </c>
      <c r="F56" s="602">
        <f>Activity!$C55*Activity!$D55*Activity!H55</f>
        <v>0</v>
      </c>
      <c r="G56" s="602">
        <f>Activity!$C55*Activity!$D55*Activity!I55</f>
        <v>0</v>
      </c>
      <c r="H56" s="602">
        <f>Activity!$C55*Activity!$D55*Activity!J55</f>
        <v>0</v>
      </c>
      <c r="I56" s="602">
        <f>Activity!$C55*Activity!$D55*Activity!K55</f>
        <v>0</v>
      </c>
      <c r="J56" s="603">
        <f>Activity!$C55*Activity!$D55*Activity!L55</f>
        <v>0</v>
      </c>
      <c r="K56" s="602">
        <f>Activity!$C55*Activity!$D55*Activity!M55</f>
        <v>0</v>
      </c>
      <c r="L56" s="602">
        <f>Activity!$C55*Activity!$D55*Activity!N55</f>
        <v>0</v>
      </c>
      <c r="M56" s="600">
        <f>Activity!$C55*Activity!$D55*Activity!O55</f>
        <v>0</v>
      </c>
      <c r="N56" s="448">
        <v>0</v>
      </c>
      <c r="O56" s="602">
        <f>Activity!C55*Activity!D55</f>
        <v>0</v>
      </c>
      <c r="P56" s="609">
        <f>Activity!X55</f>
        <v>0</v>
      </c>
    </row>
    <row r="57" spans="2:16">
      <c r="B57" s="7">
        <f t="shared" si="1"/>
        <v>2043</v>
      </c>
      <c r="C57" s="601">
        <f>Activity!$C56*Activity!$D56*Activity!E56</f>
        <v>0</v>
      </c>
      <c r="D57" s="602">
        <f>Activity!$C56*Activity!$D56*Activity!F56</f>
        <v>0</v>
      </c>
      <c r="E57" s="600">
        <f>Activity!$C56*Activity!$D56*Activity!G56</f>
        <v>0</v>
      </c>
      <c r="F57" s="602">
        <f>Activity!$C56*Activity!$D56*Activity!H56</f>
        <v>0</v>
      </c>
      <c r="G57" s="602">
        <f>Activity!$C56*Activity!$D56*Activity!I56</f>
        <v>0</v>
      </c>
      <c r="H57" s="602">
        <f>Activity!$C56*Activity!$D56*Activity!J56</f>
        <v>0</v>
      </c>
      <c r="I57" s="602">
        <f>Activity!$C56*Activity!$D56*Activity!K56</f>
        <v>0</v>
      </c>
      <c r="J57" s="603">
        <f>Activity!$C56*Activity!$D56*Activity!L56</f>
        <v>0</v>
      </c>
      <c r="K57" s="602">
        <f>Activity!$C56*Activity!$D56*Activity!M56</f>
        <v>0</v>
      </c>
      <c r="L57" s="602">
        <f>Activity!$C56*Activity!$D56*Activity!N56</f>
        <v>0</v>
      </c>
      <c r="M57" s="600">
        <f>Activity!$C56*Activity!$D56*Activity!O56</f>
        <v>0</v>
      </c>
      <c r="N57" s="448">
        <v>0</v>
      </c>
      <c r="O57" s="602">
        <f>Activity!C56*Activity!D56</f>
        <v>0</v>
      </c>
      <c r="P57" s="609">
        <f>Activity!X56</f>
        <v>0</v>
      </c>
    </row>
    <row r="58" spans="2:16">
      <c r="B58" s="7">
        <f t="shared" si="1"/>
        <v>2044</v>
      </c>
      <c r="C58" s="601">
        <f>Activity!$C57*Activity!$D57*Activity!E57</f>
        <v>0</v>
      </c>
      <c r="D58" s="602">
        <f>Activity!$C57*Activity!$D57*Activity!F57</f>
        <v>0</v>
      </c>
      <c r="E58" s="600">
        <f>Activity!$C57*Activity!$D57*Activity!G57</f>
        <v>0</v>
      </c>
      <c r="F58" s="602">
        <f>Activity!$C57*Activity!$D57*Activity!H57</f>
        <v>0</v>
      </c>
      <c r="G58" s="602">
        <f>Activity!$C57*Activity!$D57*Activity!I57</f>
        <v>0</v>
      </c>
      <c r="H58" s="602">
        <f>Activity!$C57*Activity!$D57*Activity!J57</f>
        <v>0</v>
      </c>
      <c r="I58" s="602">
        <f>Activity!$C57*Activity!$D57*Activity!K57</f>
        <v>0</v>
      </c>
      <c r="J58" s="603">
        <f>Activity!$C57*Activity!$D57*Activity!L57</f>
        <v>0</v>
      </c>
      <c r="K58" s="602">
        <f>Activity!$C57*Activity!$D57*Activity!M57</f>
        <v>0</v>
      </c>
      <c r="L58" s="602">
        <f>Activity!$C57*Activity!$D57*Activity!N57</f>
        <v>0</v>
      </c>
      <c r="M58" s="600">
        <f>Activity!$C57*Activity!$D57*Activity!O57</f>
        <v>0</v>
      </c>
      <c r="N58" s="448">
        <v>0</v>
      </c>
      <c r="O58" s="602">
        <f>Activity!C57*Activity!D57</f>
        <v>0</v>
      </c>
      <c r="P58" s="609">
        <f>Activity!X57</f>
        <v>0</v>
      </c>
    </row>
    <row r="59" spans="2:16">
      <c r="B59" s="7">
        <f t="shared" si="1"/>
        <v>2045</v>
      </c>
      <c r="C59" s="601">
        <f>Activity!$C58*Activity!$D58*Activity!E58</f>
        <v>0</v>
      </c>
      <c r="D59" s="602">
        <f>Activity!$C58*Activity!$D58*Activity!F58</f>
        <v>0</v>
      </c>
      <c r="E59" s="600">
        <f>Activity!$C58*Activity!$D58*Activity!G58</f>
        <v>0</v>
      </c>
      <c r="F59" s="602">
        <f>Activity!$C58*Activity!$D58*Activity!H58</f>
        <v>0</v>
      </c>
      <c r="G59" s="602">
        <f>Activity!$C58*Activity!$D58*Activity!I58</f>
        <v>0</v>
      </c>
      <c r="H59" s="602">
        <f>Activity!$C58*Activity!$D58*Activity!J58</f>
        <v>0</v>
      </c>
      <c r="I59" s="602">
        <f>Activity!$C58*Activity!$D58*Activity!K58</f>
        <v>0</v>
      </c>
      <c r="J59" s="603">
        <f>Activity!$C58*Activity!$D58*Activity!L58</f>
        <v>0</v>
      </c>
      <c r="K59" s="602">
        <f>Activity!$C58*Activity!$D58*Activity!M58</f>
        <v>0</v>
      </c>
      <c r="L59" s="602">
        <f>Activity!$C58*Activity!$D58*Activity!N58</f>
        <v>0</v>
      </c>
      <c r="M59" s="600">
        <f>Activity!$C58*Activity!$D58*Activity!O58</f>
        <v>0</v>
      </c>
      <c r="N59" s="448">
        <v>0</v>
      </c>
      <c r="O59" s="602">
        <f>Activity!C58*Activity!D58</f>
        <v>0</v>
      </c>
      <c r="P59" s="609">
        <f>Activity!X58</f>
        <v>0</v>
      </c>
    </row>
    <row r="60" spans="2:16">
      <c r="B60" s="7">
        <f t="shared" si="1"/>
        <v>2046</v>
      </c>
      <c r="C60" s="601">
        <f>Activity!$C59*Activity!$D59*Activity!E59</f>
        <v>0</v>
      </c>
      <c r="D60" s="602">
        <f>Activity!$C59*Activity!$D59*Activity!F59</f>
        <v>0</v>
      </c>
      <c r="E60" s="600">
        <f>Activity!$C59*Activity!$D59*Activity!G59</f>
        <v>0</v>
      </c>
      <c r="F60" s="602">
        <f>Activity!$C59*Activity!$D59*Activity!H59</f>
        <v>0</v>
      </c>
      <c r="G60" s="602">
        <f>Activity!$C59*Activity!$D59*Activity!I59</f>
        <v>0</v>
      </c>
      <c r="H60" s="602">
        <f>Activity!$C59*Activity!$D59*Activity!J59</f>
        <v>0</v>
      </c>
      <c r="I60" s="602">
        <f>Activity!$C59*Activity!$D59*Activity!K59</f>
        <v>0</v>
      </c>
      <c r="J60" s="603">
        <f>Activity!$C59*Activity!$D59*Activity!L59</f>
        <v>0</v>
      </c>
      <c r="K60" s="602">
        <f>Activity!$C59*Activity!$D59*Activity!M59</f>
        <v>0</v>
      </c>
      <c r="L60" s="602">
        <f>Activity!$C59*Activity!$D59*Activity!N59</f>
        <v>0</v>
      </c>
      <c r="M60" s="600">
        <f>Activity!$C59*Activity!$D59*Activity!O59</f>
        <v>0</v>
      </c>
      <c r="N60" s="448">
        <v>0</v>
      </c>
      <c r="O60" s="602">
        <f>Activity!C59*Activity!D59</f>
        <v>0</v>
      </c>
      <c r="P60" s="609">
        <f>Activity!X59</f>
        <v>0</v>
      </c>
    </row>
    <row r="61" spans="2:16">
      <c r="B61" s="7">
        <f t="shared" si="1"/>
        <v>2047</v>
      </c>
      <c r="C61" s="601">
        <f>Activity!$C60*Activity!$D60*Activity!E60</f>
        <v>0</v>
      </c>
      <c r="D61" s="602">
        <f>Activity!$C60*Activity!$D60*Activity!F60</f>
        <v>0</v>
      </c>
      <c r="E61" s="600">
        <f>Activity!$C60*Activity!$D60*Activity!G60</f>
        <v>0</v>
      </c>
      <c r="F61" s="602">
        <f>Activity!$C60*Activity!$D60*Activity!H60</f>
        <v>0</v>
      </c>
      <c r="G61" s="602">
        <f>Activity!$C60*Activity!$D60*Activity!I60</f>
        <v>0</v>
      </c>
      <c r="H61" s="602">
        <f>Activity!$C60*Activity!$D60*Activity!J60</f>
        <v>0</v>
      </c>
      <c r="I61" s="602">
        <f>Activity!$C60*Activity!$D60*Activity!K60</f>
        <v>0</v>
      </c>
      <c r="J61" s="603">
        <f>Activity!$C60*Activity!$D60*Activity!L60</f>
        <v>0</v>
      </c>
      <c r="K61" s="602">
        <f>Activity!$C60*Activity!$D60*Activity!M60</f>
        <v>0</v>
      </c>
      <c r="L61" s="602">
        <f>Activity!$C60*Activity!$D60*Activity!N60</f>
        <v>0</v>
      </c>
      <c r="M61" s="600">
        <f>Activity!$C60*Activity!$D60*Activity!O60</f>
        <v>0</v>
      </c>
      <c r="N61" s="448">
        <v>0</v>
      </c>
      <c r="O61" s="602">
        <f>Activity!C60*Activity!D60</f>
        <v>0</v>
      </c>
      <c r="P61" s="609">
        <f>Activity!X60</f>
        <v>0</v>
      </c>
    </row>
    <row r="62" spans="2:16">
      <c r="B62" s="7">
        <f t="shared" si="1"/>
        <v>2048</v>
      </c>
      <c r="C62" s="601">
        <f>Activity!$C61*Activity!$D61*Activity!E61</f>
        <v>0</v>
      </c>
      <c r="D62" s="602">
        <f>Activity!$C61*Activity!$D61*Activity!F61</f>
        <v>0</v>
      </c>
      <c r="E62" s="600">
        <f>Activity!$C61*Activity!$D61*Activity!G61</f>
        <v>0</v>
      </c>
      <c r="F62" s="602">
        <f>Activity!$C61*Activity!$D61*Activity!H61</f>
        <v>0</v>
      </c>
      <c r="G62" s="602">
        <f>Activity!$C61*Activity!$D61*Activity!I61</f>
        <v>0</v>
      </c>
      <c r="H62" s="602">
        <f>Activity!$C61*Activity!$D61*Activity!J61</f>
        <v>0</v>
      </c>
      <c r="I62" s="602">
        <f>Activity!$C61*Activity!$D61*Activity!K61</f>
        <v>0</v>
      </c>
      <c r="J62" s="603">
        <f>Activity!$C61*Activity!$D61*Activity!L61</f>
        <v>0</v>
      </c>
      <c r="K62" s="602">
        <f>Activity!$C61*Activity!$D61*Activity!M61</f>
        <v>0</v>
      </c>
      <c r="L62" s="602">
        <f>Activity!$C61*Activity!$D61*Activity!N61</f>
        <v>0</v>
      </c>
      <c r="M62" s="600">
        <f>Activity!$C61*Activity!$D61*Activity!O61</f>
        <v>0</v>
      </c>
      <c r="N62" s="448">
        <v>0</v>
      </c>
      <c r="O62" s="602">
        <f>Activity!C61*Activity!D61</f>
        <v>0</v>
      </c>
      <c r="P62" s="609">
        <f>Activity!X61</f>
        <v>0</v>
      </c>
    </row>
    <row r="63" spans="2:16">
      <c r="B63" s="7">
        <f t="shared" si="1"/>
        <v>2049</v>
      </c>
      <c r="C63" s="601">
        <f>Activity!$C62*Activity!$D62*Activity!E62</f>
        <v>0</v>
      </c>
      <c r="D63" s="602">
        <f>Activity!$C62*Activity!$D62*Activity!F62</f>
        <v>0</v>
      </c>
      <c r="E63" s="600">
        <f>Activity!$C62*Activity!$D62*Activity!G62</f>
        <v>0</v>
      </c>
      <c r="F63" s="602">
        <f>Activity!$C62*Activity!$D62*Activity!H62</f>
        <v>0</v>
      </c>
      <c r="G63" s="602">
        <f>Activity!$C62*Activity!$D62*Activity!I62</f>
        <v>0</v>
      </c>
      <c r="H63" s="602">
        <f>Activity!$C62*Activity!$D62*Activity!J62</f>
        <v>0</v>
      </c>
      <c r="I63" s="602">
        <f>Activity!$C62*Activity!$D62*Activity!K62</f>
        <v>0</v>
      </c>
      <c r="J63" s="603">
        <f>Activity!$C62*Activity!$D62*Activity!L62</f>
        <v>0</v>
      </c>
      <c r="K63" s="602">
        <f>Activity!$C62*Activity!$D62*Activity!M62</f>
        <v>0</v>
      </c>
      <c r="L63" s="602">
        <f>Activity!$C62*Activity!$D62*Activity!N62</f>
        <v>0</v>
      </c>
      <c r="M63" s="600">
        <f>Activity!$C62*Activity!$D62*Activity!O62</f>
        <v>0</v>
      </c>
      <c r="N63" s="448">
        <v>0</v>
      </c>
      <c r="O63" s="602">
        <f>Activity!C62*Activity!D62</f>
        <v>0</v>
      </c>
      <c r="P63" s="609">
        <f>Activity!X62</f>
        <v>0</v>
      </c>
    </row>
    <row r="64" spans="2:16">
      <c r="B64" s="7">
        <f t="shared" si="1"/>
        <v>2050</v>
      </c>
      <c r="C64" s="601">
        <f>Activity!$C63*Activity!$D63*Activity!E63</f>
        <v>0</v>
      </c>
      <c r="D64" s="602">
        <f>Activity!$C63*Activity!$D63*Activity!F63</f>
        <v>0</v>
      </c>
      <c r="E64" s="600">
        <f>Activity!$C63*Activity!$D63*Activity!G63</f>
        <v>0</v>
      </c>
      <c r="F64" s="602">
        <f>Activity!$C63*Activity!$D63*Activity!H63</f>
        <v>0</v>
      </c>
      <c r="G64" s="602">
        <f>Activity!$C63*Activity!$D63*Activity!I63</f>
        <v>0</v>
      </c>
      <c r="H64" s="602">
        <f>Activity!$C63*Activity!$D63*Activity!J63</f>
        <v>0</v>
      </c>
      <c r="I64" s="602">
        <f>Activity!$C63*Activity!$D63*Activity!K63</f>
        <v>0</v>
      </c>
      <c r="J64" s="603">
        <f>Activity!$C63*Activity!$D63*Activity!L63</f>
        <v>0</v>
      </c>
      <c r="K64" s="602">
        <f>Activity!$C63*Activity!$D63*Activity!M63</f>
        <v>0</v>
      </c>
      <c r="L64" s="602">
        <f>Activity!$C63*Activity!$D63*Activity!N63</f>
        <v>0</v>
      </c>
      <c r="M64" s="600">
        <f>Activity!$C63*Activity!$D63*Activity!O63</f>
        <v>0</v>
      </c>
      <c r="N64" s="448">
        <v>0</v>
      </c>
      <c r="O64" s="602">
        <f>Activity!C63*Activity!D63</f>
        <v>0</v>
      </c>
      <c r="P64" s="609">
        <f>Activity!X63</f>
        <v>0</v>
      </c>
    </row>
    <row r="65" spans="2:16">
      <c r="B65" s="7">
        <f t="shared" si="1"/>
        <v>2051</v>
      </c>
      <c r="C65" s="601">
        <f>Activity!$C64*Activity!$D64*Activity!E64</f>
        <v>0</v>
      </c>
      <c r="D65" s="602">
        <f>Activity!$C64*Activity!$D64*Activity!F64</f>
        <v>0</v>
      </c>
      <c r="E65" s="600">
        <f>Activity!$C64*Activity!$D64*Activity!G64</f>
        <v>0</v>
      </c>
      <c r="F65" s="602">
        <f>Activity!$C64*Activity!$D64*Activity!H64</f>
        <v>0</v>
      </c>
      <c r="G65" s="602">
        <f>Activity!$C64*Activity!$D64*Activity!I64</f>
        <v>0</v>
      </c>
      <c r="H65" s="602">
        <f>Activity!$C64*Activity!$D64*Activity!J64</f>
        <v>0</v>
      </c>
      <c r="I65" s="602">
        <f>Activity!$C64*Activity!$D64*Activity!K64</f>
        <v>0</v>
      </c>
      <c r="J65" s="603">
        <f>Activity!$C64*Activity!$D64*Activity!L64</f>
        <v>0</v>
      </c>
      <c r="K65" s="602">
        <f>Activity!$C64*Activity!$D64*Activity!M64</f>
        <v>0</v>
      </c>
      <c r="L65" s="602">
        <f>Activity!$C64*Activity!$D64*Activity!N64</f>
        <v>0</v>
      </c>
      <c r="M65" s="600">
        <f>Activity!$C64*Activity!$D64*Activity!O64</f>
        <v>0</v>
      </c>
      <c r="N65" s="448">
        <v>0</v>
      </c>
      <c r="O65" s="602">
        <f>Activity!C64*Activity!D64</f>
        <v>0</v>
      </c>
      <c r="P65" s="609">
        <f>Activity!X64</f>
        <v>0</v>
      </c>
    </row>
    <row r="66" spans="2:16">
      <c r="B66" s="7">
        <f t="shared" si="1"/>
        <v>2052</v>
      </c>
      <c r="C66" s="601">
        <f>Activity!$C65*Activity!$D65*Activity!E65</f>
        <v>0</v>
      </c>
      <c r="D66" s="602">
        <f>Activity!$C65*Activity!$D65*Activity!F65</f>
        <v>0</v>
      </c>
      <c r="E66" s="600">
        <f>Activity!$C65*Activity!$D65*Activity!G65</f>
        <v>0</v>
      </c>
      <c r="F66" s="602">
        <f>Activity!$C65*Activity!$D65*Activity!H65</f>
        <v>0</v>
      </c>
      <c r="G66" s="602">
        <f>Activity!$C65*Activity!$D65*Activity!I65</f>
        <v>0</v>
      </c>
      <c r="H66" s="602">
        <f>Activity!$C65*Activity!$D65*Activity!J65</f>
        <v>0</v>
      </c>
      <c r="I66" s="602">
        <f>Activity!$C65*Activity!$D65*Activity!K65</f>
        <v>0</v>
      </c>
      <c r="J66" s="603">
        <f>Activity!$C65*Activity!$D65*Activity!L65</f>
        <v>0</v>
      </c>
      <c r="K66" s="602">
        <f>Activity!$C65*Activity!$D65*Activity!M65</f>
        <v>0</v>
      </c>
      <c r="L66" s="602">
        <f>Activity!$C65*Activity!$D65*Activity!N65</f>
        <v>0</v>
      </c>
      <c r="M66" s="600">
        <f>Activity!$C65*Activity!$D65*Activity!O65</f>
        <v>0</v>
      </c>
      <c r="N66" s="448">
        <v>0</v>
      </c>
      <c r="O66" s="602">
        <f>Activity!C65*Activity!D65</f>
        <v>0</v>
      </c>
      <c r="P66" s="609">
        <f>Activity!X65</f>
        <v>0</v>
      </c>
    </row>
    <row r="67" spans="2:16">
      <c r="B67" s="7">
        <f t="shared" si="1"/>
        <v>2053</v>
      </c>
      <c r="C67" s="601">
        <f>Activity!$C66*Activity!$D66*Activity!E66</f>
        <v>0</v>
      </c>
      <c r="D67" s="602">
        <f>Activity!$C66*Activity!$D66*Activity!F66</f>
        <v>0</v>
      </c>
      <c r="E67" s="600">
        <f>Activity!$C66*Activity!$D66*Activity!G66</f>
        <v>0</v>
      </c>
      <c r="F67" s="602">
        <f>Activity!$C66*Activity!$D66*Activity!H66</f>
        <v>0</v>
      </c>
      <c r="G67" s="602">
        <f>Activity!$C66*Activity!$D66*Activity!I66</f>
        <v>0</v>
      </c>
      <c r="H67" s="602">
        <f>Activity!$C66*Activity!$D66*Activity!J66</f>
        <v>0</v>
      </c>
      <c r="I67" s="602">
        <f>Activity!$C66*Activity!$D66*Activity!K66</f>
        <v>0</v>
      </c>
      <c r="J67" s="603">
        <f>Activity!$C66*Activity!$D66*Activity!L66</f>
        <v>0</v>
      </c>
      <c r="K67" s="602">
        <f>Activity!$C66*Activity!$D66*Activity!M66</f>
        <v>0</v>
      </c>
      <c r="L67" s="602">
        <f>Activity!$C66*Activity!$D66*Activity!N66</f>
        <v>0</v>
      </c>
      <c r="M67" s="600">
        <f>Activity!$C66*Activity!$D66*Activity!O66</f>
        <v>0</v>
      </c>
      <c r="N67" s="448">
        <v>0</v>
      </c>
      <c r="O67" s="602">
        <f>Activity!C66*Activity!D66</f>
        <v>0</v>
      </c>
      <c r="P67" s="609">
        <f>Activity!X66</f>
        <v>0</v>
      </c>
    </row>
    <row r="68" spans="2:16">
      <c r="B68" s="7">
        <f t="shared" si="1"/>
        <v>2054</v>
      </c>
      <c r="C68" s="601">
        <f>Activity!$C67*Activity!$D67*Activity!E67</f>
        <v>0</v>
      </c>
      <c r="D68" s="602">
        <f>Activity!$C67*Activity!$D67*Activity!F67</f>
        <v>0</v>
      </c>
      <c r="E68" s="600">
        <f>Activity!$C67*Activity!$D67*Activity!G67</f>
        <v>0</v>
      </c>
      <c r="F68" s="602">
        <f>Activity!$C67*Activity!$D67*Activity!H67</f>
        <v>0</v>
      </c>
      <c r="G68" s="602">
        <f>Activity!$C67*Activity!$D67*Activity!I67</f>
        <v>0</v>
      </c>
      <c r="H68" s="602">
        <f>Activity!$C67*Activity!$D67*Activity!J67</f>
        <v>0</v>
      </c>
      <c r="I68" s="602">
        <f>Activity!$C67*Activity!$D67*Activity!K67</f>
        <v>0</v>
      </c>
      <c r="J68" s="603">
        <f>Activity!$C67*Activity!$D67*Activity!L67</f>
        <v>0</v>
      </c>
      <c r="K68" s="602">
        <f>Activity!$C67*Activity!$D67*Activity!M67</f>
        <v>0</v>
      </c>
      <c r="L68" s="602">
        <f>Activity!$C67*Activity!$D67*Activity!N67</f>
        <v>0</v>
      </c>
      <c r="M68" s="600">
        <f>Activity!$C67*Activity!$D67*Activity!O67</f>
        <v>0</v>
      </c>
      <c r="N68" s="448">
        <v>0</v>
      </c>
      <c r="O68" s="602">
        <f>Activity!C67*Activity!D67</f>
        <v>0</v>
      </c>
      <c r="P68" s="609">
        <f>Activity!X67</f>
        <v>0</v>
      </c>
    </row>
    <row r="69" spans="2:16">
      <c r="B69" s="7">
        <f t="shared" si="1"/>
        <v>2055</v>
      </c>
      <c r="C69" s="601">
        <f>Activity!$C68*Activity!$D68*Activity!E68</f>
        <v>0</v>
      </c>
      <c r="D69" s="602">
        <f>Activity!$C68*Activity!$D68*Activity!F68</f>
        <v>0</v>
      </c>
      <c r="E69" s="600">
        <f>Activity!$C68*Activity!$D68*Activity!G68</f>
        <v>0</v>
      </c>
      <c r="F69" s="602">
        <f>Activity!$C68*Activity!$D68*Activity!H68</f>
        <v>0</v>
      </c>
      <c r="G69" s="602">
        <f>Activity!$C68*Activity!$D68*Activity!I68</f>
        <v>0</v>
      </c>
      <c r="H69" s="602">
        <f>Activity!$C68*Activity!$D68*Activity!J68</f>
        <v>0</v>
      </c>
      <c r="I69" s="602">
        <f>Activity!$C68*Activity!$D68*Activity!K68</f>
        <v>0</v>
      </c>
      <c r="J69" s="603">
        <f>Activity!$C68*Activity!$D68*Activity!L68</f>
        <v>0</v>
      </c>
      <c r="K69" s="602">
        <f>Activity!$C68*Activity!$D68*Activity!M68</f>
        <v>0</v>
      </c>
      <c r="L69" s="602">
        <f>Activity!$C68*Activity!$D68*Activity!N68</f>
        <v>0</v>
      </c>
      <c r="M69" s="600">
        <f>Activity!$C68*Activity!$D68*Activity!O68</f>
        <v>0</v>
      </c>
      <c r="N69" s="448">
        <v>0</v>
      </c>
      <c r="O69" s="602">
        <f>Activity!C68*Activity!D68</f>
        <v>0</v>
      </c>
      <c r="P69" s="609">
        <f>Activity!X68</f>
        <v>0</v>
      </c>
    </row>
    <row r="70" spans="2:16">
      <c r="B70" s="7">
        <f t="shared" si="1"/>
        <v>2056</v>
      </c>
      <c r="C70" s="601">
        <f>Activity!$C69*Activity!$D69*Activity!E69</f>
        <v>0</v>
      </c>
      <c r="D70" s="602">
        <f>Activity!$C69*Activity!$D69*Activity!F69</f>
        <v>0</v>
      </c>
      <c r="E70" s="600">
        <f>Activity!$C69*Activity!$D69*Activity!G69</f>
        <v>0</v>
      </c>
      <c r="F70" s="602">
        <f>Activity!$C69*Activity!$D69*Activity!H69</f>
        <v>0</v>
      </c>
      <c r="G70" s="602">
        <f>Activity!$C69*Activity!$D69*Activity!I69</f>
        <v>0</v>
      </c>
      <c r="H70" s="602">
        <f>Activity!$C69*Activity!$D69*Activity!J69</f>
        <v>0</v>
      </c>
      <c r="I70" s="602">
        <f>Activity!$C69*Activity!$D69*Activity!K69</f>
        <v>0</v>
      </c>
      <c r="J70" s="603">
        <f>Activity!$C69*Activity!$D69*Activity!L69</f>
        <v>0</v>
      </c>
      <c r="K70" s="602">
        <f>Activity!$C69*Activity!$D69*Activity!M69</f>
        <v>0</v>
      </c>
      <c r="L70" s="602">
        <f>Activity!$C69*Activity!$D69*Activity!N69</f>
        <v>0</v>
      </c>
      <c r="M70" s="600">
        <f>Activity!$C69*Activity!$D69*Activity!O69</f>
        <v>0</v>
      </c>
      <c r="N70" s="448">
        <v>0</v>
      </c>
      <c r="O70" s="602">
        <f>Activity!C69*Activity!D69</f>
        <v>0</v>
      </c>
      <c r="P70" s="609">
        <f>Activity!X69</f>
        <v>0</v>
      </c>
    </row>
    <row r="71" spans="2:16">
      <c r="B71" s="7">
        <f t="shared" si="1"/>
        <v>2057</v>
      </c>
      <c r="C71" s="601">
        <f>Activity!$C70*Activity!$D70*Activity!E70</f>
        <v>0</v>
      </c>
      <c r="D71" s="602">
        <f>Activity!$C70*Activity!$D70*Activity!F70</f>
        <v>0</v>
      </c>
      <c r="E71" s="600">
        <f>Activity!$C70*Activity!$D70*Activity!G70</f>
        <v>0</v>
      </c>
      <c r="F71" s="602">
        <f>Activity!$C70*Activity!$D70*Activity!H70</f>
        <v>0</v>
      </c>
      <c r="G71" s="602">
        <f>Activity!$C70*Activity!$D70*Activity!I70</f>
        <v>0</v>
      </c>
      <c r="H71" s="602">
        <f>Activity!$C70*Activity!$D70*Activity!J70</f>
        <v>0</v>
      </c>
      <c r="I71" s="602">
        <f>Activity!$C70*Activity!$D70*Activity!K70</f>
        <v>0</v>
      </c>
      <c r="J71" s="603">
        <f>Activity!$C70*Activity!$D70*Activity!L70</f>
        <v>0</v>
      </c>
      <c r="K71" s="602">
        <f>Activity!$C70*Activity!$D70*Activity!M70</f>
        <v>0</v>
      </c>
      <c r="L71" s="602">
        <f>Activity!$C70*Activity!$D70*Activity!N70</f>
        <v>0</v>
      </c>
      <c r="M71" s="600">
        <f>Activity!$C70*Activity!$D70*Activity!O70</f>
        <v>0</v>
      </c>
      <c r="N71" s="448">
        <v>0</v>
      </c>
      <c r="O71" s="602">
        <f>Activity!C70*Activity!D70</f>
        <v>0</v>
      </c>
      <c r="P71" s="609">
        <f>Activity!X70</f>
        <v>0</v>
      </c>
    </row>
    <row r="72" spans="2:16">
      <c r="B72" s="7">
        <f t="shared" si="1"/>
        <v>2058</v>
      </c>
      <c r="C72" s="601">
        <f>Activity!$C71*Activity!$D71*Activity!E71</f>
        <v>0</v>
      </c>
      <c r="D72" s="602">
        <f>Activity!$C71*Activity!$D71*Activity!F71</f>
        <v>0</v>
      </c>
      <c r="E72" s="600">
        <f>Activity!$C71*Activity!$D71*Activity!G71</f>
        <v>0</v>
      </c>
      <c r="F72" s="602">
        <f>Activity!$C71*Activity!$D71*Activity!H71</f>
        <v>0</v>
      </c>
      <c r="G72" s="602">
        <f>Activity!$C71*Activity!$D71*Activity!I71</f>
        <v>0</v>
      </c>
      <c r="H72" s="602">
        <f>Activity!$C71*Activity!$D71*Activity!J71</f>
        <v>0</v>
      </c>
      <c r="I72" s="602">
        <f>Activity!$C71*Activity!$D71*Activity!K71</f>
        <v>0</v>
      </c>
      <c r="J72" s="603">
        <f>Activity!$C71*Activity!$D71*Activity!L71</f>
        <v>0</v>
      </c>
      <c r="K72" s="602">
        <f>Activity!$C71*Activity!$D71*Activity!M71</f>
        <v>0</v>
      </c>
      <c r="L72" s="602">
        <f>Activity!$C71*Activity!$D71*Activity!N71</f>
        <v>0</v>
      </c>
      <c r="M72" s="600">
        <f>Activity!$C71*Activity!$D71*Activity!O71</f>
        <v>0</v>
      </c>
      <c r="N72" s="448">
        <v>0</v>
      </c>
      <c r="O72" s="602">
        <f>Activity!C71*Activity!D71</f>
        <v>0</v>
      </c>
      <c r="P72" s="609">
        <f>Activity!X71</f>
        <v>0</v>
      </c>
    </row>
    <row r="73" spans="2:16">
      <c r="B73" s="7">
        <f t="shared" si="1"/>
        <v>2059</v>
      </c>
      <c r="C73" s="601">
        <f>Activity!$C72*Activity!$D72*Activity!E72</f>
        <v>0</v>
      </c>
      <c r="D73" s="602">
        <f>Activity!$C72*Activity!$D72*Activity!F72</f>
        <v>0</v>
      </c>
      <c r="E73" s="600">
        <f>Activity!$C72*Activity!$D72*Activity!G72</f>
        <v>0</v>
      </c>
      <c r="F73" s="602">
        <f>Activity!$C72*Activity!$D72*Activity!H72</f>
        <v>0</v>
      </c>
      <c r="G73" s="602">
        <f>Activity!$C72*Activity!$D72*Activity!I72</f>
        <v>0</v>
      </c>
      <c r="H73" s="602">
        <f>Activity!$C72*Activity!$D72*Activity!J72</f>
        <v>0</v>
      </c>
      <c r="I73" s="602">
        <f>Activity!$C72*Activity!$D72*Activity!K72</f>
        <v>0</v>
      </c>
      <c r="J73" s="603">
        <f>Activity!$C72*Activity!$D72*Activity!L72</f>
        <v>0</v>
      </c>
      <c r="K73" s="602">
        <f>Activity!$C72*Activity!$D72*Activity!M72</f>
        <v>0</v>
      </c>
      <c r="L73" s="602">
        <f>Activity!$C72*Activity!$D72*Activity!N72</f>
        <v>0</v>
      </c>
      <c r="M73" s="600">
        <f>Activity!$C72*Activity!$D72*Activity!O72</f>
        <v>0</v>
      </c>
      <c r="N73" s="448">
        <v>0</v>
      </c>
      <c r="O73" s="602">
        <f>Activity!C72*Activity!D72</f>
        <v>0</v>
      </c>
      <c r="P73" s="609">
        <f>Activity!X72</f>
        <v>0</v>
      </c>
    </row>
    <row r="74" spans="2:16">
      <c r="B74" s="7">
        <f t="shared" si="1"/>
        <v>2060</v>
      </c>
      <c r="C74" s="601">
        <f>Activity!$C73*Activity!$D73*Activity!E73</f>
        <v>0</v>
      </c>
      <c r="D74" s="602">
        <f>Activity!$C73*Activity!$D73*Activity!F73</f>
        <v>0</v>
      </c>
      <c r="E74" s="600">
        <f>Activity!$C73*Activity!$D73*Activity!G73</f>
        <v>0</v>
      </c>
      <c r="F74" s="602">
        <f>Activity!$C73*Activity!$D73*Activity!H73</f>
        <v>0</v>
      </c>
      <c r="G74" s="602">
        <f>Activity!$C73*Activity!$D73*Activity!I73</f>
        <v>0</v>
      </c>
      <c r="H74" s="602">
        <f>Activity!$C73*Activity!$D73*Activity!J73</f>
        <v>0</v>
      </c>
      <c r="I74" s="602">
        <f>Activity!$C73*Activity!$D73*Activity!K73</f>
        <v>0</v>
      </c>
      <c r="J74" s="603">
        <f>Activity!$C73*Activity!$D73*Activity!L73</f>
        <v>0</v>
      </c>
      <c r="K74" s="602">
        <f>Activity!$C73*Activity!$D73*Activity!M73</f>
        <v>0</v>
      </c>
      <c r="L74" s="602">
        <f>Activity!$C73*Activity!$D73*Activity!N73</f>
        <v>0</v>
      </c>
      <c r="M74" s="600">
        <f>Activity!$C73*Activity!$D73*Activity!O73</f>
        <v>0</v>
      </c>
      <c r="N74" s="448">
        <v>0</v>
      </c>
      <c r="O74" s="602">
        <f>Activity!C73*Activity!D73</f>
        <v>0</v>
      </c>
      <c r="P74" s="609">
        <f>Activity!X73</f>
        <v>0</v>
      </c>
    </row>
    <row r="75" spans="2:16">
      <c r="B75" s="7">
        <f t="shared" si="1"/>
        <v>2061</v>
      </c>
      <c r="C75" s="601">
        <f>Activity!$C74*Activity!$D74*Activity!E74</f>
        <v>0</v>
      </c>
      <c r="D75" s="602">
        <f>Activity!$C74*Activity!$D74*Activity!F74</f>
        <v>0</v>
      </c>
      <c r="E75" s="600">
        <f>Activity!$C74*Activity!$D74*Activity!G74</f>
        <v>0</v>
      </c>
      <c r="F75" s="602">
        <f>Activity!$C74*Activity!$D74*Activity!H74</f>
        <v>0</v>
      </c>
      <c r="G75" s="602">
        <f>Activity!$C74*Activity!$D74*Activity!I74</f>
        <v>0</v>
      </c>
      <c r="H75" s="602">
        <f>Activity!$C74*Activity!$D74*Activity!J74</f>
        <v>0</v>
      </c>
      <c r="I75" s="602">
        <f>Activity!$C74*Activity!$D74*Activity!K74</f>
        <v>0</v>
      </c>
      <c r="J75" s="603">
        <f>Activity!$C74*Activity!$D74*Activity!L74</f>
        <v>0</v>
      </c>
      <c r="K75" s="602">
        <f>Activity!$C74*Activity!$D74*Activity!M74</f>
        <v>0</v>
      </c>
      <c r="L75" s="602">
        <f>Activity!$C74*Activity!$D74*Activity!N74</f>
        <v>0</v>
      </c>
      <c r="M75" s="600">
        <f>Activity!$C74*Activity!$D74*Activity!O74</f>
        <v>0</v>
      </c>
      <c r="N75" s="448">
        <v>0</v>
      </c>
      <c r="O75" s="602">
        <f>Activity!C74*Activity!D74</f>
        <v>0</v>
      </c>
      <c r="P75" s="609">
        <f>Activity!X74</f>
        <v>0</v>
      </c>
    </row>
    <row r="76" spans="2:16">
      <c r="B76" s="7">
        <f t="shared" si="1"/>
        <v>2062</v>
      </c>
      <c r="C76" s="601">
        <f>Activity!$C75*Activity!$D75*Activity!E75</f>
        <v>0</v>
      </c>
      <c r="D76" s="602">
        <f>Activity!$C75*Activity!$D75*Activity!F75</f>
        <v>0</v>
      </c>
      <c r="E76" s="600">
        <f>Activity!$C75*Activity!$D75*Activity!G75</f>
        <v>0</v>
      </c>
      <c r="F76" s="602">
        <f>Activity!$C75*Activity!$D75*Activity!H75</f>
        <v>0</v>
      </c>
      <c r="G76" s="602">
        <f>Activity!$C75*Activity!$D75*Activity!I75</f>
        <v>0</v>
      </c>
      <c r="H76" s="602">
        <f>Activity!$C75*Activity!$D75*Activity!J75</f>
        <v>0</v>
      </c>
      <c r="I76" s="602">
        <f>Activity!$C75*Activity!$D75*Activity!K75</f>
        <v>0</v>
      </c>
      <c r="J76" s="603">
        <f>Activity!$C75*Activity!$D75*Activity!L75</f>
        <v>0</v>
      </c>
      <c r="K76" s="602">
        <f>Activity!$C75*Activity!$D75*Activity!M75</f>
        <v>0</v>
      </c>
      <c r="L76" s="602">
        <f>Activity!$C75*Activity!$D75*Activity!N75</f>
        <v>0</v>
      </c>
      <c r="M76" s="600">
        <f>Activity!$C75*Activity!$D75*Activity!O75</f>
        <v>0</v>
      </c>
      <c r="N76" s="448">
        <v>0</v>
      </c>
      <c r="O76" s="602">
        <f>Activity!C75*Activity!D75</f>
        <v>0</v>
      </c>
      <c r="P76" s="609">
        <f>Activity!X75</f>
        <v>0</v>
      </c>
    </row>
    <row r="77" spans="2:16">
      <c r="B77" s="7">
        <f t="shared" si="1"/>
        <v>2063</v>
      </c>
      <c r="C77" s="601">
        <f>Activity!$C76*Activity!$D76*Activity!E76</f>
        <v>0</v>
      </c>
      <c r="D77" s="602">
        <f>Activity!$C76*Activity!$D76*Activity!F76</f>
        <v>0</v>
      </c>
      <c r="E77" s="600">
        <f>Activity!$C76*Activity!$D76*Activity!G76</f>
        <v>0</v>
      </c>
      <c r="F77" s="602">
        <f>Activity!$C76*Activity!$D76*Activity!H76</f>
        <v>0</v>
      </c>
      <c r="G77" s="602">
        <f>Activity!$C76*Activity!$D76*Activity!I76</f>
        <v>0</v>
      </c>
      <c r="H77" s="602">
        <f>Activity!$C76*Activity!$D76*Activity!J76</f>
        <v>0</v>
      </c>
      <c r="I77" s="602">
        <f>Activity!$C76*Activity!$D76*Activity!K76</f>
        <v>0</v>
      </c>
      <c r="J77" s="603">
        <f>Activity!$C76*Activity!$D76*Activity!L76</f>
        <v>0</v>
      </c>
      <c r="K77" s="602">
        <f>Activity!$C76*Activity!$D76*Activity!M76</f>
        <v>0</v>
      </c>
      <c r="L77" s="602">
        <f>Activity!$C76*Activity!$D76*Activity!N76</f>
        <v>0</v>
      </c>
      <c r="M77" s="600">
        <f>Activity!$C76*Activity!$D76*Activity!O76</f>
        <v>0</v>
      </c>
      <c r="N77" s="448">
        <v>0</v>
      </c>
      <c r="O77" s="602">
        <f>Activity!C76*Activity!D76</f>
        <v>0</v>
      </c>
      <c r="P77" s="609">
        <f>Activity!X76</f>
        <v>0</v>
      </c>
    </row>
    <row r="78" spans="2:16">
      <c r="B78" s="7">
        <f t="shared" si="1"/>
        <v>2064</v>
      </c>
      <c r="C78" s="601">
        <f>Activity!$C77*Activity!$D77*Activity!E77</f>
        <v>0</v>
      </c>
      <c r="D78" s="602">
        <f>Activity!$C77*Activity!$D77*Activity!F77</f>
        <v>0</v>
      </c>
      <c r="E78" s="600">
        <f>Activity!$C77*Activity!$D77*Activity!G77</f>
        <v>0</v>
      </c>
      <c r="F78" s="602">
        <f>Activity!$C77*Activity!$D77*Activity!H77</f>
        <v>0</v>
      </c>
      <c r="G78" s="602">
        <f>Activity!$C77*Activity!$D77*Activity!I77</f>
        <v>0</v>
      </c>
      <c r="H78" s="602">
        <f>Activity!$C77*Activity!$D77*Activity!J77</f>
        <v>0</v>
      </c>
      <c r="I78" s="602">
        <f>Activity!$C77*Activity!$D77*Activity!K77</f>
        <v>0</v>
      </c>
      <c r="J78" s="603">
        <f>Activity!$C77*Activity!$D77*Activity!L77</f>
        <v>0</v>
      </c>
      <c r="K78" s="602">
        <f>Activity!$C77*Activity!$D77*Activity!M77</f>
        <v>0</v>
      </c>
      <c r="L78" s="602">
        <f>Activity!$C77*Activity!$D77*Activity!N77</f>
        <v>0</v>
      </c>
      <c r="M78" s="600">
        <f>Activity!$C77*Activity!$D77*Activity!O77</f>
        <v>0</v>
      </c>
      <c r="N78" s="448">
        <v>0</v>
      </c>
      <c r="O78" s="602">
        <f>Activity!C77*Activity!D77</f>
        <v>0</v>
      </c>
      <c r="P78" s="609">
        <f>Activity!X77</f>
        <v>0</v>
      </c>
    </row>
    <row r="79" spans="2:16">
      <c r="B79" s="7">
        <f t="shared" si="1"/>
        <v>2065</v>
      </c>
      <c r="C79" s="601">
        <f>Activity!$C78*Activity!$D78*Activity!E78</f>
        <v>0</v>
      </c>
      <c r="D79" s="602">
        <f>Activity!$C78*Activity!$D78*Activity!F78</f>
        <v>0</v>
      </c>
      <c r="E79" s="600">
        <f>Activity!$C78*Activity!$D78*Activity!G78</f>
        <v>0</v>
      </c>
      <c r="F79" s="602">
        <f>Activity!$C78*Activity!$D78*Activity!H78</f>
        <v>0</v>
      </c>
      <c r="G79" s="602">
        <f>Activity!$C78*Activity!$D78*Activity!I78</f>
        <v>0</v>
      </c>
      <c r="H79" s="602">
        <f>Activity!$C78*Activity!$D78*Activity!J78</f>
        <v>0</v>
      </c>
      <c r="I79" s="602">
        <f>Activity!$C78*Activity!$D78*Activity!K78</f>
        <v>0</v>
      </c>
      <c r="J79" s="603">
        <f>Activity!$C78*Activity!$D78*Activity!L78</f>
        <v>0</v>
      </c>
      <c r="K79" s="602">
        <f>Activity!$C78*Activity!$D78*Activity!M78</f>
        <v>0</v>
      </c>
      <c r="L79" s="602">
        <f>Activity!$C78*Activity!$D78*Activity!N78</f>
        <v>0</v>
      </c>
      <c r="M79" s="600">
        <f>Activity!$C78*Activity!$D78*Activity!O78</f>
        <v>0</v>
      </c>
      <c r="N79" s="448">
        <v>0</v>
      </c>
      <c r="O79" s="602">
        <f>Activity!C78*Activity!D78</f>
        <v>0</v>
      </c>
      <c r="P79" s="609">
        <f>Activity!X78</f>
        <v>0</v>
      </c>
    </row>
    <row r="80" spans="2:16">
      <c r="B80" s="7">
        <f t="shared" si="1"/>
        <v>2066</v>
      </c>
      <c r="C80" s="601">
        <f>Activity!$C79*Activity!$D79*Activity!E79</f>
        <v>0</v>
      </c>
      <c r="D80" s="602">
        <f>Activity!$C79*Activity!$D79*Activity!F79</f>
        <v>0</v>
      </c>
      <c r="E80" s="600">
        <f>Activity!$C79*Activity!$D79*Activity!G79</f>
        <v>0</v>
      </c>
      <c r="F80" s="602">
        <f>Activity!$C79*Activity!$D79*Activity!H79</f>
        <v>0</v>
      </c>
      <c r="G80" s="602">
        <f>Activity!$C79*Activity!$D79*Activity!I79</f>
        <v>0</v>
      </c>
      <c r="H80" s="602">
        <f>Activity!$C79*Activity!$D79*Activity!J79</f>
        <v>0</v>
      </c>
      <c r="I80" s="602">
        <f>Activity!$C79*Activity!$D79*Activity!K79</f>
        <v>0</v>
      </c>
      <c r="J80" s="603">
        <f>Activity!$C79*Activity!$D79*Activity!L79</f>
        <v>0</v>
      </c>
      <c r="K80" s="602">
        <f>Activity!$C79*Activity!$D79*Activity!M79</f>
        <v>0</v>
      </c>
      <c r="L80" s="602">
        <f>Activity!$C79*Activity!$D79*Activity!N79</f>
        <v>0</v>
      </c>
      <c r="M80" s="600">
        <f>Activity!$C79*Activity!$D79*Activity!O79</f>
        <v>0</v>
      </c>
      <c r="N80" s="448">
        <v>0</v>
      </c>
      <c r="O80" s="602">
        <f>Activity!C79*Activity!D79</f>
        <v>0</v>
      </c>
      <c r="P80" s="609">
        <f>Activity!X79</f>
        <v>0</v>
      </c>
    </row>
    <row r="81" spans="2:16">
      <c r="B81" s="7">
        <f t="shared" si="1"/>
        <v>2067</v>
      </c>
      <c r="C81" s="601">
        <f>Activity!$C80*Activity!$D80*Activity!E80</f>
        <v>0</v>
      </c>
      <c r="D81" s="602">
        <f>Activity!$C80*Activity!$D80*Activity!F80</f>
        <v>0</v>
      </c>
      <c r="E81" s="600">
        <f>Activity!$C80*Activity!$D80*Activity!G80</f>
        <v>0</v>
      </c>
      <c r="F81" s="602">
        <f>Activity!$C80*Activity!$D80*Activity!H80</f>
        <v>0</v>
      </c>
      <c r="G81" s="602">
        <f>Activity!$C80*Activity!$D80*Activity!I80</f>
        <v>0</v>
      </c>
      <c r="H81" s="602">
        <f>Activity!$C80*Activity!$D80*Activity!J80</f>
        <v>0</v>
      </c>
      <c r="I81" s="602">
        <f>Activity!$C80*Activity!$D80*Activity!K80</f>
        <v>0</v>
      </c>
      <c r="J81" s="603">
        <f>Activity!$C80*Activity!$D80*Activity!L80</f>
        <v>0</v>
      </c>
      <c r="K81" s="602">
        <f>Activity!$C80*Activity!$D80*Activity!M80</f>
        <v>0</v>
      </c>
      <c r="L81" s="602">
        <f>Activity!$C80*Activity!$D80*Activity!N80</f>
        <v>0</v>
      </c>
      <c r="M81" s="600">
        <f>Activity!$C80*Activity!$D80*Activity!O80</f>
        <v>0</v>
      </c>
      <c r="N81" s="448">
        <v>0</v>
      </c>
      <c r="O81" s="602">
        <f>Activity!C80*Activity!D80</f>
        <v>0</v>
      </c>
      <c r="P81" s="609">
        <f>Activity!X80</f>
        <v>0</v>
      </c>
    </row>
    <row r="82" spans="2:16">
      <c r="B82" s="7">
        <f t="shared" si="1"/>
        <v>2068</v>
      </c>
      <c r="C82" s="601">
        <f>Activity!$C81*Activity!$D81*Activity!E81</f>
        <v>0</v>
      </c>
      <c r="D82" s="602">
        <f>Activity!$C81*Activity!$D81*Activity!F81</f>
        <v>0</v>
      </c>
      <c r="E82" s="600">
        <f>Activity!$C81*Activity!$D81*Activity!G81</f>
        <v>0</v>
      </c>
      <c r="F82" s="602">
        <f>Activity!$C81*Activity!$D81*Activity!H81</f>
        <v>0</v>
      </c>
      <c r="G82" s="602">
        <f>Activity!$C81*Activity!$D81*Activity!I81</f>
        <v>0</v>
      </c>
      <c r="H82" s="602">
        <f>Activity!$C81*Activity!$D81*Activity!J81</f>
        <v>0</v>
      </c>
      <c r="I82" s="602">
        <f>Activity!$C81*Activity!$D81*Activity!K81</f>
        <v>0</v>
      </c>
      <c r="J82" s="603">
        <f>Activity!$C81*Activity!$D81*Activity!L81</f>
        <v>0</v>
      </c>
      <c r="K82" s="602">
        <f>Activity!$C81*Activity!$D81*Activity!M81</f>
        <v>0</v>
      </c>
      <c r="L82" s="602">
        <f>Activity!$C81*Activity!$D81*Activity!N81</f>
        <v>0</v>
      </c>
      <c r="M82" s="600">
        <f>Activity!$C81*Activity!$D81*Activity!O81</f>
        <v>0</v>
      </c>
      <c r="N82" s="448">
        <v>0</v>
      </c>
      <c r="O82" s="602">
        <f>Activity!C81*Activity!D81</f>
        <v>0</v>
      </c>
      <c r="P82" s="609">
        <f>Activity!X81</f>
        <v>0</v>
      </c>
    </row>
    <row r="83" spans="2:16">
      <c r="B83" s="7">
        <f t="shared" si="1"/>
        <v>2069</v>
      </c>
      <c r="C83" s="601">
        <f>Activity!$C82*Activity!$D82*Activity!E82</f>
        <v>0</v>
      </c>
      <c r="D83" s="602">
        <f>Activity!$C82*Activity!$D82*Activity!F82</f>
        <v>0</v>
      </c>
      <c r="E83" s="600">
        <f>Activity!$C82*Activity!$D82*Activity!G82</f>
        <v>0</v>
      </c>
      <c r="F83" s="602">
        <f>Activity!$C82*Activity!$D82*Activity!H82</f>
        <v>0</v>
      </c>
      <c r="G83" s="602">
        <f>Activity!$C82*Activity!$D82*Activity!I82</f>
        <v>0</v>
      </c>
      <c r="H83" s="602">
        <f>Activity!$C82*Activity!$D82*Activity!J82</f>
        <v>0</v>
      </c>
      <c r="I83" s="602">
        <f>Activity!$C82*Activity!$D82*Activity!K82</f>
        <v>0</v>
      </c>
      <c r="J83" s="603">
        <f>Activity!$C82*Activity!$D82*Activity!L82</f>
        <v>0</v>
      </c>
      <c r="K83" s="602">
        <f>Activity!$C82*Activity!$D82*Activity!M82</f>
        <v>0</v>
      </c>
      <c r="L83" s="602">
        <f>Activity!$C82*Activity!$D82*Activity!N82</f>
        <v>0</v>
      </c>
      <c r="M83" s="600">
        <f>Activity!$C82*Activity!$D82*Activity!O82</f>
        <v>0</v>
      </c>
      <c r="N83" s="448">
        <v>0</v>
      </c>
      <c r="O83" s="602">
        <f>Activity!C82*Activity!D82</f>
        <v>0</v>
      </c>
      <c r="P83" s="609">
        <f>Activity!X82</f>
        <v>0</v>
      </c>
    </row>
    <row r="84" spans="2:16">
      <c r="B84" s="7">
        <f t="shared" si="1"/>
        <v>2070</v>
      </c>
      <c r="C84" s="601">
        <f>Activity!$C83*Activity!$D83*Activity!E83</f>
        <v>0</v>
      </c>
      <c r="D84" s="602">
        <f>Activity!$C83*Activity!$D83*Activity!F83</f>
        <v>0</v>
      </c>
      <c r="E84" s="600">
        <f>Activity!$C83*Activity!$D83*Activity!G83</f>
        <v>0</v>
      </c>
      <c r="F84" s="602">
        <f>Activity!$C83*Activity!$D83*Activity!H83</f>
        <v>0</v>
      </c>
      <c r="G84" s="602">
        <f>Activity!$C83*Activity!$D83*Activity!I83</f>
        <v>0</v>
      </c>
      <c r="H84" s="602">
        <f>Activity!$C83*Activity!$D83*Activity!J83</f>
        <v>0</v>
      </c>
      <c r="I84" s="602">
        <f>Activity!$C83*Activity!$D83*Activity!K83</f>
        <v>0</v>
      </c>
      <c r="J84" s="603">
        <f>Activity!$C83*Activity!$D83*Activity!L83</f>
        <v>0</v>
      </c>
      <c r="K84" s="602">
        <f>Activity!$C83*Activity!$D83*Activity!M83</f>
        <v>0</v>
      </c>
      <c r="L84" s="602">
        <f>Activity!$C83*Activity!$D83*Activity!N83</f>
        <v>0</v>
      </c>
      <c r="M84" s="600">
        <f>Activity!$C83*Activity!$D83*Activity!O83</f>
        <v>0</v>
      </c>
      <c r="N84" s="448">
        <v>0</v>
      </c>
      <c r="O84" s="602">
        <f>Activity!C83*Activity!D83</f>
        <v>0</v>
      </c>
      <c r="P84" s="609">
        <f>Activity!X83</f>
        <v>0</v>
      </c>
    </row>
    <row r="85" spans="2:16">
      <c r="B85" s="7">
        <f t="shared" si="1"/>
        <v>2071</v>
      </c>
      <c r="C85" s="601">
        <f>Activity!$C84*Activity!$D84*Activity!E84</f>
        <v>0</v>
      </c>
      <c r="D85" s="602">
        <f>Activity!$C84*Activity!$D84*Activity!F84</f>
        <v>0</v>
      </c>
      <c r="E85" s="600">
        <f>Activity!$C84*Activity!$D84*Activity!G84</f>
        <v>0</v>
      </c>
      <c r="F85" s="602">
        <f>Activity!$C84*Activity!$D84*Activity!H84</f>
        <v>0</v>
      </c>
      <c r="G85" s="602">
        <f>Activity!$C84*Activity!$D84*Activity!I84</f>
        <v>0</v>
      </c>
      <c r="H85" s="602">
        <f>Activity!$C84*Activity!$D84*Activity!J84</f>
        <v>0</v>
      </c>
      <c r="I85" s="602">
        <f>Activity!$C84*Activity!$D84*Activity!K84</f>
        <v>0</v>
      </c>
      <c r="J85" s="603">
        <f>Activity!$C84*Activity!$D84*Activity!L84</f>
        <v>0</v>
      </c>
      <c r="K85" s="602">
        <f>Activity!$C84*Activity!$D84*Activity!M84</f>
        <v>0</v>
      </c>
      <c r="L85" s="602">
        <f>Activity!$C84*Activity!$D84*Activity!N84</f>
        <v>0</v>
      </c>
      <c r="M85" s="600">
        <f>Activity!$C84*Activity!$D84*Activity!O84</f>
        <v>0</v>
      </c>
      <c r="N85" s="448">
        <v>0</v>
      </c>
      <c r="O85" s="602">
        <f>Activity!C84*Activity!D84</f>
        <v>0</v>
      </c>
      <c r="P85" s="609">
        <f>Activity!X84</f>
        <v>0</v>
      </c>
    </row>
    <row r="86" spans="2:16">
      <c r="B86" s="7">
        <f t="shared" ref="B86:B94" si="2">B85+1</f>
        <v>2072</v>
      </c>
      <c r="C86" s="601">
        <f>Activity!$C85*Activity!$D85*Activity!E85</f>
        <v>0</v>
      </c>
      <c r="D86" s="602">
        <f>Activity!$C85*Activity!$D85*Activity!F85</f>
        <v>0</v>
      </c>
      <c r="E86" s="600">
        <f>Activity!$C85*Activity!$D85*Activity!G85</f>
        <v>0</v>
      </c>
      <c r="F86" s="602">
        <f>Activity!$C85*Activity!$D85*Activity!H85</f>
        <v>0</v>
      </c>
      <c r="G86" s="602">
        <f>Activity!$C85*Activity!$D85*Activity!I85</f>
        <v>0</v>
      </c>
      <c r="H86" s="602">
        <f>Activity!$C85*Activity!$D85*Activity!J85</f>
        <v>0</v>
      </c>
      <c r="I86" s="602">
        <f>Activity!$C85*Activity!$D85*Activity!K85</f>
        <v>0</v>
      </c>
      <c r="J86" s="603">
        <f>Activity!$C85*Activity!$D85*Activity!L85</f>
        <v>0</v>
      </c>
      <c r="K86" s="602">
        <f>Activity!$C85*Activity!$D85*Activity!M85</f>
        <v>0</v>
      </c>
      <c r="L86" s="602">
        <f>Activity!$C85*Activity!$D85*Activity!N85</f>
        <v>0</v>
      </c>
      <c r="M86" s="600">
        <f>Activity!$C85*Activity!$D85*Activity!O85</f>
        <v>0</v>
      </c>
      <c r="N86" s="448">
        <v>0</v>
      </c>
      <c r="O86" s="602">
        <f>Activity!C85*Activity!D85</f>
        <v>0</v>
      </c>
      <c r="P86" s="609">
        <f>Activity!X85</f>
        <v>0</v>
      </c>
    </row>
    <row r="87" spans="2:16">
      <c r="B87" s="7">
        <f t="shared" si="2"/>
        <v>2073</v>
      </c>
      <c r="C87" s="601">
        <f>Activity!$C86*Activity!$D86*Activity!E86</f>
        <v>0</v>
      </c>
      <c r="D87" s="602">
        <f>Activity!$C86*Activity!$D86*Activity!F86</f>
        <v>0</v>
      </c>
      <c r="E87" s="600">
        <f>Activity!$C86*Activity!$D86*Activity!G86</f>
        <v>0</v>
      </c>
      <c r="F87" s="602">
        <f>Activity!$C86*Activity!$D86*Activity!H86</f>
        <v>0</v>
      </c>
      <c r="G87" s="602">
        <f>Activity!$C86*Activity!$D86*Activity!I86</f>
        <v>0</v>
      </c>
      <c r="H87" s="602">
        <f>Activity!$C86*Activity!$D86*Activity!J86</f>
        <v>0</v>
      </c>
      <c r="I87" s="602">
        <f>Activity!$C86*Activity!$D86*Activity!K86</f>
        <v>0</v>
      </c>
      <c r="J87" s="603">
        <f>Activity!$C86*Activity!$D86*Activity!L86</f>
        <v>0</v>
      </c>
      <c r="K87" s="602">
        <f>Activity!$C86*Activity!$D86*Activity!M86</f>
        <v>0</v>
      </c>
      <c r="L87" s="602">
        <f>Activity!$C86*Activity!$D86*Activity!N86</f>
        <v>0</v>
      </c>
      <c r="M87" s="600">
        <f>Activity!$C86*Activity!$D86*Activity!O86</f>
        <v>0</v>
      </c>
      <c r="N87" s="448">
        <v>0</v>
      </c>
      <c r="O87" s="602">
        <f>Activity!C86*Activity!D86</f>
        <v>0</v>
      </c>
      <c r="P87" s="609">
        <f>Activity!X86</f>
        <v>0</v>
      </c>
    </row>
    <row r="88" spans="2:16">
      <c r="B88" s="7">
        <f t="shared" si="2"/>
        <v>2074</v>
      </c>
      <c r="C88" s="601">
        <f>Activity!$C87*Activity!$D87*Activity!E87</f>
        <v>0</v>
      </c>
      <c r="D88" s="602">
        <f>Activity!$C87*Activity!$D87*Activity!F87</f>
        <v>0</v>
      </c>
      <c r="E88" s="600">
        <f>Activity!$C87*Activity!$D87*Activity!G87</f>
        <v>0</v>
      </c>
      <c r="F88" s="602">
        <f>Activity!$C87*Activity!$D87*Activity!H87</f>
        <v>0</v>
      </c>
      <c r="G88" s="602">
        <f>Activity!$C87*Activity!$D87*Activity!I87</f>
        <v>0</v>
      </c>
      <c r="H88" s="602">
        <f>Activity!$C87*Activity!$D87*Activity!J87</f>
        <v>0</v>
      </c>
      <c r="I88" s="602">
        <f>Activity!$C87*Activity!$D87*Activity!K87</f>
        <v>0</v>
      </c>
      <c r="J88" s="603">
        <f>Activity!$C87*Activity!$D87*Activity!L87</f>
        <v>0</v>
      </c>
      <c r="K88" s="602">
        <f>Activity!$C87*Activity!$D87*Activity!M87</f>
        <v>0</v>
      </c>
      <c r="L88" s="602">
        <f>Activity!$C87*Activity!$D87*Activity!N87</f>
        <v>0</v>
      </c>
      <c r="M88" s="600">
        <f>Activity!$C87*Activity!$D87*Activity!O87</f>
        <v>0</v>
      </c>
      <c r="N88" s="448">
        <v>0</v>
      </c>
      <c r="O88" s="602">
        <f>Activity!C87*Activity!D87</f>
        <v>0</v>
      </c>
      <c r="P88" s="609">
        <f>Activity!X87</f>
        <v>0</v>
      </c>
    </row>
    <row r="89" spans="2:16">
      <c r="B89" s="7">
        <f t="shared" si="2"/>
        <v>2075</v>
      </c>
      <c r="C89" s="601">
        <f>Activity!$C88*Activity!$D88*Activity!E88</f>
        <v>0</v>
      </c>
      <c r="D89" s="602">
        <f>Activity!$C88*Activity!$D88*Activity!F88</f>
        <v>0</v>
      </c>
      <c r="E89" s="600">
        <f>Activity!$C88*Activity!$D88*Activity!G88</f>
        <v>0</v>
      </c>
      <c r="F89" s="602">
        <f>Activity!$C88*Activity!$D88*Activity!H88</f>
        <v>0</v>
      </c>
      <c r="G89" s="602">
        <f>Activity!$C88*Activity!$D88*Activity!I88</f>
        <v>0</v>
      </c>
      <c r="H89" s="602">
        <f>Activity!$C88*Activity!$D88*Activity!J88</f>
        <v>0</v>
      </c>
      <c r="I89" s="602">
        <f>Activity!$C88*Activity!$D88*Activity!K88</f>
        <v>0</v>
      </c>
      <c r="J89" s="603">
        <f>Activity!$C88*Activity!$D88*Activity!L88</f>
        <v>0</v>
      </c>
      <c r="K89" s="602">
        <f>Activity!$C88*Activity!$D88*Activity!M88</f>
        <v>0</v>
      </c>
      <c r="L89" s="602">
        <f>Activity!$C88*Activity!$D88*Activity!N88</f>
        <v>0</v>
      </c>
      <c r="M89" s="600">
        <f>Activity!$C88*Activity!$D88*Activity!O88</f>
        <v>0</v>
      </c>
      <c r="N89" s="448">
        <v>0</v>
      </c>
      <c r="O89" s="602">
        <f>Activity!C88*Activity!D88</f>
        <v>0</v>
      </c>
      <c r="P89" s="609">
        <f>Activity!X88</f>
        <v>0</v>
      </c>
    </row>
    <row r="90" spans="2:16">
      <c r="B90" s="7">
        <f t="shared" si="2"/>
        <v>2076</v>
      </c>
      <c r="C90" s="601">
        <f>Activity!$C89*Activity!$D89*Activity!E89</f>
        <v>0</v>
      </c>
      <c r="D90" s="602">
        <f>Activity!$C89*Activity!$D89*Activity!F89</f>
        <v>0</v>
      </c>
      <c r="E90" s="600">
        <f>Activity!$C89*Activity!$D89*Activity!G89</f>
        <v>0</v>
      </c>
      <c r="F90" s="602">
        <f>Activity!$C89*Activity!$D89*Activity!H89</f>
        <v>0</v>
      </c>
      <c r="G90" s="602">
        <f>Activity!$C89*Activity!$D89*Activity!I89</f>
        <v>0</v>
      </c>
      <c r="H90" s="602">
        <f>Activity!$C89*Activity!$D89*Activity!J89</f>
        <v>0</v>
      </c>
      <c r="I90" s="602">
        <f>Activity!$C89*Activity!$D89*Activity!K89</f>
        <v>0</v>
      </c>
      <c r="J90" s="603">
        <f>Activity!$C89*Activity!$D89*Activity!L89</f>
        <v>0</v>
      </c>
      <c r="K90" s="602">
        <f>Activity!$C89*Activity!$D89*Activity!M89</f>
        <v>0</v>
      </c>
      <c r="L90" s="602">
        <f>Activity!$C89*Activity!$D89*Activity!N89</f>
        <v>0</v>
      </c>
      <c r="M90" s="600">
        <f>Activity!$C89*Activity!$D89*Activity!O89</f>
        <v>0</v>
      </c>
      <c r="N90" s="448">
        <v>0</v>
      </c>
      <c r="O90" s="602">
        <f>Activity!C89*Activity!D89</f>
        <v>0</v>
      </c>
      <c r="P90" s="609">
        <f>Activity!X89</f>
        <v>0</v>
      </c>
    </row>
    <row r="91" spans="2:16">
      <c r="B91" s="7">
        <f t="shared" si="2"/>
        <v>2077</v>
      </c>
      <c r="C91" s="601">
        <f>Activity!$C90*Activity!$D90*Activity!E90</f>
        <v>0</v>
      </c>
      <c r="D91" s="602">
        <f>Activity!$C90*Activity!$D90*Activity!F90</f>
        <v>0</v>
      </c>
      <c r="E91" s="600">
        <f>Activity!$C90*Activity!$D90*Activity!G90</f>
        <v>0</v>
      </c>
      <c r="F91" s="602">
        <f>Activity!$C90*Activity!$D90*Activity!H90</f>
        <v>0</v>
      </c>
      <c r="G91" s="602">
        <f>Activity!$C90*Activity!$D90*Activity!I90</f>
        <v>0</v>
      </c>
      <c r="H91" s="602">
        <f>Activity!$C90*Activity!$D90*Activity!J90</f>
        <v>0</v>
      </c>
      <c r="I91" s="602">
        <f>Activity!$C90*Activity!$D90*Activity!K90</f>
        <v>0</v>
      </c>
      <c r="J91" s="603">
        <f>Activity!$C90*Activity!$D90*Activity!L90</f>
        <v>0</v>
      </c>
      <c r="K91" s="602">
        <f>Activity!$C90*Activity!$D90*Activity!M90</f>
        <v>0</v>
      </c>
      <c r="L91" s="602">
        <f>Activity!$C90*Activity!$D90*Activity!N90</f>
        <v>0</v>
      </c>
      <c r="M91" s="600">
        <f>Activity!$C90*Activity!$D90*Activity!O90</f>
        <v>0</v>
      </c>
      <c r="N91" s="448">
        <v>0</v>
      </c>
      <c r="O91" s="602">
        <f>Activity!C90*Activity!D90</f>
        <v>0</v>
      </c>
      <c r="P91" s="609">
        <f>Activity!X90</f>
        <v>0</v>
      </c>
    </row>
    <row r="92" spans="2:16">
      <c r="B92" s="7">
        <f t="shared" si="2"/>
        <v>2078</v>
      </c>
      <c r="C92" s="601">
        <f>Activity!$C91*Activity!$D91*Activity!E91</f>
        <v>0</v>
      </c>
      <c r="D92" s="602">
        <f>Activity!$C91*Activity!$D91*Activity!F91</f>
        <v>0</v>
      </c>
      <c r="E92" s="600">
        <f>Activity!$C91*Activity!$D91*Activity!G91</f>
        <v>0</v>
      </c>
      <c r="F92" s="602">
        <f>Activity!$C91*Activity!$D91*Activity!H91</f>
        <v>0</v>
      </c>
      <c r="G92" s="602">
        <f>Activity!$C91*Activity!$D91*Activity!I91</f>
        <v>0</v>
      </c>
      <c r="H92" s="602">
        <f>Activity!$C91*Activity!$D91*Activity!J91</f>
        <v>0</v>
      </c>
      <c r="I92" s="602">
        <f>Activity!$C91*Activity!$D91*Activity!K91</f>
        <v>0</v>
      </c>
      <c r="J92" s="603">
        <f>Activity!$C91*Activity!$D91*Activity!L91</f>
        <v>0</v>
      </c>
      <c r="K92" s="602">
        <f>Activity!$C91*Activity!$D91*Activity!M91</f>
        <v>0</v>
      </c>
      <c r="L92" s="602">
        <f>Activity!$C91*Activity!$D91*Activity!N91</f>
        <v>0</v>
      </c>
      <c r="M92" s="600">
        <f>Activity!$C91*Activity!$D91*Activity!O91</f>
        <v>0</v>
      </c>
      <c r="N92" s="448">
        <v>0</v>
      </c>
      <c r="O92" s="602">
        <f>Activity!C91*Activity!D91</f>
        <v>0</v>
      </c>
      <c r="P92" s="609">
        <f>Activity!X91</f>
        <v>0</v>
      </c>
    </row>
    <row r="93" spans="2:16">
      <c r="B93" s="7">
        <f t="shared" si="2"/>
        <v>2079</v>
      </c>
      <c r="C93" s="601">
        <f>Activity!$C92*Activity!$D92*Activity!E92</f>
        <v>0</v>
      </c>
      <c r="D93" s="602">
        <f>Activity!$C92*Activity!$D92*Activity!F92</f>
        <v>0</v>
      </c>
      <c r="E93" s="600">
        <f>Activity!$C92*Activity!$D92*Activity!G92</f>
        <v>0</v>
      </c>
      <c r="F93" s="602">
        <f>Activity!$C92*Activity!$D92*Activity!H92</f>
        <v>0</v>
      </c>
      <c r="G93" s="602">
        <f>Activity!$C92*Activity!$D92*Activity!I92</f>
        <v>0</v>
      </c>
      <c r="H93" s="602">
        <f>Activity!$C92*Activity!$D92*Activity!J92</f>
        <v>0</v>
      </c>
      <c r="I93" s="602">
        <f>Activity!$C92*Activity!$D92*Activity!K92</f>
        <v>0</v>
      </c>
      <c r="J93" s="603">
        <f>Activity!$C92*Activity!$D92*Activity!L92</f>
        <v>0</v>
      </c>
      <c r="K93" s="602">
        <f>Activity!$C92*Activity!$D92*Activity!M92</f>
        <v>0</v>
      </c>
      <c r="L93" s="602">
        <f>Activity!$C92*Activity!$D92*Activity!N92</f>
        <v>0</v>
      </c>
      <c r="M93" s="600">
        <f>Activity!$C92*Activity!$D92*Activity!O92</f>
        <v>0</v>
      </c>
      <c r="N93" s="448">
        <v>0</v>
      </c>
      <c r="O93" s="602">
        <f>Activity!C92*Activity!D92</f>
        <v>0</v>
      </c>
      <c r="P93" s="609">
        <f>Activity!X92</f>
        <v>0</v>
      </c>
    </row>
    <row r="94" spans="2:16" ht="13.5" thickBot="1">
      <c r="B94" s="18">
        <f t="shared" si="2"/>
        <v>2080</v>
      </c>
      <c r="C94" s="604">
        <f>Activity!$C93*Activity!$D93*Activity!E93</f>
        <v>0</v>
      </c>
      <c r="D94" s="605">
        <f>Activity!$C93*Activity!$D93*Activity!F93</f>
        <v>0</v>
      </c>
      <c r="E94" s="605">
        <f>Activity!$C93*Activity!$D93*Activity!G93</f>
        <v>0</v>
      </c>
      <c r="F94" s="605">
        <f>Activity!$C93*Activity!$D93*Activity!H93</f>
        <v>0</v>
      </c>
      <c r="G94" s="605">
        <f>Activity!$C93*Activity!$D93*Activity!I93</f>
        <v>0</v>
      </c>
      <c r="H94" s="605">
        <f>Activity!$C93*Activity!$D93*Activity!J93</f>
        <v>0</v>
      </c>
      <c r="I94" s="605">
        <f>Activity!$C93*Activity!$D93*Activity!K93</f>
        <v>0</v>
      </c>
      <c r="J94" s="606">
        <f>Activity!$C93*Activity!$D93*Activity!L93</f>
        <v>0</v>
      </c>
      <c r="K94" s="605">
        <f>Activity!$C93*Activity!$D93*Activity!M93</f>
        <v>0</v>
      </c>
      <c r="L94" s="605">
        <f>Activity!$C93*Activity!$D93*Activity!N93</f>
        <v>0</v>
      </c>
      <c r="M94" s="605">
        <f>Activity!$C93*Activity!$D93*Activity!O93</f>
        <v>0</v>
      </c>
      <c r="N94" s="449">
        <v>0</v>
      </c>
      <c r="O94" s="605">
        <f>Activity!C93*Activity!D93</f>
        <v>0</v>
      </c>
      <c r="P94" s="6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D13"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42" customWidth="1"/>
    <col min="2" max="2" width="11.7109375" style="342" customWidth="1"/>
    <col min="3" max="3" width="12.7109375" style="342" customWidth="1"/>
    <col min="4" max="4" width="31.28515625" style="342" customWidth="1"/>
    <col min="5" max="5" width="10.42578125" style="344" customWidth="1"/>
    <col min="6" max="6" width="10.28515625" style="342" customWidth="1"/>
    <col min="7" max="7" width="38" style="342" customWidth="1"/>
    <col min="8" max="16384" width="8.85546875" style="342"/>
  </cols>
  <sheetData>
    <row r="2" spans="1:7" ht="15.75">
      <c r="C2" s="66" t="s">
        <v>197</v>
      </c>
      <c r="D2" s="66"/>
      <c r="E2" s="343"/>
    </row>
    <row r="4" spans="1:7">
      <c r="C4" s="342" t="s">
        <v>110</v>
      </c>
    </row>
    <row r="5" spans="1:7">
      <c r="C5" s="342" t="s">
        <v>111</v>
      </c>
    </row>
    <row r="6" spans="1:7" ht="13.5" thickBot="1"/>
    <row r="7" spans="1:7" ht="51.75" thickBot="1">
      <c r="A7" s="345"/>
      <c r="B7" s="346"/>
      <c r="C7" s="347" t="s">
        <v>108</v>
      </c>
      <c r="D7" s="348" t="s">
        <v>28</v>
      </c>
      <c r="E7" s="349" t="s">
        <v>203</v>
      </c>
      <c r="F7" s="350" t="s">
        <v>198</v>
      </c>
      <c r="G7" s="351" t="s">
        <v>199</v>
      </c>
    </row>
    <row r="8" spans="1:7" ht="13.5" thickBot="1">
      <c r="A8" s="352"/>
      <c r="B8" s="353"/>
      <c r="C8" s="354"/>
      <c r="D8" s="355"/>
      <c r="E8" s="356"/>
      <c r="F8" s="357"/>
      <c r="G8" s="358"/>
    </row>
    <row r="9" spans="1:7" ht="13.5" thickBot="1">
      <c r="A9" s="352"/>
      <c r="B9" s="359" t="s">
        <v>25</v>
      </c>
      <c r="C9" s="360">
        <v>0</v>
      </c>
      <c r="D9" s="361"/>
      <c r="E9" s="362"/>
      <c r="F9" s="363">
        <v>0</v>
      </c>
      <c r="G9" s="364"/>
    </row>
    <row r="10" spans="1:7">
      <c r="A10" s="352"/>
      <c r="B10" s="353"/>
      <c r="C10" s="354"/>
      <c r="D10" s="365"/>
      <c r="E10" s="366"/>
      <c r="F10" s="367"/>
      <c r="G10" s="368"/>
    </row>
    <row r="11" spans="1:7" ht="13.5" thickBot="1">
      <c r="A11" s="352"/>
      <c r="B11" s="75" t="s">
        <v>1</v>
      </c>
      <c r="C11" s="369" t="s">
        <v>15</v>
      </c>
      <c r="D11" s="370"/>
      <c r="E11" s="371"/>
      <c r="F11" s="372" t="s">
        <v>200</v>
      </c>
      <c r="G11" s="373"/>
    </row>
    <row r="12" spans="1:7">
      <c r="B12" s="374">
        <f>year</f>
        <v>2000</v>
      </c>
      <c r="C12" s="272">
        <v>0</v>
      </c>
      <c r="D12" s="59"/>
      <c r="E12" s="375">
        <f>IF(Results!L17&lt;=0,0,C12/Results!L17)</f>
        <v>0</v>
      </c>
      <c r="F12" s="376">
        <f t="shared" ref="F12:F43" si="0">ox</f>
        <v>0</v>
      </c>
      <c r="G12" s="377"/>
    </row>
    <row r="13" spans="1:7">
      <c r="B13" s="378">
        <f t="shared" ref="B13:B76" si="1">B12+1</f>
        <v>2001</v>
      </c>
      <c r="C13" s="273">
        <v>0</v>
      </c>
      <c r="D13" s="291"/>
      <c r="E13" s="375">
        <f>IF(Results!L18&lt;=0,0,C13/Results!L18)</f>
        <v>0</v>
      </c>
      <c r="F13" s="376">
        <f t="shared" si="0"/>
        <v>0</v>
      </c>
      <c r="G13" s="379"/>
    </row>
    <row r="14" spans="1:7">
      <c r="B14" s="378">
        <f t="shared" si="1"/>
        <v>2002</v>
      </c>
      <c r="C14" s="273">
        <v>0</v>
      </c>
      <c r="D14" s="291"/>
      <c r="E14" s="375">
        <f>IF(Results!L19&lt;=0,0,C14/Results!L19)</f>
        <v>0</v>
      </c>
      <c r="F14" s="376">
        <f t="shared" si="0"/>
        <v>0</v>
      </c>
      <c r="G14" s="379"/>
    </row>
    <row r="15" spans="1:7">
      <c r="B15" s="378">
        <f t="shared" si="1"/>
        <v>2003</v>
      </c>
      <c r="C15" s="273">
        <v>0</v>
      </c>
      <c r="D15" s="291"/>
      <c r="E15" s="375">
        <f>IF(Results!L20&lt;=0,0,C15/Results!L20)</f>
        <v>0</v>
      </c>
      <c r="F15" s="376">
        <f t="shared" si="0"/>
        <v>0</v>
      </c>
      <c r="G15" s="379"/>
    </row>
    <row r="16" spans="1:7">
      <c r="B16" s="378">
        <f t="shared" si="1"/>
        <v>2004</v>
      </c>
      <c r="C16" s="273">
        <v>0</v>
      </c>
      <c r="D16" s="291"/>
      <c r="E16" s="375">
        <f>IF(Results!L21&lt;=0,0,C16/Results!L21)</f>
        <v>0</v>
      </c>
      <c r="F16" s="376">
        <f t="shared" si="0"/>
        <v>0</v>
      </c>
      <c r="G16" s="379"/>
    </row>
    <row r="17" spans="2:7">
      <c r="B17" s="378">
        <f t="shared" si="1"/>
        <v>2005</v>
      </c>
      <c r="C17" s="273">
        <v>0</v>
      </c>
      <c r="D17" s="291"/>
      <c r="E17" s="375">
        <f>IF(Results!L22&lt;=0,0,C17/Results!L22)</f>
        <v>0</v>
      </c>
      <c r="F17" s="376">
        <f t="shared" si="0"/>
        <v>0</v>
      </c>
      <c r="G17" s="379"/>
    </row>
    <row r="18" spans="2:7">
      <c r="B18" s="378">
        <f t="shared" si="1"/>
        <v>2006</v>
      </c>
      <c r="C18" s="273">
        <v>0</v>
      </c>
      <c r="D18" s="291"/>
      <c r="E18" s="375">
        <f>IF(Results!L23&lt;=0,0,C18/Results!L23)</f>
        <v>0</v>
      </c>
      <c r="F18" s="376">
        <f t="shared" si="0"/>
        <v>0</v>
      </c>
      <c r="G18" s="379"/>
    </row>
    <row r="19" spans="2:7">
      <c r="B19" s="378">
        <f t="shared" si="1"/>
        <v>2007</v>
      </c>
      <c r="C19" s="273">
        <v>0</v>
      </c>
      <c r="D19" s="291"/>
      <c r="E19" s="375">
        <f>IF(Results!L24&lt;=0,0,C19/Results!L24)</f>
        <v>0</v>
      </c>
      <c r="F19" s="376">
        <f t="shared" si="0"/>
        <v>0</v>
      </c>
      <c r="G19" s="379"/>
    </row>
    <row r="20" spans="2:7">
      <c r="B20" s="378">
        <f t="shared" si="1"/>
        <v>2008</v>
      </c>
      <c r="C20" s="273">
        <v>0</v>
      </c>
      <c r="D20" s="291"/>
      <c r="E20" s="375">
        <f>IF(Results!L25&lt;=0,0,C20/Results!L25)</f>
        <v>0</v>
      </c>
      <c r="F20" s="376">
        <f t="shared" si="0"/>
        <v>0</v>
      </c>
      <c r="G20" s="379"/>
    </row>
    <row r="21" spans="2:7">
      <c r="B21" s="378">
        <f t="shared" si="1"/>
        <v>2009</v>
      </c>
      <c r="C21" s="273">
        <v>0</v>
      </c>
      <c r="D21" s="291"/>
      <c r="E21" s="375">
        <f>IF(Results!L26&lt;=0,0,C21/Results!L26)</f>
        <v>0</v>
      </c>
      <c r="F21" s="376">
        <f t="shared" si="0"/>
        <v>0</v>
      </c>
      <c r="G21" s="379"/>
    </row>
    <row r="22" spans="2:7">
      <c r="B22" s="378">
        <f t="shared" si="1"/>
        <v>2010</v>
      </c>
      <c r="C22" s="273">
        <v>0</v>
      </c>
      <c r="D22" s="291"/>
      <c r="E22" s="375">
        <f>IF(Results!L27&lt;=0,0,C22/Results!L27)</f>
        <v>0</v>
      </c>
      <c r="F22" s="376">
        <f t="shared" si="0"/>
        <v>0</v>
      </c>
      <c r="G22" s="379"/>
    </row>
    <row r="23" spans="2:7">
      <c r="B23" s="378">
        <f t="shared" si="1"/>
        <v>2011</v>
      </c>
      <c r="C23" s="273">
        <v>0</v>
      </c>
      <c r="D23" s="291"/>
      <c r="E23" s="375">
        <f>IF(Results!L28&lt;=0,0,C23/Results!L28)</f>
        <v>0</v>
      </c>
      <c r="F23" s="376">
        <f t="shared" si="0"/>
        <v>0</v>
      </c>
      <c r="G23" s="379"/>
    </row>
    <row r="24" spans="2:7">
      <c r="B24" s="378">
        <f t="shared" si="1"/>
        <v>2012</v>
      </c>
      <c r="C24" s="273">
        <v>0</v>
      </c>
      <c r="D24" s="291"/>
      <c r="E24" s="375">
        <f>IF(Results!L29&lt;=0,0,C24/Results!L29)</f>
        <v>0</v>
      </c>
      <c r="F24" s="376">
        <f t="shared" si="0"/>
        <v>0</v>
      </c>
      <c r="G24" s="379"/>
    </row>
    <row r="25" spans="2:7">
      <c r="B25" s="378">
        <f t="shared" si="1"/>
        <v>2013</v>
      </c>
      <c r="C25" s="273">
        <v>0</v>
      </c>
      <c r="D25" s="291"/>
      <c r="E25" s="375">
        <f>IF(Results!L30&lt;=0,0,C25/Results!L30)</f>
        <v>0</v>
      </c>
      <c r="F25" s="376">
        <f t="shared" si="0"/>
        <v>0</v>
      </c>
      <c r="G25" s="379"/>
    </row>
    <row r="26" spans="2:7">
      <c r="B26" s="378">
        <f t="shared" si="1"/>
        <v>2014</v>
      </c>
      <c r="C26" s="273">
        <v>0</v>
      </c>
      <c r="D26" s="291"/>
      <c r="E26" s="375">
        <f>IF(Results!L31&lt;=0,0,C26/Results!L31)</f>
        <v>0</v>
      </c>
      <c r="F26" s="376">
        <f t="shared" si="0"/>
        <v>0</v>
      </c>
      <c r="G26" s="379"/>
    </row>
    <row r="27" spans="2:7">
      <c r="B27" s="378">
        <f t="shared" si="1"/>
        <v>2015</v>
      </c>
      <c r="C27" s="273">
        <v>0</v>
      </c>
      <c r="D27" s="291"/>
      <c r="E27" s="375">
        <f>IF(Results!L32&lt;=0,0,C27/Results!L32)</f>
        <v>0</v>
      </c>
      <c r="F27" s="376">
        <f t="shared" si="0"/>
        <v>0</v>
      </c>
      <c r="G27" s="379"/>
    </row>
    <row r="28" spans="2:7">
      <c r="B28" s="378">
        <f t="shared" si="1"/>
        <v>2016</v>
      </c>
      <c r="C28" s="273">
        <v>0</v>
      </c>
      <c r="D28" s="291"/>
      <c r="E28" s="375">
        <f>IF(Results!L33&lt;=0,0,C28/Results!L33)</f>
        <v>0</v>
      </c>
      <c r="F28" s="376">
        <f t="shared" si="0"/>
        <v>0</v>
      </c>
      <c r="G28" s="379"/>
    </row>
    <row r="29" spans="2:7">
      <c r="B29" s="378">
        <f t="shared" si="1"/>
        <v>2017</v>
      </c>
      <c r="C29" s="273">
        <v>0</v>
      </c>
      <c r="D29" s="291"/>
      <c r="E29" s="375">
        <f>IF(Results!L34&lt;=0,0,C29/Results!L34)</f>
        <v>0</v>
      </c>
      <c r="F29" s="376">
        <f t="shared" si="0"/>
        <v>0</v>
      </c>
      <c r="G29" s="379"/>
    </row>
    <row r="30" spans="2:7">
      <c r="B30" s="378">
        <f t="shared" si="1"/>
        <v>2018</v>
      </c>
      <c r="C30" s="273">
        <v>0</v>
      </c>
      <c r="D30" s="291"/>
      <c r="E30" s="375">
        <f>IF(Results!L35&lt;=0,0,C30/Results!L35)</f>
        <v>0</v>
      </c>
      <c r="F30" s="376">
        <f t="shared" si="0"/>
        <v>0</v>
      </c>
      <c r="G30" s="379"/>
    </row>
    <row r="31" spans="2:7">
      <c r="B31" s="378">
        <f t="shared" si="1"/>
        <v>2019</v>
      </c>
      <c r="C31" s="273">
        <v>0</v>
      </c>
      <c r="D31" s="291"/>
      <c r="E31" s="375">
        <f>IF(Results!L36&lt;=0,0,C31/Results!L36)</f>
        <v>0</v>
      </c>
      <c r="F31" s="376">
        <f t="shared" si="0"/>
        <v>0</v>
      </c>
      <c r="G31" s="379"/>
    </row>
    <row r="32" spans="2:7">
      <c r="B32" s="378">
        <f t="shared" si="1"/>
        <v>2020</v>
      </c>
      <c r="C32" s="273">
        <v>0</v>
      </c>
      <c r="D32" s="291"/>
      <c r="E32" s="375">
        <f>IF(Results!L37&lt;=0,0,C32/Results!L37)</f>
        <v>0</v>
      </c>
      <c r="F32" s="376">
        <f t="shared" si="0"/>
        <v>0</v>
      </c>
      <c r="G32" s="379"/>
    </row>
    <row r="33" spans="2:7">
      <c r="B33" s="378">
        <f t="shared" si="1"/>
        <v>2021</v>
      </c>
      <c r="C33" s="273">
        <v>0</v>
      </c>
      <c r="D33" s="291"/>
      <c r="E33" s="375">
        <f>IF(Results!L38&lt;=0,0,C33/Results!L38)</f>
        <v>0</v>
      </c>
      <c r="F33" s="376">
        <f t="shared" si="0"/>
        <v>0</v>
      </c>
      <c r="G33" s="379"/>
    </row>
    <row r="34" spans="2:7">
      <c r="B34" s="378">
        <f t="shared" si="1"/>
        <v>2022</v>
      </c>
      <c r="C34" s="273">
        <v>0</v>
      </c>
      <c r="D34" s="291"/>
      <c r="E34" s="375">
        <f>IF(Results!L39&lt;=0,0,C34/Results!L39)</f>
        <v>0</v>
      </c>
      <c r="F34" s="376">
        <f t="shared" si="0"/>
        <v>0</v>
      </c>
      <c r="G34" s="379"/>
    </row>
    <row r="35" spans="2:7">
      <c r="B35" s="378">
        <f t="shared" si="1"/>
        <v>2023</v>
      </c>
      <c r="C35" s="273">
        <v>0</v>
      </c>
      <c r="D35" s="291"/>
      <c r="E35" s="375">
        <f>IF(Results!L40&lt;=0,0,C35/Results!L40)</f>
        <v>0</v>
      </c>
      <c r="F35" s="376">
        <f t="shared" si="0"/>
        <v>0</v>
      </c>
      <c r="G35" s="379"/>
    </row>
    <row r="36" spans="2:7">
      <c r="B36" s="378">
        <f t="shared" si="1"/>
        <v>2024</v>
      </c>
      <c r="C36" s="273">
        <v>0</v>
      </c>
      <c r="D36" s="291"/>
      <c r="E36" s="375">
        <f>IF(Results!L41&lt;=0,0,C36/Results!L41)</f>
        <v>0</v>
      </c>
      <c r="F36" s="376">
        <f t="shared" si="0"/>
        <v>0</v>
      </c>
      <c r="G36" s="379"/>
    </row>
    <row r="37" spans="2:7">
      <c r="B37" s="378">
        <f t="shared" si="1"/>
        <v>2025</v>
      </c>
      <c r="C37" s="273">
        <v>0</v>
      </c>
      <c r="D37" s="291"/>
      <c r="E37" s="375">
        <f>IF(Results!L42&lt;=0,0,C37/Results!L42)</f>
        <v>0</v>
      </c>
      <c r="F37" s="376">
        <f t="shared" si="0"/>
        <v>0</v>
      </c>
      <c r="G37" s="379"/>
    </row>
    <row r="38" spans="2:7">
      <c r="B38" s="378">
        <f t="shared" si="1"/>
        <v>2026</v>
      </c>
      <c r="C38" s="273">
        <v>0</v>
      </c>
      <c r="D38" s="291"/>
      <c r="E38" s="375">
        <f>IF(Results!L43&lt;=0,0,C38/Results!L43)</f>
        <v>0</v>
      </c>
      <c r="F38" s="376">
        <f t="shared" si="0"/>
        <v>0</v>
      </c>
      <c r="G38" s="379"/>
    </row>
    <row r="39" spans="2:7">
      <c r="B39" s="378">
        <f t="shared" si="1"/>
        <v>2027</v>
      </c>
      <c r="C39" s="273">
        <v>0</v>
      </c>
      <c r="D39" s="291"/>
      <c r="E39" s="375">
        <f>IF(Results!L44&lt;=0,0,C39/Results!L44)</f>
        <v>0</v>
      </c>
      <c r="F39" s="376">
        <f t="shared" si="0"/>
        <v>0</v>
      </c>
      <c r="G39" s="379"/>
    </row>
    <row r="40" spans="2:7">
      <c r="B40" s="378">
        <f t="shared" si="1"/>
        <v>2028</v>
      </c>
      <c r="C40" s="273">
        <v>0</v>
      </c>
      <c r="D40" s="291"/>
      <c r="E40" s="375">
        <f>IF(Results!L45&lt;=0,0,C40/Results!L45)</f>
        <v>0</v>
      </c>
      <c r="F40" s="376">
        <f t="shared" si="0"/>
        <v>0</v>
      </c>
      <c r="G40" s="379"/>
    </row>
    <row r="41" spans="2:7">
      <c r="B41" s="378">
        <f t="shared" si="1"/>
        <v>2029</v>
      </c>
      <c r="C41" s="273">
        <v>0</v>
      </c>
      <c r="D41" s="291"/>
      <c r="E41" s="375">
        <f>IF(Results!L46&lt;=0,0,C41/Results!L46)</f>
        <v>0</v>
      </c>
      <c r="F41" s="376">
        <f t="shared" si="0"/>
        <v>0</v>
      </c>
      <c r="G41" s="379"/>
    </row>
    <row r="42" spans="2:7">
      <c r="B42" s="378">
        <f t="shared" si="1"/>
        <v>2030</v>
      </c>
      <c r="C42" s="273">
        <v>0</v>
      </c>
      <c r="D42" s="291"/>
      <c r="E42" s="375">
        <f>IF(Results!L47&lt;=0,0,C42/Results!L47)</f>
        <v>0</v>
      </c>
      <c r="F42" s="376">
        <f t="shared" si="0"/>
        <v>0</v>
      </c>
      <c r="G42" s="379"/>
    </row>
    <row r="43" spans="2:7">
      <c r="B43" s="378">
        <f t="shared" si="1"/>
        <v>2031</v>
      </c>
      <c r="C43" s="273">
        <v>0</v>
      </c>
      <c r="D43" s="291"/>
      <c r="E43" s="375">
        <f>IF(Results!L48&lt;=0,0,C43/Results!L48)</f>
        <v>0</v>
      </c>
      <c r="F43" s="376">
        <f t="shared" si="0"/>
        <v>0</v>
      </c>
      <c r="G43" s="379"/>
    </row>
    <row r="44" spans="2:7">
      <c r="B44" s="378">
        <f t="shared" si="1"/>
        <v>2032</v>
      </c>
      <c r="C44" s="273">
        <v>0</v>
      </c>
      <c r="D44" s="291"/>
      <c r="E44" s="375">
        <f>IF(Results!L49&lt;=0,0,C44/Results!L49)</f>
        <v>0</v>
      </c>
      <c r="F44" s="376">
        <f t="shared" ref="F44:F75" si="2">ox</f>
        <v>0</v>
      </c>
      <c r="G44" s="379"/>
    </row>
    <row r="45" spans="2:7">
      <c r="B45" s="378">
        <f t="shared" si="1"/>
        <v>2033</v>
      </c>
      <c r="C45" s="273">
        <v>0</v>
      </c>
      <c r="D45" s="291"/>
      <c r="E45" s="375">
        <f>IF(Results!L50&lt;=0,0,C45/Results!L50)</f>
        <v>0</v>
      </c>
      <c r="F45" s="376">
        <f t="shared" si="2"/>
        <v>0</v>
      </c>
      <c r="G45" s="379"/>
    </row>
    <row r="46" spans="2:7">
      <c r="B46" s="378">
        <f t="shared" si="1"/>
        <v>2034</v>
      </c>
      <c r="C46" s="273">
        <v>0</v>
      </c>
      <c r="D46" s="291"/>
      <c r="E46" s="375">
        <f>IF(Results!L51&lt;=0,0,C46/Results!L51)</f>
        <v>0</v>
      </c>
      <c r="F46" s="376">
        <f t="shared" si="2"/>
        <v>0</v>
      </c>
      <c r="G46" s="379"/>
    </row>
    <row r="47" spans="2:7">
      <c r="B47" s="378">
        <f t="shared" si="1"/>
        <v>2035</v>
      </c>
      <c r="C47" s="273">
        <v>0</v>
      </c>
      <c r="D47" s="291"/>
      <c r="E47" s="375">
        <f>IF(Results!L52&lt;=0,0,C47/Results!L52)</f>
        <v>0</v>
      </c>
      <c r="F47" s="376">
        <f t="shared" si="2"/>
        <v>0</v>
      </c>
      <c r="G47" s="379"/>
    </row>
    <row r="48" spans="2:7">
      <c r="B48" s="378">
        <f t="shared" si="1"/>
        <v>2036</v>
      </c>
      <c r="C48" s="273">
        <v>0</v>
      </c>
      <c r="D48" s="291"/>
      <c r="E48" s="375">
        <f>IF(Results!L53&lt;=0,0,C48/Results!L53)</f>
        <v>0</v>
      </c>
      <c r="F48" s="376">
        <f t="shared" si="2"/>
        <v>0</v>
      </c>
      <c r="G48" s="379"/>
    </row>
    <row r="49" spans="2:7">
      <c r="B49" s="378">
        <f t="shared" si="1"/>
        <v>2037</v>
      </c>
      <c r="C49" s="273">
        <v>0</v>
      </c>
      <c r="D49" s="291"/>
      <c r="E49" s="375">
        <f>IF(Results!L54&lt;=0,0,C49/Results!L54)</f>
        <v>0</v>
      </c>
      <c r="F49" s="376">
        <f t="shared" si="2"/>
        <v>0</v>
      </c>
      <c r="G49" s="379"/>
    </row>
    <row r="50" spans="2:7">
      <c r="B50" s="378">
        <f t="shared" si="1"/>
        <v>2038</v>
      </c>
      <c r="C50" s="273">
        <v>0</v>
      </c>
      <c r="D50" s="291"/>
      <c r="E50" s="375">
        <f>IF(Results!L55&lt;=0,0,C50/Results!L55)</f>
        <v>0</v>
      </c>
      <c r="F50" s="376">
        <f t="shared" si="2"/>
        <v>0</v>
      </c>
      <c r="G50" s="379"/>
    </row>
    <row r="51" spans="2:7">
      <c r="B51" s="378">
        <f t="shared" si="1"/>
        <v>2039</v>
      </c>
      <c r="C51" s="273">
        <v>0</v>
      </c>
      <c r="D51" s="291"/>
      <c r="E51" s="375">
        <f>IF(Results!L56&lt;=0,0,C51/Results!L56)</f>
        <v>0</v>
      </c>
      <c r="F51" s="376">
        <f t="shared" si="2"/>
        <v>0</v>
      </c>
      <c r="G51" s="379"/>
    </row>
    <row r="52" spans="2:7">
      <c r="B52" s="378">
        <f t="shared" si="1"/>
        <v>2040</v>
      </c>
      <c r="C52" s="273">
        <v>0</v>
      </c>
      <c r="D52" s="291"/>
      <c r="E52" s="375">
        <f>IF(Results!L57&lt;=0,0,C52/Results!L57)</f>
        <v>0</v>
      </c>
      <c r="F52" s="376">
        <f t="shared" si="2"/>
        <v>0</v>
      </c>
      <c r="G52" s="379"/>
    </row>
    <row r="53" spans="2:7">
      <c r="B53" s="378">
        <f t="shared" si="1"/>
        <v>2041</v>
      </c>
      <c r="C53" s="273">
        <v>0</v>
      </c>
      <c r="D53" s="291"/>
      <c r="E53" s="375">
        <f>IF(Results!L58&lt;=0,0,C53/Results!L58)</f>
        <v>0</v>
      </c>
      <c r="F53" s="376">
        <f t="shared" si="2"/>
        <v>0</v>
      </c>
      <c r="G53" s="379"/>
    </row>
    <row r="54" spans="2:7">
      <c r="B54" s="378">
        <f t="shared" si="1"/>
        <v>2042</v>
      </c>
      <c r="C54" s="273">
        <v>0</v>
      </c>
      <c r="D54" s="291"/>
      <c r="E54" s="375">
        <f>IF(Results!L59&lt;=0,0,C54/Results!L59)</f>
        <v>0</v>
      </c>
      <c r="F54" s="376">
        <f t="shared" si="2"/>
        <v>0</v>
      </c>
      <c r="G54" s="379"/>
    </row>
    <row r="55" spans="2:7">
      <c r="B55" s="378">
        <f t="shared" si="1"/>
        <v>2043</v>
      </c>
      <c r="C55" s="273">
        <v>0</v>
      </c>
      <c r="D55" s="291"/>
      <c r="E55" s="375">
        <f>IF(Results!L60&lt;=0,0,C55/Results!L60)</f>
        <v>0</v>
      </c>
      <c r="F55" s="376">
        <f t="shared" si="2"/>
        <v>0</v>
      </c>
      <c r="G55" s="379"/>
    </row>
    <row r="56" spans="2:7">
      <c r="B56" s="378">
        <f t="shared" si="1"/>
        <v>2044</v>
      </c>
      <c r="C56" s="273">
        <v>0</v>
      </c>
      <c r="D56" s="291"/>
      <c r="E56" s="375">
        <f>IF(Results!L61&lt;=0,0,C56/Results!L61)</f>
        <v>0</v>
      </c>
      <c r="F56" s="376">
        <f t="shared" si="2"/>
        <v>0</v>
      </c>
      <c r="G56" s="379"/>
    </row>
    <row r="57" spans="2:7">
      <c r="B57" s="378">
        <f t="shared" si="1"/>
        <v>2045</v>
      </c>
      <c r="C57" s="273">
        <v>0</v>
      </c>
      <c r="D57" s="291"/>
      <c r="E57" s="375">
        <f>IF(Results!L62&lt;=0,0,C57/Results!L62)</f>
        <v>0</v>
      </c>
      <c r="F57" s="376">
        <f>ox</f>
        <v>0</v>
      </c>
      <c r="G57" s="379"/>
    </row>
    <row r="58" spans="2:7">
      <c r="B58" s="378">
        <f t="shared" si="1"/>
        <v>2046</v>
      </c>
      <c r="C58" s="273">
        <v>0</v>
      </c>
      <c r="D58" s="291"/>
      <c r="E58" s="375">
        <f>IF(Results!L63&lt;=0,0,C58/Results!L63)</f>
        <v>0</v>
      </c>
      <c r="F58" s="376">
        <f t="shared" si="2"/>
        <v>0</v>
      </c>
      <c r="G58" s="379"/>
    </row>
    <row r="59" spans="2:7">
      <c r="B59" s="378">
        <f t="shared" si="1"/>
        <v>2047</v>
      </c>
      <c r="C59" s="273">
        <v>0</v>
      </c>
      <c r="D59" s="291"/>
      <c r="E59" s="375">
        <f>IF(Results!L64&lt;=0,0,C59/Results!L64)</f>
        <v>0</v>
      </c>
      <c r="F59" s="376">
        <f t="shared" si="2"/>
        <v>0</v>
      </c>
      <c r="G59" s="379"/>
    </row>
    <row r="60" spans="2:7">
      <c r="B60" s="378">
        <f t="shared" si="1"/>
        <v>2048</v>
      </c>
      <c r="C60" s="273">
        <v>0</v>
      </c>
      <c r="D60" s="291"/>
      <c r="E60" s="375">
        <f>IF(Results!L65&lt;=0,0,C60/Results!L65)</f>
        <v>0</v>
      </c>
      <c r="F60" s="376">
        <f t="shared" si="2"/>
        <v>0</v>
      </c>
      <c r="G60" s="379"/>
    </row>
    <row r="61" spans="2:7">
      <c r="B61" s="378">
        <f t="shared" si="1"/>
        <v>2049</v>
      </c>
      <c r="C61" s="273">
        <v>0</v>
      </c>
      <c r="D61" s="291"/>
      <c r="E61" s="375">
        <f>IF(Results!L66&lt;=0,0,C61/Results!L66)</f>
        <v>0</v>
      </c>
      <c r="F61" s="376">
        <f>ox</f>
        <v>0</v>
      </c>
      <c r="G61" s="379"/>
    </row>
    <row r="62" spans="2:7">
      <c r="B62" s="378">
        <f t="shared" si="1"/>
        <v>2050</v>
      </c>
      <c r="C62" s="273">
        <v>0</v>
      </c>
      <c r="D62" s="291"/>
      <c r="E62" s="375">
        <f>IF(Results!L67&lt;=0,0,C62/Results!L67)</f>
        <v>0</v>
      </c>
      <c r="F62" s="376">
        <f t="shared" si="2"/>
        <v>0</v>
      </c>
      <c r="G62" s="379"/>
    </row>
    <row r="63" spans="2:7">
      <c r="B63" s="378">
        <f t="shared" si="1"/>
        <v>2051</v>
      </c>
      <c r="C63" s="273">
        <v>0</v>
      </c>
      <c r="D63" s="291"/>
      <c r="E63" s="375">
        <f>IF(Results!L68&lt;=0,0,C63/Results!L68)</f>
        <v>0</v>
      </c>
      <c r="F63" s="376">
        <f t="shared" si="2"/>
        <v>0</v>
      </c>
      <c r="G63" s="379"/>
    </row>
    <row r="64" spans="2:7">
      <c r="B64" s="378">
        <f t="shared" si="1"/>
        <v>2052</v>
      </c>
      <c r="C64" s="273">
        <v>0</v>
      </c>
      <c r="D64" s="291"/>
      <c r="E64" s="375">
        <f>IF(Results!L69&lt;=0,0,C64/Results!L69)</f>
        <v>0</v>
      </c>
      <c r="F64" s="376">
        <f t="shared" si="2"/>
        <v>0</v>
      </c>
      <c r="G64" s="379"/>
    </row>
    <row r="65" spans="2:7">
      <c r="B65" s="378">
        <f t="shared" si="1"/>
        <v>2053</v>
      </c>
      <c r="C65" s="273">
        <v>0</v>
      </c>
      <c r="D65" s="291"/>
      <c r="E65" s="375">
        <f>IF(Results!L70&lt;=0,0,C65/Results!L70)</f>
        <v>0</v>
      </c>
      <c r="F65" s="376">
        <f t="shared" si="2"/>
        <v>0</v>
      </c>
      <c r="G65" s="379"/>
    </row>
    <row r="66" spans="2:7">
      <c r="B66" s="378">
        <f t="shared" si="1"/>
        <v>2054</v>
      </c>
      <c r="C66" s="273">
        <v>0</v>
      </c>
      <c r="D66" s="291"/>
      <c r="E66" s="375">
        <f>IF(Results!L71&lt;=0,0,C66/Results!L71)</f>
        <v>0</v>
      </c>
      <c r="F66" s="376">
        <f t="shared" si="2"/>
        <v>0</v>
      </c>
      <c r="G66" s="379"/>
    </row>
    <row r="67" spans="2:7">
      <c r="B67" s="378">
        <f t="shared" si="1"/>
        <v>2055</v>
      </c>
      <c r="C67" s="273">
        <v>0</v>
      </c>
      <c r="D67" s="291"/>
      <c r="E67" s="375">
        <f>IF(Results!L72&lt;=0,0,C67/Results!L72)</f>
        <v>0</v>
      </c>
      <c r="F67" s="376">
        <f t="shared" si="2"/>
        <v>0</v>
      </c>
      <c r="G67" s="379"/>
    </row>
    <row r="68" spans="2:7">
      <c r="B68" s="378">
        <f t="shared" si="1"/>
        <v>2056</v>
      </c>
      <c r="C68" s="273">
        <v>0</v>
      </c>
      <c r="D68" s="291"/>
      <c r="E68" s="375">
        <f>IF(Results!L73&lt;=0,0,C68/Results!L73)</f>
        <v>0</v>
      </c>
      <c r="F68" s="376">
        <f t="shared" si="2"/>
        <v>0</v>
      </c>
      <c r="G68" s="379"/>
    </row>
    <row r="69" spans="2:7">
      <c r="B69" s="378">
        <f t="shared" si="1"/>
        <v>2057</v>
      </c>
      <c r="C69" s="273">
        <v>0</v>
      </c>
      <c r="D69" s="291"/>
      <c r="E69" s="375">
        <f>IF(Results!L74&lt;=0,0,C69/Results!L74)</f>
        <v>0</v>
      </c>
      <c r="F69" s="376">
        <f t="shared" si="2"/>
        <v>0</v>
      </c>
      <c r="G69" s="379"/>
    </row>
    <row r="70" spans="2:7">
      <c r="B70" s="378">
        <f t="shared" si="1"/>
        <v>2058</v>
      </c>
      <c r="C70" s="273">
        <v>0</v>
      </c>
      <c r="D70" s="291"/>
      <c r="E70" s="375">
        <f>IF(Results!L75&lt;=0,0,C70/Results!L75)</f>
        <v>0</v>
      </c>
      <c r="F70" s="376">
        <f t="shared" si="2"/>
        <v>0</v>
      </c>
      <c r="G70" s="379"/>
    </row>
    <row r="71" spans="2:7">
      <c r="B71" s="378">
        <f t="shared" si="1"/>
        <v>2059</v>
      </c>
      <c r="C71" s="273">
        <v>0</v>
      </c>
      <c r="D71" s="291"/>
      <c r="E71" s="375">
        <f>IF(Results!L76&lt;=0,0,C71/Results!L76)</f>
        <v>0</v>
      </c>
      <c r="F71" s="376">
        <f t="shared" si="2"/>
        <v>0</v>
      </c>
      <c r="G71" s="379"/>
    </row>
    <row r="72" spans="2:7">
      <c r="B72" s="378">
        <f t="shared" si="1"/>
        <v>2060</v>
      </c>
      <c r="C72" s="273">
        <v>0</v>
      </c>
      <c r="D72" s="291"/>
      <c r="E72" s="375">
        <f>IF(Results!L77&lt;=0,0,C72/Results!L77)</f>
        <v>0</v>
      </c>
      <c r="F72" s="376">
        <f t="shared" si="2"/>
        <v>0</v>
      </c>
      <c r="G72" s="379"/>
    </row>
    <row r="73" spans="2:7">
      <c r="B73" s="378">
        <f t="shared" si="1"/>
        <v>2061</v>
      </c>
      <c r="C73" s="273">
        <v>0</v>
      </c>
      <c r="D73" s="291"/>
      <c r="E73" s="375">
        <f>IF(Results!L78&lt;=0,0,C73/Results!L78)</f>
        <v>0</v>
      </c>
      <c r="F73" s="376">
        <f t="shared" si="2"/>
        <v>0</v>
      </c>
      <c r="G73" s="379"/>
    </row>
    <row r="74" spans="2:7">
      <c r="B74" s="378">
        <f t="shared" si="1"/>
        <v>2062</v>
      </c>
      <c r="C74" s="273">
        <v>0</v>
      </c>
      <c r="D74" s="291"/>
      <c r="E74" s="375">
        <f>IF(Results!L79&lt;=0,0,C74/Results!L79)</f>
        <v>0</v>
      </c>
      <c r="F74" s="376">
        <f t="shared" si="2"/>
        <v>0</v>
      </c>
      <c r="G74" s="379"/>
    </row>
    <row r="75" spans="2:7">
      <c r="B75" s="378">
        <f t="shared" si="1"/>
        <v>2063</v>
      </c>
      <c r="C75" s="273">
        <v>0</v>
      </c>
      <c r="D75" s="291"/>
      <c r="E75" s="375">
        <f>IF(Results!L80&lt;=0,0,C75/Results!L80)</f>
        <v>0</v>
      </c>
      <c r="F75" s="376">
        <f t="shared" si="2"/>
        <v>0</v>
      </c>
      <c r="G75" s="379"/>
    </row>
    <row r="76" spans="2:7">
      <c r="B76" s="378">
        <f t="shared" si="1"/>
        <v>2064</v>
      </c>
      <c r="C76" s="273">
        <v>0</v>
      </c>
      <c r="D76" s="291"/>
      <c r="E76" s="375">
        <f>IF(Results!L81&lt;=0,0,C76/Results!L81)</f>
        <v>0</v>
      </c>
      <c r="F76" s="376">
        <f t="shared" ref="F76:F92" si="3">ox</f>
        <v>0</v>
      </c>
      <c r="G76" s="379"/>
    </row>
    <row r="77" spans="2:7">
      <c r="B77" s="378">
        <f t="shared" ref="B77:B92" si="4">B76+1</f>
        <v>2065</v>
      </c>
      <c r="C77" s="273">
        <v>0</v>
      </c>
      <c r="D77" s="291"/>
      <c r="E77" s="375">
        <f>IF(Results!L82&lt;=0,0,C77/Results!L82)</f>
        <v>0</v>
      </c>
      <c r="F77" s="376">
        <f t="shared" si="3"/>
        <v>0</v>
      </c>
      <c r="G77" s="379"/>
    </row>
    <row r="78" spans="2:7">
      <c r="B78" s="378">
        <f t="shared" si="4"/>
        <v>2066</v>
      </c>
      <c r="C78" s="273">
        <v>0</v>
      </c>
      <c r="D78" s="291"/>
      <c r="E78" s="375">
        <f>IF(Results!L83&lt;=0,0,C78/Results!L83)</f>
        <v>0</v>
      </c>
      <c r="F78" s="376">
        <f t="shared" si="3"/>
        <v>0</v>
      </c>
      <c r="G78" s="379"/>
    </row>
    <row r="79" spans="2:7">
      <c r="B79" s="378">
        <f t="shared" si="4"/>
        <v>2067</v>
      </c>
      <c r="C79" s="273">
        <v>0</v>
      </c>
      <c r="D79" s="291"/>
      <c r="E79" s="375">
        <f>IF(Results!L84&lt;=0,0,C79/Results!L84)</f>
        <v>0</v>
      </c>
      <c r="F79" s="376">
        <f t="shared" si="3"/>
        <v>0</v>
      </c>
      <c r="G79" s="379"/>
    </row>
    <row r="80" spans="2:7">
      <c r="B80" s="378">
        <f t="shared" si="4"/>
        <v>2068</v>
      </c>
      <c r="C80" s="273">
        <v>0</v>
      </c>
      <c r="D80" s="291"/>
      <c r="E80" s="375">
        <f>IF(Results!L85&lt;=0,0,C80/Results!L85)</f>
        <v>0</v>
      </c>
      <c r="F80" s="376">
        <f t="shared" si="3"/>
        <v>0</v>
      </c>
      <c r="G80" s="379"/>
    </row>
    <row r="81" spans="2:7">
      <c r="B81" s="378">
        <f t="shared" si="4"/>
        <v>2069</v>
      </c>
      <c r="C81" s="273">
        <v>0</v>
      </c>
      <c r="D81" s="291"/>
      <c r="E81" s="375">
        <f>IF(Results!L86&lt;=0,0,C81/Results!L86)</f>
        <v>0</v>
      </c>
      <c r="F81" s="376">
        <f t="shared" si="3"/>
        <v>0</v>
      </c>
      <c r="G81" s="379"/>
    </row>
    <row r="82" spans="2:7">
      <c r="B82" s="378">
        <f t="shared" si="4"/>
        <v>2070</v>
      </c>
      <c r="C82" s="273">
        <v>0</v>
      </c>
      <c r="D82" s="291"/>
      <c r="E82" s="375">
        <f>IF(Results!L87&lt;=0,0,C82/Results!L87)</f>
        <v>0</v>
      </c>
      <c r="F82" s="376">
        <f t="shared" si="3"/>
        <v>0</v>
      </c>
      <c r="G82" s="379"/>
    </row>
    <row r="83" spans="2:7">
      <c r="B83" s="378">
        <f t="shared" si="4"/>
        <v>2071</v>
      </c>
      <c r="C83" s="273">
        <v>0</v>
      </c>
      <c r="D83" s="291"/>
      <c r="E83" s="375">
        <f>IF(Results!L88&lt;=0,0,C83/Results!L88)</f>
        <v>0</v>
      </c>
      <c r="F83" s="376">
        <f t="shared" si="3"/>
        <v>0</v>
      </c>
      <c r="G83" s="379"/>
    </row>
    <row r="84" spans="2:7">
      <c r="B84" s="378">
        <f t="shared" si="4"/>
        <v>2072</v>
      </c>
      <c r="C84" s="273">
        <v>0</v>
      </c>
      <c r="D84" s="291"/>
      <c r="E84" s="375">
        <f>IF(Results!L89&lt;=0,0,C84/Results!L89)</f>
        <v>0</v>
      </c>
      <c r="F84" s="376">
        <f t="shared" si="3"/>
        <v>0</v>
      </c>
      <c r="G84" s="379"/>
    </row>
    <row r="85" spans="2:7">
      <c r="B85" s="378">
        <f t="shared" si="4"/>
        <v>2073</v>
      </c>
      <c r="C85" s="273">
        <v>0</v>
      </c>
      <c r="D85" s="291"/>
      <c r="E85" s="375">
        <f>IF(Results!L90&lt;=0,0,C85/Results!L90)</f>
        <v>0</v>
      </c>
      <c r="F85" s="376">
        <f t="shared" si="3"/>
        <v>0</v>
      </c>
      <c r="G85" s="379"/>
    </row>
    <row r="86" spans="2:7">
      <c r="B86" s="378">
        <f t="shared" si="4"/>
        <v>2074</v>
      </c>
      <c r="C86" s="273">
        <v>0</v>
      </c>
      <c r="D86" s="291"/>
      <c r="E86" s="375">
        <f>IF(Results!L91&lt;=0,0,C86/Results!L91)</f>
        <v>0</v>
      </c>
      <c r="F86" s="376">
        <f t="shared" si="3"/>
        <v>0</v>
      </c>
      <c r="G86" s="379"/>
    </row>
    <row r="87" spans="2:7">
      <c r="B87" s="378">
        <f t="shared" si="4"/>
        <v>2075</v>
      </c>
      <c r="C87" s="273">
        <v>0</v>
      </c>
      <c r="D87" s="291"/>
      <c r="E87" s="375">
        <f>IF(Results!L92&lt;=0,0,C87/Results!L92)</f>
        <v>0</v>
      </c>
      <c r="F87" s="376">
        <f t="shared" si="3"/>
        <v>0</v>
      </c>
      <c r="G87" s="379"/>
    </row>
    <row r="88" spans="2:7">
      <c r="B88" s="378">
        <f t="shared" si="4"/>
        <v>2076</v>
      </c>
      <c r="C88" s="273">
        <v>0</v>
      </c>
      <c r="D88" s="291"/>
      <c r="E88" s="375">
        <f>IF(Results!L93&lt;=0,0,C88/Results!L93)</f>
        <v>0</v>
      </c>
      <c r="F88" s="376">
        <f t="shared" si="3"/>
        <v>0</v>
      </c>
      <c r="G88" s="379"/>
    </row>
    <row r="89" spans="2:7">
      <c r="B89" s="378">
        <f t="shared" si="4"/>
        <v>2077</v>
      </c>
      <c r="C89" s="273">
        <v>0</v>
      </c>
      <c r="D89" s="291"/>
      <c r="E89" s="375">
        <f>IF(Results!L94&lt;=0,0,C89/Results!L94)</f>
        <v>0</v>
      </c>
      <c r="F89" s="376">
        <f t="shared" si="3"/>
        <v>0</v>
      </c>
      <c r="G89" s="379"/>
    </row>
    <row r="90" spans="2:7">
      <c r="B90" s="378">
        <f t="shared" si="4"/>
        <v>2078</v>
      </c>
      <c r="C90" s="273">
        <v>0</v>
      </c>
      <c r="D90" s="291"/>
      <c r="E90" s="375">
        <f>IF(Results!L95&lt;=0,0,C90/Results!L95)</f>
        <v>0</v>
      </c>
      <c r="F90" s="376">
        <f t="shared" si="3"/>
        <v>0</v>
      </c>
      <c r="G90" s="379"/>
    </row>
    <row r="91" spans="2:7">
      <c r="B91" s="378">
        <f t="shared" si="4"/>
        <v>2079</v>
      </c>
      <c r="C91" s="273">
        <v>0</v>
      </c>
      <c r="D91" s="291"/>
      <c r="E91" s="375">
        <f>IF(Results!L96&lt;=0,0,C91/Results!L96)</f>
        <v>0</v>
      </c>
      <c r="F91" s="376">
        <f t="shared" si="3"/>
        <v>0</v>
      </c>
      <c r="G91" s="379"/>
    </row>
    <row r="92" spans="2:7" ht="13.5" thickBot="1">
      <c r="B92" s="380">
        <f t="shared" si="4"/>
        <v>2080</v>
      </c>
      <c r="C92" s="321">
        <v>0</v>
      </c>
      <c r="D92" s="292"/>
      <c r="E92" s="381">
        <f>IF(Results!L97&lt;=0,0,C92/Results!L97)</f>
        <v>0</v>
      </c>
      <c r="F92" s="382">
        <f t="shared" si="3"/>
        <v>0</v>
      </c>
      <c r="G92" s="383"/>
    </row>
    <row r="93" spans="2:7">
      <c r="F93" s="67"/>
    </row>
    <row r="94" spans="2:7">
      <c r="F94" s="67"/>
    </row>
    <row r="95" spans="2:7">
      <c r="F95" s="67"/>
    </row>
    <row r="96" spans="2:7">
      <c r="F96" s="67"/>
    </row>
    <row r="97" spans="6:6">
      <c r="F97" s="67"/>
    </row>
    <row r="98" spans="6:6">
      <c r="F98" s="67"/>
    </row>
    <row r="99" spans="6:6">
      <c r="F99" s="67"/>
    </row>
    <row r="100" spans="6:6">
      <c r="F100" s="67"/>
    </row>
    <row r="101" spans="6:6">
      <c r="F101" s="67"/>
    </row>
    <row r="102" spans="6:6">
      <c r="F102" s="67"/>
    </row>
    <row r="103" spans="6:6">
      <c r="F103" s="67"/>
    </row>
    <row r="104" spans="6:6">
      <c r="F104" s="67"/>
    </row>
    <row r="105" spans="6:6">
      <c r="F105" s="67"/>
    </row>
    <row r="106" spans="6:6">
      <c r="F106" s="67"/>
    </row>
    <row r="107" spans="6:6">
      <c r="F107" s="67"/>
    </row>
    <row r="108" spans="6:6">
      <c r="F108" s="67"/>
    </row>
    <row r="109" spans="6:6">
      <c r="F109" s="67"/>
    </row>
    <row r="110" spans="6:6">
      <c r="F110" s="67"/>
    </row>
    <row r="111" spans="6:6">
      <c r="F111" s="67"/>
    </row>
    <row r="112" spans="6:6">
      <c r="F112" s="67"/>
    </row>
    <row r="113" spans="6:6">
      <c r="F113" s="67"/>
    </row>
    <row r="114" spans="6:6">
      <c r="F114" s="67"/>
    </row>
    <row r="115" spans="6:6">
      <c r="F115" s="67"/>
    </row>
    <row r="116" spans="6:6">
      <c r="F116" s="67"/>
    </row>
    <row r="117" spans="6:6">
      <c r="F117" s="6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9" zoomScale="70" zoomScaleNormal="70" workbookViewId="0">
      <selection activeCell="O17" sqref="O17"/>
    </sheetView>
  </sheetViews>
  <sheetFormatPr defaultColWidth="8.85546875" defaultRowHeight="12.75"/>
  <cols>
    <col min="1" max="1" width="8.85546875" style="695"/>
    <col min="2" max="2" width="7" style="691" customWidth="1"/>
    <col min="3" max="3" width="8.85546875" style="691"/>
    <col min="4" max="4" width="13" style="691" bestFit="1" customWidth="1"/>
    <col min="5" max="5" width="12" style="691" customWidth="1"/>
    <col min="6" max="6" width="9.140625" style="691" bestFit="1" customWidth="1"/>
    <col min="7" max="10" width="8.85546875" style="691"/>
    <col min="11" max="11" width="11.42578125" style="691" bestFit="1" customWidth="1"/>
    <col min="12" max="12" width="8.85546875" style="691"/>
    <col min="13" max="13" width="10.7109375" style="691" bestFit="1" customWidth="1"/>
    <col min="14" max="14" width="3" style="691" customWidth="1"/>
    <col min="15" max="15" width="17.140625" style="692" customWidth="1"/>
    <col min="16" max="16" width="4.7109375" style="691" customWidth="1"/>
    <col min="17" max="17" width="2" style="694" customWidth="1"/>
    <col min="18" max="20" width="8.85546875" style="695"/>
    <col min="21" max="21" width="10.7109375" style="695" customWidth="1"/>
    <col min="22" max="27" width="8.85546875" style="695"/>
    <col min="28" max="28" width="8.85546875" style="691"/>
    <col min="29" max="30" width="8.85546875" style="695"/>
    <col min="31" max="31" width="2.7109375" style="695" customWidth="1"/>
    <col min="32" max="32" width="11.7109375" style="695" bestFit="1" customWidth="1"/>
    <col min="33" max="16384" width="8.85546875" style="695"/>
  </cols>
  <sheetData>
    <row r="1" spans="1:32">
      <c r="A1" s="690"/>
      <c r="P1" s="693"/>
    </row>
    <row r="2" spans="1:32">
      <c r="A2" s="690"/>
      <c r="B2" s="696" t="s">
        <v>94</v>
      </c>
      <c r="D2" s="696"/>
      <c r="E2" s="696"/>
    </row>
    <row r="3" spans="1:32">
      <c r="A3" s="690"/>
      <c r="B3" s="696"/>
      <c r="D3" s="696"/>
      <c r="E3" s="696"/>
      <c r="I3" s="696"/>
      <c r="J3" s="697"/>
      <c r="K3" s="697"/>
      <c r="L3" s="697"/>
      <c r="M3" s="697"/>
      <c r="N3" s="697"/>
      <c r="O3" s="698"/>
      <c r="AB3" s="697"/>
    </row>
    <row r="4" spans="1:32" ht="13.5" thickBot="1">
      <c r="A4" s="690"/>
      <c r="B4" s="696" t="s">
        <v>265</v>
      </c>
      <c r="D4" s="696"/>
      <c r="E4" s="696" t="s">
        <v>276</v>
      </c>
      <c r="H4" s="696" t="s">
        <v>30</v>
      </c>
      <c r="I4" s="696"/>
      <c r="J4" s="697"/>
      <c r="K4" s="697"/>
      <c r="L4" s="697"/>
      <c r="M4" s="697"/>
      <c r="N4" s="697"/>
      <c r="O4" s="698"/>
      <c r="AB4" s="697"/>
    </row>
    <row r="5" spans="1:32" ht="13.5" thickBot="1">
      <c r="A5" s="690"/>
      <c r="B5" s="699" t="str">
        <f>city</f>
        <v>SAMARINDA</v>
      </c>
      <c r="C5" s="700"/>
      <c r="D5" s="700"/>
      <c r="E5" s="699" t="str">
        <f>province</f>
        <v>Kalimantan Timur</v>
      </c>
      <c r="F5" s="700"/>
      <c r="G5" s="700"/>
      <c r="H5" s="699" t="str">
        <f>country</f>
        <v>Indonesia</v>
      </c>
      <c r="I5" s="700"/>
      <c r="J5" s="701"/>
      <c r="K5" s="697"/>
      <c r="L5" s="697"/>
      <c r="M5" s="697"/>
      <c r="N5" s="697"/>
      <c r="O5" s="698"/>
      <c r="AB5" s="697"/>
    </row>
    <row r="6" spans="1:32">
      <c r="A6" s="690"/>
      <c r="C6" s="696"/>
      <c r="D6" s="696"/>
      <c r="E6" s="696"/>
    </row>
    <row r="7" spans="1:32">
      <c r="A7" s="690"/>
      <c r="B7" s="691" t="s">
        <v>35</v>
      </c>
      <c r="P7" s="693"/>
    </row>
    <row r="8" spans="1:32">
      <c r="A8" s="690"/>
      <c r="B8" s="691" t="s">
        <v>37</v>
      </c>
      <c r="P8" s="693"/>
    </row>
    <row r="9" spans="1:32">
      <c r="B9" s="702"/>
      <c r="P9" s="693"/>
    </row>
    <row r="10" spans="1:32">
      <c r="P10" s="703"/>
    </row>
    <row r="11" spans="1:32" ht="13.5" thickBot="1">
      <c r="A11" s="704"/>
      <c r="P11" s="704"/>
      <c r="Q11" s="705"/>
    </row>
    <row r="12" spans="1:32" ht="13.5" thickBot="1">
      <c r="A12" s="706"/>
      <c r="B12" s="707"/>
      <c r="C12" s="813" t="s">
        <v>91</v>
      </c>
      <c r="D12" s="814"/>
      <c r="E12" s="814"/>
      <c r="F12" s="814"/>
      <c r="G12" s="814"/>
      <c r="H12" s="814"/>
      <c r="I12" s="814"/>
      <c r="J12" s="814"/>
      <c r="K12" s="814"/>
      <c r="L12" s="814"/>
      <c r="M12" s="815"/>
      <c r="N12" s="708"/>
      <c r="O12" s="709"/>
      <c r="P12" s="706"/>
      <c r="Q12" s="705"/>
      <c r="S12" s="707"/>
      <c r="T12" s="813" t="s">
        <v>91</v>
      </c>
      <c r="U12" s="814"/>
      <c r="V12" s="814"/>
      <c r="W12" s="814"/>
      <c r="X12" s="814"/>
      <c r="Y12" s="814"/>
      <c r="Z12" s="814"/>
      <c r="AA12" s="814"/>
      <c r="AB12" s="814"/>
      <c r="AC12" s="814"/>
      <c r="AD12" s="815"/>
      <c r="AE12" s="708"/>
      <c r="AF12" s="710"/>
    </row>
    <row r="13" spans="1:32" ht="39" thickBot="1">
      <c r="A13" s="706"/>
      <c r="B13" s="405" t="s">
        <v>1</v>
      </c>
      <c r="C13" s="406" t="s">
        <v>228</v>
      </c>
      <c r="D13" s="407" t="s">
        <v>268</v>
      </c>
      <c r="E13" s="407" t="s">
        <v>267</v>
      </c>
      <c r="F13" s="407" t="s">
        <v>272</v>
      </c>
      <c r="G13" s="407" t="s">
        <v>2</v>
      </c>
      <c r="H13" s="407" t="s">
        <v>3</v>
      </c>
      <c r="I13" s="408" t="s">
        <v>146</v>
      </c>
      <c r="J13" s="408" t="s">
        <v>95</v>
      </c>
      <c r="K13" s="408" t="s">
        <v>308</v>
      </c>
      <c r="L13" s="409" t="s">
        <v>27</v>
      </c>
      <c r="M13" s="408" t="s">
        <v>5</v>
      </c>
      <c r="N13" s="410"/>
      <c r="O13" s="636" t="s">
        <v>4</v>
      </c>
      <c r="P13" s="706"/>
      <c r="Q13" s="705"/>
      <c r="S13" s="405" t="s">
        <v>1</v>
      </c>
      <c r="T13" s="406" t="s">
        <v>228</v>
      </c>
      <c r="U13" s="407" t="s">
        <v>268</v>
      </c>
      <c r="V13" s="407" t="s">
        <v>267</v>
      </c>
      <c r="W13" s="407" t="s">
        <v>272</v>
      </c>
      <c r="X13" s="407" t="s">
        <v>2</v>
      </c>
      <c r="Y13" s="407" t="s">
        <v>3</v>
      </c>
      <c r="Z13" s="408" t="s">
        <v>146</v>
      </c>
      <c r="AA13" s="408" t="s">
        <v>95</v>
      </c>
      <c r="AB13" s="408" t="s">
        <v>308</v>
      </c>
      <c r="AC13" s="409" t="s">
        <v>27</v>
      </c>
      <c r="AD13" s="408" t="s">
        <v>5</v>
      </c>
      <c r="AE13" s="410"/>
      <c r="AF13" s="411" t="s">
        <v>4</v>
      </c>
    </row>
    <row r="14" spans="1:32" ht="26.25" thickBot="1">
      <c r="A14" s="706"/>
      <c r="B14" s="711"/>
      <c r="C14" s="712" t="s">
        <v>81</v>
      </c>
      <c r="D14" s="713" t="s">
        <v>87</v>
      </c>
      <c r="E14" s="713" t="s">
        <v>88</v>
      </c>
      <c r="F14" s="713" t="s">
        <v>275</v>
      </c>
      <c r="G14" s="713" t="s">
        <v>89</v>
      </c>
      <c r="H14" s="713" t="s">
        <v>82</v>
      </c>
      <c r="I14" s="714" t="s">
        <v>92</v>
      </c>
      <c r="J14" s="715" t="s">
        <v>93</v>
      </c>
      <c r="K14" s="715" t="s">
        <v>316</v>
      </c>
      <c r="L14" s="716" t="s">
        <v>194</v>
      </c>
      <c r="M14" s="715" t="s">
        <v>162</v>
      </c>
      <c r="N14" s="717"/>
      <c r="O14" s="718" t="s">
        <v>163</v>
      </c>
      <c r="P14" s="706"/>
      <c r="Q14" s="705"/>
      <c r="S14" s="711"/>
      <c r="T14" s="712" t="s">
        <v>81</v>
      </c>
      <c r="U14" s="713" t="s">
        <v>87</v>
      </c>
      <c r="V14" s="713" t="s">
        <v>88</v>
      </c>
      <c r="W14" s="713" t="s">
        <v>275</v>
      </c>
      <c r="X14" s="713" t="s">
        <v>89</v>
      </c>
      <c r="Y14" s="713" t="s">
        <v>82</v>
      </c>
      <c r="Z14" s="714" t="s">
        <v>92</v>
      </c>
      <c r="AA14" s="715" t="s">
        <v>93</v>
      </c>
      <c r="AB14" s="715" t="s">
        <v>316</v>
      </c>
      <c r="AC14" s="716" t="s">
        <v>194</v>
      </c>
      <c r="AD14" s="715" t="s">
        <v>162</v>
      </c>
      <c r="AE14" s="717"/>
      <c r="AF14" s="719" t="s">
        <v>163</v>
      </c>
    </row>
    <row r="15" spans="1:32" ht="13.5" thickBot="1">
      <c r="B15" s="720"/>
      <c r="C15" s="721" t="s">
        <v>15</v>
      </c>
      <c r="D15" s="722" t="s">
        <v>15</v>
      </c>
      <c r="E15" s="722" t="s">
        <v>15</v>
      </c>
      <c r="F15" s="722" t="s">
        <v>15</v>
      </c>
      <c r="G15" s="722" t="s">
        <v>15</v>
      </c>
      <c r="H15" s="722" t="s">
        <v>15</v>
      </c>
      <c r="I15" s="723" t="s">
        <v>15</v>
      </c>
      <c r="J15" s="723" t="s">
        <v>15</v>
      </c>
      <c r="K15" s="723" t="s">
        <v>15</v>
      </c>
      <c r="L15" s="724" t="s">
        <v>15</v>
      </c>
      <c r="M15" s="723" t="s">
        <v>15</v>
      </c>
      <c r="N15" s="717"/>
      <c r="O15" s="718" t="s">
        <v>15</v>
      </c>
      <c r="P15" s="695"/>
      <c r="Q15" s="705"/>
      <c r="S15" s="720"/>
      <c r="T15" s="721" t="s">
        <v>15</v>
      </c>
      <c r="U15" s="722" t="s">
        <v>15</v>
      </c>
      <c r="V15" s="722" t="s">
        <v>15</v>
      </c>
      <c r="W15" s="722" t="s">
        <v>15</v>
      </c>
      <c r="X15" s="722" t="s">
        <v>15</v>
      </c>
      <c r="Y15" s="722" t="s">
        <v>15</v>
      </c>
      <c r="Z15" s="723" t="s">
        <v>15</v>
      </c>
      <c r="AA15" s="723" t="s">
        <v>15</v>
      </c>
      <c r="AB15" s="723" t="s">
        <v>15</v>
      </c>
      <c r="AC15" s="724" t="s">
        <v>15</v>
      </c>
      <c r="AD15" s="723" t="s">
        <v>15</v>
      </c>
      <c r="AE15" s="717"/>
      <c r="AF15" s="719" t="s">
        <v>15</v>
      </c>
    </row>
    <row r="16" spans="1:32" ht="13.5" thickBot="1">
      <c r="B16" s="725"/>
      <c r="C16" s="726"/>
      <c r="D16" s="727"/>
      <c r="E16" s="727"/>
      <c r="F16" s="727"/>
      <c r="G16" s="727"/>
      <c r="H16" s="727"/>
      <c r="I16" s="728"/>
      <c r="J16" s="728"/>
      <c r="K16" s="729"/>
      <c r="L16" s="730"/>
      <c r="M16" s="729"/>
      <c r="N16" s="731"/>
      <c r="O16" s="732"/>
      <c r="P16" s="695"/>
      <c r="Q16" s="705"/>
      <c r="S16" s="725"/>
      <c r="T16" s="726"/>
      <c r="U16" s="727"/>
      <c r="V16" s="727"/>
      <c r="W16" s="727"/>
      <c r="X16" s="727"/>
      <c r="Y16" s="727"/>
      <c r="Z16" s="728"/>
      <c r="AA16" s="728"/>
      <c r="AB16" s="729"/>
      <c r="AC16" s="730"/>
      <c r="AD16" s="729"/>
      <c r="AE16" s="731"/>
      <c r="AF16" s="733"/>
    </row>
    <row r="17" spans="2:32">
      <c r="B17" s="734">
        <f>year</f>
        <v>2000</v>
      </c>
      <c r="C17" s="735">
        <f>IF(Select2=1,Food!$K19,"")</f>
        <v>0</v>
      </c>
      <c r="D17" s="736">
        <f>IF(Select2=1,Paper!$K19,"")</f>
        <v>0</v>
      </c>
      <c r="E17" s="736">
        <f>IF(Select2=1,Nappies!$K19,"")</f>
        <v>0</v>
      </c>
      <c r="F17" s="736">
        <f>IF(Select2=1,Garden!$K19,"")</f>
        <v>0</v>
      </c>
      <c r="G17" s="736">
        <f>IF(Select2=1,Wood!$K19,"")</f>
        <v>0</v>
      </c>
      <c r="H17" s="736">
        <f>IF(Select2=1,Textiles!$K19,"")</f>
        <v>0</v>
      </c>
      <c r="I17" s="737">
        <f>Sludge!K19</f>
        <v>0</v>
      </c>
      <c r="J17" s="738" t="str">
        <f>IF(Select2=2,MSW!$K19,"")</f>
        <v/>
      </c>
      <c r="K17" s="737">
        <f>Industry!$K19</f>
        <v>0</v>
      </c>
      <c r="L17" s="739">
        <f>SUM(C17:K17)</f>
        <v>0</v>
      </c>
      <c r="M17" s="740">
        <f>Recovery_OX!C12</f>
        <v>0</v>
      </c>
      <c r="N17" s="703"/>
      <c r="O17" s="741">
        <f>(L17-M17)*(1-Recovery_OX!F12)</f>
        <v>0</v>
      </c>
      <c r="P17" s="695"/>
      <c r="Q17" s="705"/>
      <c r="S17" s="734">
        <f>year</f>
        <v>2000</v>
      </c>
      <c r="T17" s="735">
        <f>IF(Select2=1,Food!$W19,"")</f>
        <v>0</v>
      </c>
      <c r="U17" s="736">
        <f>IF(Select2=1,Paper!$W19,"")</f>
        <v>0</v>
      </c>
      <c r="V17" s="736">
        <f>IF(Select2=1,Nappies!$W19,"")</f>
        <v>0</v>
      </c>
      <c r="W17" s="736">
        <f>IF(Select2=1,Garden!$W19,"")</f>
        <v>0</v>
      </c>
      <c r="X17" s="736">
        <f>IF(Select2=1,Wood!$W19,"")</f>
        <v>0</v>
      </c>
      <c r="Y17" s="736">
        <f>IF(Select2=1,Textiles!$W19,"")</f>
        <v>0</v>
      </c>
      <c r="Z17" s="737">
        <f>Sludge!W19</f>
        <v>0</v>
      </c>
      <c r="AA17" s="738" t="str">
        <f>IF(Select2=2,MSW!$W19,"")</f>
        <v/>
      </c>
      <c r="AB17" s="737">
        <f>Industry!$W19</f>
        <v>0</v>
      </c>
      <c r="AC17" s="739">
        <f t="shared" ref="AC17:AC48" si="0">SUM(T17:AA17)</f>
        <v>0</v>
      </c>
      <c r="AD17" s="740">
        <f>Recovery_OX!R12</f>
        <v>0</v>
      </c>
      <c r="AE17" s="703"/>
      <c r="AF17" s="742">
        <f>(AC17-AD17)*(1-Recovery_OX!U12)</f>
        <v>0</v>
      </c>
    </row>
    <row r="18" spans="2:32">
      <c r="B18" s="743">
        <f t="shared" ref="B18:B81" si="1">B17+1</f>
        <v>2001</v>
      </c>
      <c r="C18" s="744">
        <f>IF(Select2=1,Food!$K20,"")</f>
        <v>0.4206496416811652</v>
      </c>
      <c r="D18" s="745">
        <f>IF(Select2=1,Paper!$K20,"")</f>
        <v>1.4417321533626371E-2</v>
      </c>
      <c r="E18" s="736">
        <f>IF(Select2=1,Nappies!$K20,"")</f>
        <v>4.5462518159235077E-2</v>
      </c>
      <c r="F18" s="745">
        <f>IF(Select2=1,Garden!$K20,"")</f>
        <v>0</v>
      </c>
      <c r="G18" s="736">
        <f>IF(Select2=1,Wood!$K20,"")</f>
        <v>0</v>
      </c>
      <c r="H18" s="745">
        <f>IF(Select2=1,Textiles!$K20,"")</f>
        <v>1.0280286952318476E-3</v>
      </c>
      <c r="I18" s="746">
        <f>Sludge!K20</f>
        <v>0</v>
      </c>
      <c r="J18" s="746" t="str">
        <f>IF(Select2=2,MSW!$K20,"")</f>
        <v/>
      </c>
      <c r="K18" s="746">
        <f>Industry!$K20</f>
        <v>0</v>
      </c>
      <c r="L18" s="747">
        <f>SUM(C18:K18)</f>
        <v>0.48155751006925845</v>
      </c>
      <c r="M18" s="748">
        <f>Recovery_OX!C13</f>
        <v>0</v>
      </c>
      <c r="N18" s="703"/>
      <c r="O18" s="749">
        <f>(L18-M18)*(1-Recovery_OX!F13)</f>
        <v>0.48155751006925845</v>
      </c>
      <c r="P18" s="695"/>
      <c r="Q18" s="705"/>
      <c r="S18" s="743">
        <f t="shared" ref="S18:S81" si="2">S17+1</f>
        <v>2001</v>
      </c>
      <c r="T18" s="744">
        <f>IF(Select2=1,Food!$W20,"")</f>
        <v>0.28143374777954855</v>
      </c>
      <c r="U18" s="745">
        <f>IF(Select2=1,Paper!$W20,"")</f>
        <v>2.9787854408318951E-2</v>
      </c>
      <c r="V18" s="736">
        <f>IF(Select2=1,Nappies!$W20,"")</f>
        <v>0</v>
      </c>
      <c r="W18" s="745">
        <f>IF(Select2=1,Garden!$W20,"")</f>
        <v>0</v>
      </c>
      <c r="X18" s="736">
        <f>IF(Select2=1,Wood!$W20,"")</f>
        <v>0</v>
      </c>
      <c r="Y18" s="745">
        <f>IF(Select2=1,Textiles!$W20,"")</f>
        <v>1.1266067892951755E-3</v>
      </c>
      <c r="Z18" s="738">
        <f>Sludge!W20</f>
        <v>0</v>
      </c>
      <c r="AA18" s="738" t="str">
        <f>IF(Select2=2,MSW!$W20,"")</f>
        <v/>
      </c>
      <c r="AB18" s="746">
        <f>Industry!$W20</f>
        <v>0</v>
      </c>
      <c r="AC18" s="747">
        <f t="shared" si="0"/>
        <v>0.31234820897716264</v>
      </c>
      <c r="AD18" s="748">
        <f>Recovery_OX!R13</f>
        <v>0</v>
      </c>
      <c r="AE18" s="703"/>
      <c r="AF18" s="750">
        <f>(AC18-AD18)*(1-Recovery_OX!U13)</f>
        <v>0.31234820897716264</v>
      </c>
    </row>
    <row r="19" spans="2:32">
      <c r="B19" s="743">
        <f t="shared" si="1"/>
        <v>2002</v>
      </c>
      <c r="C19" s="744">
        <f>IF(Select2=1,Food!$K21,"")</f>
        <v>0.71104186281073622</v>
      </c>
      <c r="D19" s="745">
        <f>IF(Select2=1,Paper!$K21,"")</f>
        <v>2.814860961883452E-2</v>
      </c>
      <c r="E19" s="736">
        <f>IF(Select2=1,Nappies!$K21,"")</f>
        <v>8.4727905126660563E-2</v>
      </c>
      <c r="F19" s="745">
        <f>IF(Select2=1,Garden!$K21,"")</f>
        <v>0</v>
      </c>
      <c r="G19" s="736">
        <f>IF(Select2=1,Wood!$K21,"")</f>
        <v>0</v>
      </c>
      <c r="H19" s="745">
        <f>IF(Select2=1,Textiles!$K21,"")</f>
        <v>2.0071397000856412E-3</v>
      </c>
      <c r="I19" s="746">
        <f>Sludge!K21</f>
        <v>0</v>
      </c>
      <c r="J19" s="746" t="str">
        <f>IF(Select2=2,MSW!$K21,"")</f>
        <v/>
      </c>
      <c r="K19" s="746">
        <f>Industry!$K21</f>
        <v>0</v>
      </c>
      <c r="L19" s="747">
        <f t="shared" ref="L19:L82" si="3">SUM(C19:K19)</f>
        <v>0.82592551725631691</v>
      </c>
      <c r="M19" s="748">
        <f>Recovery_OX!C14</f>
        <v>0</v>
      </c>
      <c r="N19" s="703"/>
      <c r="O19" s="749">
        <f>(L19-M19)*(1-Recovery_OX!F14)</f>
        <v>0.82592551725631691</v>
      </c>
      <c r="P19" s="695"/>
      <c r="Q19" s="705"/>
      <c r="S19" s="743">
        <f t="shared" si="2"/>
        <v>2002</v>
      </c>
      <c r="T19" s="744">
        <f>IF(Select2=1,Food!$W21,"")</f>
        <v>0.47571935513653196</v>
      </c>
      <c r="U19" s="745">
        <f>IF(Select2=1,Paper!$W21,"")</f>
        <v>5.8158284336434968E-2</v>
      </c>
      <c r="V19" s="736">
        <f>IF(Select2=1,Nappies!$W21,"")</f>
        <v>0</v>
      </c>
      <c r="W19" s="745">
        <f>IF(Select2=1,Garden!$W21,"")</f>
        <v>0</v>
      </c>
      <c r="X19" s="736">
        <f>IF(Select2=1,Wood!$W21,"")</f>
        <v>0</v>
      </c>
      <c r="Y19" s="745">
        <f>IF(Select2=1,Textiles!$W21,"")</f>
        <v>2.1996051507787852E-3</v>
      </c>
      <c r="Z19" s="738">
        <f>Sludge!W21</f>
        <v>0</v>
      </c>
      <c r="AA19" s="738" t="str">
        <f>IF(Select2=2,MSW!$W21,"")</f>
        <v/>
      </c>
      <c r="AB19" s="746">
        <f>Industry!$W21</f>
        <v>0</v>
      </c>
      <c r="AC19" s="747">
        <f t="shared" si="0"/>
        <v>0.53607724462374573</v>
      </c>
      <c r="AD19" s="748">
        <f>Recovery_OX!R14</f>
        <v>0</v>
      </c>
      <c r="AE19" s="703"/>
      <c r="AF19" s="750">
        <f>(AC19-AD19)*(1-Recovery_OX!U14)</f>
        <v>0.53607724462374573</v>
      </c>
    </row>
    <row r="20" spans="2:32">
      <c r="B20" s="743">
        <f t="shared" si="1"/>
        <v>2003</v>
      </c>
      <c r="C20" s="744">
        <f>IF(Select2=1,Food!$K22,"")</f>
        <v>0.91548398535647335</v>
      </c>
      <c r="D20" s="745">
        <f>IF(Select2=1,Paper!$K22,"")</f>
        <v>4.1286996123534987E-2</v>
      </c>
      <c r="E20" s="736">
        <f>IF(Select2=1,Nappies!$K22,"")</f>
        <v>0.11891241411705292</v>
      </c>
      <c r="F20" s="745">
        <f>IF(Select2=1,Garden!$K22,"")</f>
        <v>0</v>
      </c>
      <c r="G20" s="736">
        <f>IF(Select2=1,Wood!$K22,"")</f>
        <v>0</v>
      </c>
      <c r="H20" s="745">
        <f>IF(Select2=1,Textiles!$K22,"")</f>
        <v>2.943973792630266E-3</v>
      </c>
      <c r="I20" s="746">
        <f>Sludge!K22</f>
        <v>0</v>
      </c>
      <c r="J20" s="746" t="str">
        <f>IF(Select2=2,MSW!$K22,"")</f>
        <v/>
      </c>
      <c r="K20" s="746">
        <f>Industry!$K22</f>
        <v>0</v>
      </c>
      <c r="L20" s="747">
        <f t="shared" si="3"/>
        <v>1.0786273693896915</v>
      </c>
      <c r="M20" s="748">
        <f>Recovery_OX!C15</f>
        <v>0</v>
      </c>
      <c r="N20" s="703"/>
      <c r="O20" s="749">
        <f>(L20-M20)*(1-Recovery_OX!F15)</f>
        <v>1.0786273693896915</v>
      </c>
      <c r="P20" s="695"/>
      <c r="Q20" s="705"/>
      <c r="S20" s="743">
        <f t="shared" si="2"/>
        <v>2003</v>
      </c>
      <c r="T20" s="744">
        <f>IF(Select2=1,Food!$W22,"")</f>
        <v>0.61250043623314454</v>
      </c>
      <c r="U20" s="745">
        <f>IF(Select2=1,Paper!$W22,"")</f>
        <v>8.5303710999039231E-2</v>
      </c>
      <c r="V20" s="736">
        <f>IF(Select2=1,Nappies!$W22,"")</f>
        <v>0</v>
      </c>
      <c r="W20" s="745">
        <f>IF(Select2=1,Garden!$W22,"")</f>
        <v>0</v>
      </c>
      <c r="X20" s="736">
        <f>IF(Select2=1,Wood!$W22,"")</f>
        <v>0</v>
      </c>
      <c r="Y20" s="745">
        <f>IF(Select2=1,Textiles!$W22,"")</f>
        <v>3.2262726494578266E-3</v>
      </c>
      <c r="Z20" s="738">
        <f>Sludge!W22</f>
        <v>0</v>
      </c>
      <c r="AA20" s="738" t="str">
        <f>IF(Select2=2,MSW!$W22,"")</f>
        <v/>
      </c>
      <c r="AB20" s="746">
        <f>Industry!$W22</f>
        <v>0</v>
      </c>
      <c r="AC20" s="747">
        <f t="shared" si="0"/>
        <v>0.70103041988164161</v>
      </c>
      <c r="AD20" s="748">
        <f>Recovery_OX!R15</f>
        <v>0</v>
      </c>
      <c r="AE20" s="703"/>
      <c r="AF20" s="750">
        <f>(AC20-AD20)*(1-Recovery_OX!U15)</f>
        <v>0.70103041988164161</v>
      </c>
    </row>
    <row r="21" spans="2:32">
      <c r="B21" s="743">
        <f t="shared" si="1"/>
        <v>2004</v>
      </c>
      <c r="C21" s="744">
        <f>IF(Select2=1,Food!$K23,"")</f>
        <v>1.0665832969870457</v>
      </c>
      <c r="D21" s="745">
        <f>IF(Select2=1,Paper!$K23,"")</f>
        <v>5.4018957884487809E-2</v>
      </c>
      <c r="E21" s="736">
        <f>IF(Select2=1,Nappies!$K23,"")</f>
        <v>0.14927199008873634</v>
      </c>
      <c r="F21" s="745">
        <f>IF(Select2=1,Garden!$K23,"")</f>
        <v>0</v>
      </c>
      <c r="G21" s="736">
        <f>IF(Select2=1,Wood!$K23,"")</f>
        <v>0</v>
      </c>
      <c r="H21" s="745">
        <f>IF(Select2=1,Textiles!$K23,"")</f>
        <v>3.8518277241893482E-3</v>
      </c>
      <c r="I21" s="746">
        <f>Sludge!K23</f>
        <v>0</v>
      </c>
      <c r="J21" s="746" t="str">
        <f>IF(Select2=2,MSW!$K23,"")</f>
        <v/>
      </c>
      <c r="K21" s="746">
        <f>Industry!$K23</f>
        <v>0</v>
      </c>
      <c r="L21" s="747">
        <f t="shared" si="3"/>
        <v>1.273726072684459</v>
      </c>
      <c r="M21" s="748">
        <f>Recovery_OX!C16</f>
        <v>0</v>
      </c>
      <c r="N21" s="703"/>
      <c r="O21" s="749">
        <f>(L21-M21)*(1-Recovery_OX!F16)</f>
        <v>1.273726072684459</v>
      </c>
      <c r="P21" s="695"/>
      <c r="Q21" s="705"/>
      <c r="S21" s="743">
        <f t="shared" si="2"/>
        <v>2004</v>
      </c>
      <c r="T21" s="744">
        <f>IF(Select2=1,Food!$W23,"")</f>
        <v>0.71359274999133293</v>
      </c>
      <c r="U21" s="745">
        <f>IF(Select2=1,Paper!$W23,"")</f>
        <v>0.11160941711671037</v>
      </c>
      <c r="V21" s="736">
        <f>IF(Select2=1,Nappies!$W23,"")</f>
        <v>0</v>
      </c>
      <c r="W21" s="745">
        <f>IF(Select2=1,Garden!$W23,"")</f>
        <v>0</v>
      </c>
      <c r="X21" s="736">
        <f>IF(Select2=1,Wood!$W23,"")</f>
        <v>0</v>
      </c>
      <c r="Y21" s="745">
        <f>IF(Select2=1,Textiles!$W23,"")</f>
        <v>4.2211810676047656E-3</v>
      </c>
      <c r="Z21" s="738">
        <f>Sludge!W23</f>
        <v>0</v>
      </c>
      <c r="AA21" s="738" t="str">
        <f>IF(Select2=2,MSW!$W23,"")</f>
        <v/>
      </c>
      <c r="AB21" s="746">
        <f>Industry!$W23</f>
        <v>0</v>
      </c>
      <c r="AC21" s="747">
        <f t="shared" si="0"/>
        <v>0.829423348175648</v>
      </c>
      <c r="AD21" s="748">
        <f>Recovery_OX!R16</f>
        <v>0</v>
      </c>
      <c r="AE21" s="703"/>
      <c r="AF21" s="750">
        <f>(AC21-AD21)*(1-Recovery_OX!U16)</f>
        <v>0.829423348175648</v>
      </c>
    </row>
    <row r="22" spans="2:32">
      <c r="B22" s="743">
        <f t="shared" si="1"/>
        <v>2005</v>
      </c>
      <c r="C22" s="744">
        <f>IF(Select2=1,Food!$K24,"")</f>
        <v>1.1731324557332035</v>
      </c>
      <c r="D22" s="745">
        <f>IF(Select2=1,Paper!$K24,"")</f>
        <v>6.6070587330743336E-2</v>
      </c>
      <c r="E22" s="736">
        <f>IF(Select2=1,Nappies!$K24,"")</f>
        <v>0.17545424132744492</v>
      </c>
      <c r="F22" s="745">
        <f>IF(Select2=1,Garden!$K24,"")</f>
        <v>0</v>
      </c>
      <c r="G22" s="736">
        <f>IF(Select2=1,Wood!$K24,"")</f>
        <v>0</v>
      </c>
      <c r="H22" s="745">
        <f>IF(Select2=1,Textiles!$K24,"")</f>
        <v>4.7111704853364314E-3</v>
      </c>
      <c r="I22" s="746">
        <f>Sludge!K24</f>
        <v>0</v>
      </c>
      <c r="J22" s="746" t="str">
        <f>IF(Select2=2,MSW!$K24,"")</f>
        <v/>
      </c>
      <c r="K22" s="746">
        <f>Industry!$K24</f>
        <v>0</v>
      </c>
      <c r="L22" s="747">
        <f t="shared" si="3"/>
        <v>1.4193684548767282</v>
      </c>
      <c r="M22" s="748">
        <f>Recovery_OX!C17</f>
        <v>0</v>
      </c>
      <c r="N22" s="703"/>
      <c r="O22" s="749">
        <f>(L22-M22)*(1-Recovery_OX!F17)</f>
        <v>1.4193684548767282</v>
      </c>
      <c r="P22" s="695"/>
      <c r="Q22" s="705"/>
      <c r="S22" s="743">
        <f t="shared" si="2"/>
        <v>2005</v>
      </c>
      <c r="T22" s="744">
        <f>IF(Select2=1,Food!$W24,"")</f>
        <v>0.78487898465646977</v>
      </c>
      <c r="U22" s="745">
        <f>IF(Select2=1,Paper!$W24,"")</f>
        <v>0.13650947795608132</v>
      </c>
      <c r="V22" s="736">
        <f>IF(Select2=1,Nappies!$W24,"")</f>
        <v>0</v>
      </c>
      <c r="W22" s="745">
        <f>IF(Select2=1,Garden!$W24,"")</f>
        <v>0</v>
      </c>
      <c r="X22" s="736">
        <f>IF(Select2=1,Wood!$W24,"")</f>
        <v>0</v>
      </c>
      <c r="Y22" s="745">
        <f>IF(Select2=1,Textiles!$W24,"")</f>
        <v>5.1629265592728034E-3</v>
      </c>
      <c r="Z22" s="738">
        <f>Sludge!W24</f>
        <v>0</v>
      </c>
      <c r="AA22" s="738" t="str">
        <f>IF(Select2=2,MSW!$W24,"")</f>
        <v/>
      </c>
      <c r="AB22" s="746">
        <f>Industry!$W24</f>
        <v>0</v>
      </c>
      <c r="AC22" s="747">
        <f t="shared" si="0"/>
        <v>0.92655138917182378</v>
      </c>
      <c r="AD22" s="748">
        <f>Recovery_OX!R17</f>
        <v>0</v>
      </c>
      <c r="AE22" s="703"/>
      <c r="AF22" s="750">
        <f>(AC22-AD22)*(1-Recovery_OX!U17)</f>
        <v>0.92655138917182378</v>
      </c>
    </row>
    <row r="23" spans="2:32">
      <c r="B23" s="743">
        <f t="shared" si="1"/>
        <v>2006</v>
      </c>
      <c r="C23" s="744">
        <f>IF(Select2=1,Food!$K25,"")</f>
        <v>1.2572908427705114</v>
      </c>
      <c r="D23" s="745">
        <f>IF(Select2=1,Paper!$K25,"")</f>
        <v>7.7743977072244425E-2</v>
      </c>
      <c r="E23" s="736">
        <f>IF(Select2=1,Nappies!$K25,"")</f>
        <v>0.19891979101611257</v>
      </c>
      <c r="F23" s="745">
        <f>IF(Select2=1,Garden!$K25,"")</f>
        <v>0</v>
      </c>
      <c r="G23" s="736">
        <f>IF(Select2=1,Wood!$K25,"")</f>
        <v>0</v>
      </c>
      <c r="H23" s="745">
        <f>IF(Select2=1,Textiles!$K25,"")</f>
        <v>5.543542822798596E-3</v>
      </c>
      <c r="I23" s="746">
        <f>Sludge!K25</f>
        <v>0</v>
      </c>
      <c r="J23" s="746" t="str">
        <f>IF(Select2=2,MSW!$K25,"")</f>
        <v/>
      </c>
      <c r="K23" s="746">
        <f>Industry!$K25</f>
        <v>0</v>
      </c>
      <c r="L23" s="747">
        <f t="shared" si="3"/>
        <v>1.539498153681667</v>
      </c>
      <c r="M23" s="748">
        <f>Recovery_OX!C18</f>
        <v>0</v>
      </c>
      <c r="N23" s="703"/>
      <c r="O23" s="749">
        <f>(L23-M23)*(1-Recovery_OX!F18)</f>
        <v>1.539498153681667</v>
      </c>
      <c r="P23" s="695"/>
      <c r="Q23" s="705"/>
      <c r="S23" s="743">
        <f t="shared" si="2"/>
        <v>2006</v>
      </c>
      <c r="T23" s="744">
        <f>IF(Select2=1,Food!$W25,"")</f>
        <v>0.84118477437812988</v>
      </c>
      <c r="U23" s="745">
        <f>IF(Select2=1,Paper!$W25,"")</f>
        <v>0.16062805180215792</v>
      </c>
      <c r="V23" s="736">
        <f>IF(Select2=1,Nappies!$W25,"")</f>
        <v>0</v>
      </c>
      <c r="W23" s="745">
        <f>IF(Select2=1,Garden!$W25,"")</f>
        <v>0</v>
      </c>
      <c r="X23" s="736">
        <f>IF(Select2=1,Wood!$W25,"")</f>
        <v>0</v>
      </c>
      <c r="Y23" s="745">
        <f>IF(Select2=1,Textiles!$W25,"")</f>
        <v>6.0751154222450383E-3</v>
      </c>
      <c r="Z23" s="738">
        <f>Sludge!W25</f>
        <v>0</v>
      </c>
      <c r="AA23" s="738" t="str">
        <f>IF(Select2=2,MSW!$W25,"")</f>
        <v/>
      </c>
      <c r="AB23" s="746">
        <f>Industry!$W25</f>
        <v>0</v>
      </c>
      <c r="AC23" s="747">
        <f t="shared" si="0"/>
        <v>1.007887941602533</v>
      </c>
      <c r="AD23" s="748">
        <f>Recovery_OX!R18</f>
        <v>0</v>
      </c>
      <c r="AE23" s="703"/>
      <c r="AF23" s="750">
        <f>(AC23-AD23)*(1-Recovery_OX!U18)</f>
        <v>1.007887941602533</v>
      </c>
    </row>
    <row r="24" spans="2:32">
      <c r="B24" s="743">
        <f t="shared" si="1"/>
        <v>2007</v>
      </c>
      <c r="C24" s="744">
        <f>IF(Select2=1,Food!$K26,"")</f>
        <v>1.3191351364200452</v>
      </c>
      <c r="D24" s="745">
        <f>IF(Select2=1,Paper!$K26,"")</f>
        <v>8.8814323523108266E-2</v>
      </c>
      <c r="E24" s="736">
        <f>IF(Select2=1,Nappies!$K26,"")</f>
        <v>0.21930384136364148</v>
      </c>
      <c r="F24" s="745">
        <f>IF(Select2=1,Garden!$K26,"")</f>
        <v>0</v>
      </c>
      <c r="G24" s="736">
        <f>IF(Select2=1,Wood!$K26,"")</f>
        <v>0</v>
      </c>
      <c r="H24" s="745">
        <f>IF(Select2=1,Textiles!$K26,"")</f>
        <v>6.3329150921970657E-3</v>
      </c>
      <c r="I24" s="746">
        <f>Sludge!K26</f>
        <v>0</v>
      </c>
      <c r="J24" s="746" t="str">
        <f>IF(Select2=2,MSW!$K26,"")</f>
        <v/>
      </c>
      <c r="K24" s="746">
        <f>Industry!$K26</f>
        <v>0</v>
      </c>
      <c r="L24" s="747">
        <f t="shared" si="3"/>
        <v>1.633586216398992</v>
      </c>
      <c r="M24" s="748">
        <f>Recovery_OX!C19</f>
        <v>0</v>
      </c>
      <c r="N24" s="703"/>
      <c r="O24" s="749">
        <f>(L24-M24)*(1-Recovery_OX!F19)</f>
        <v>1.633586216398992</v>
      </c>
      <c r="P24" s="695"/>
      <c r="Q24" s="705"/>
      <c r="S24" s="743">
        <f t="shared" si="2"/>
        <v>2007</v>
      </c>
      <c r="T24" s="744">
        <f>IF(Select2=1,Food!$W26,"")</f>
        <v>0.88256142044160024</v>
      </c>
      <c r="U24" s="745">
        <f>IF(Select2=1,Paper!$W26,"")</f>
        <v>0.18350066843617413</v>
      </c>
      <c r="V24" s="736">
        <f>IF(Select2=1,Nappies!$W26,"")</f>
        <v>0</v>
      </c>
      <c r="W24" s="745">
        <f>IF(Select2=1,Garden!$W26,"")</f>
        <v>0</v>
      </c>
      <c r="X24" s="736">
        <f>IF(Select2=1,Wood!$W26,"")</f>
        <v>0</v>
      </c>
      <c r="Y24" s="745">
        <f>IF(Select2=1,Textiles!$W26,"")</f>
        <v>6.94018092295569E-3</v>
      </c>
      <c r="Z24" s="738">
        <f>Sludge!W26</f>
        <v>0</v>
      </c>
      <c r="AA24" s="738" t="str">
        <f>IF(Select2=2,MSW!$W26,"")</f>
        <v/>
      </c>
      <c r="AB24" s="746">
        <f>Industry!$W26</f>
        <v>0</v>
      </c>
      <c r="AC24" s="747">
        <f t="shared" si="0"/>
        <v>1.07300226980073</v>
      </c>
      <c r="AD24" s="748">
        <f>Recovery_OX!R19</f>
        <v>0</v>
      </c>
      <c r="AE24" s="703"/>
      <c r="AF24" s="750">
        <f>(AC24-AD24)*(1-Recovery_OX!U19)</f>
        <v>1.07300226980073</v>
      </c>
    </row>
    <row r="25" spans="2:32">
      <c r="B25" s="743">
        <f t="shared" si="1"/>
        <v>2008</v>
      </c>
      <c r="C25" s="744">
        <f>IF(Select2=1,Food!$K27,"")</f>
        <v>1.3658790671953143</v>
      </c>
      <c r="D25" s="745">
        <f>IF(Select2=1,Paper!$K27,"")</f>
        <v>9.9317502545417824E-2</v>
      </c>
      <c r="E25" s="736">
        <f>IF(Select2=1,Nappies!$K27,"")</f>
        <v>0.23707270804510705</v>
      </c>
      <c r="F25" s="745">
        <f>IF(Select2=1,Garden!$K27,"")</f>
        <v>0</v>
      </c>
      <c r="G25" s="736">
        <f>IF(Select2=1,Wood!$K27,"")</f>
        <v>0</v>
      </c>
      <c r="H25" s="745">
        <f>IF(Select2=1,Textiles!$K27,"")</f>
        <v>7.0818454258174688E-3</v>
      </c>
      <c r="I25" s="746">
        <f>Sludge!K27</f>
        <v>0</v>
      </c>
      <c r="J25" s="746" t="str">
        <f>IF(Select2=2,MSW!$K27,"")</f>
        <v/>
      </c>
      <c r="K25" s="746">
        <f>Industry!$K27</f>
        <v>0</v>
      </c>
      <c r="L25" s="747">
        <f t="shared" si="3"/>
        <v>1.7093511232116565</v>
      </c>
      <c r="M25" s="748">
        <f>Recovery_OX!C20</f>
        <v>0</v>
      </c>
      <c r="N25" s="703"/>
      <c r="O25" s="749">
        <f>(L25-M25)*(1-Recovery_OX!F20)</f>
        <v>1.7093511232116565</v>
      </c>
      <c r="P25" s="695"/>
      <c r="Q25" s="705"/>
      <c r="S25" s="743">
        <f t="shared" si="2"/>
        <v>2008</v>
      </c>
      <c r="T25" s="744">
        <f>IF(Select2=1,Food!$W27,"")</f>
        <v>0.91383523674976419</v>
      </c>
      <c r="U25" s="745">
        <f>IF(Select2=1,Paper!$W27,"")</f>
        <v>0.20520145154011948</v>
      </c>
      <c r="V25" s="736">
        <f>IF(Select2=1,Nappies!$W27,"")</f>
        <v>0</v>
      </c>
      <c r="W25" s="745">
        <f>IF(Select2=1,Garden!$W27,"")</f>
        <v>0</v>
      </c>
      <c r="X25" s="736">
        <f>IF(Select2=1,Wood!$W27,"")</f>
        <v>0</v>
      </c>
      <c r="Y25" s="745">
        <f>IF(Select2=1,Textiles!$W27,"")</f>
        <v>7.760926494046542E-3</v>
      </c>
      <c r="Z25" s="738">
        <f>Sludge!W27</f>
        <v>0</v>
      </c>
      <c r="AA25" s="738" t="str">
        <f>IF(Select2=2,MSW!$W27,"")</f>
        <v/>
      </c>
      <c r="AB25" s="746">
        <f>Industry!$W27</f>
        <v>0</v>
      </c>
      <c r="AC25" s="747">
        <f t="shared" si="0"/>
        <v>1.1267976147839303</v>
      </c>
      <c r="AD25" s="748">
        <f>Recovery_OX!R20</f>
        <v>0</v>
      </c>
      <c r="AE25" s="703"/>
      <c r="AF25" s="750">
        <f>(AC25-AD25)*(1-Recovery_OX!U20)</f>
        <v>1.1267976147839303</v>
      </c>
    </row>
    <row r="26" spans="2:32">
      <c r="B26" s="743">
        <f t="shared" si="1"/>
        <v>2009</v>
      </c>
      <c r="C26" s="744">
        <f>IF(Select2=1,Food!$K28,"")</f>
        <v>1.4023057103855652</v>
      </c>
      <c r="D26" s="745">
        <f>IF(Select2=1,Paper!$K28,"")</f>
        <v>0.10928516748973849</v>
      </c>
      <c r="E26" s="736">
        <f>IF(Select2=1,Nappies!$K28,"")</f>
        <v>0.25261413840468877</v>
      </c>
      <c r="F26" s="745">
        <f>IF(Select2=1,Garden!$K28,"")</f>
        <v>0</v>
      </c>
      <c r="G26" s="736">
        <f>IF(Select2=1,Wood!$K28,"")</f>
        <v>0</v>
      </c>
      <c r="H26" s="745">
        <f>IF(Select2=1,Textiles!$K28,"")</f>
        <v>7.7925908692979664E-3</v>
      </c>
      <c r="I26" s="746">
        <f>Sludge!K28</f>
        <v>0</v>
      </c>
      <c r="J26" s="746" t="str">
        <f>IF(Select2=2,MSW!$K28,"")</f>
        <v/>
      </c>
      <c r="K26" s="746">
        <f>Industry!$K28</f>
        <v>0</v>
      </c>
      <c r="L26" s="747">
        <f t="shared" si="3"/>
        <v>1.7719976071492902</v>
      </c>
      <c r="M26" s="748">
        <f>Recovery_OX!C21</f>
        <v>0</v>
      </c>
      <c r="N26" s="703"/>
      <c r="O26" s="749">
        <f>(L26-M26)*(1-Recovery_OX!F21)</f>
        <v>1.7719976071492902</v>
      </c>
      <c r="P26" s="695"/>
      <c r="Q26" s="705"/>
      <c r="S26" s="743">
        <f t="shared" si="2"/>
        <v>2009</v>
      </c>
      <c r="T26" s="744">
        <f>IF(Select2=1,Food!$W28,"")</f>
        <v>0.93820631827758616</v>
      </c>
      <c r="U26" s="745">
        <f>IF(Select2=1,Paper!$W28,"")</f>
        <v>0.22579580059863325</v>
      </c>
      <c r="V26" s="736">
        <f>IF(Select2=1,Nappies!$W28,"")</f>
        <v>0</v>
      </c>
      <c r="W26" s="745">
        <f>IF(Select2=1,Garden!$W28,"")</f>
        <v>0</v>
      </c>
      <c r="X26" s="736">
        <f>IF(Select2=1,Wood!$W28,"")</f>
        <v>0</v>
      </c>
      <c r="Y26" s="745">
        <f>IF(Select2=1,Textiles!$W28,"")</f>
        <v>8.5398256101895526E-3</v>
      </c>
      <c r="Z26" s="738">
        <f>Sludge!W28</f>
        <v>0</v>
      </c>
      <c r="AA26" s="738" t="str">
        <f>IF(Select2=2,MSW!$W28,"")</f>
        <v/>
      </c>
      <c r="AB26" s="746">
        <f>Industry!$W28</f>
        <v>0</v>
      </c>
      <c r="AC26" s="747">
        <f t="shared" si="0"/>
        <v>1.1725419444864091</v>
      </c>
      <c r="AD26" s="748">
        <f>Recovery_OX!R21</f>
        <v>0</v>
      </c>
      <c r="AE26" s="703"/>
      <c r="AF26" s="750">
        <f>(AC26-AD26)*(1-Recovery_OX!U21)</f>
        <v>1.1725419444864091</v>
      </c>
    </row>
    <row r="27" spans="2:32">
      <c r="B27" s="743">
        <f t="shared" si="1"/>
        <v>2010</v>
      </c>
      <c r="C27" s="744">
        <f>IF(Select2=1,Food!$K29,"")</f>
        <v>1.4315559178029824</v>
      </c>
      <c r="D27" s="745">
        <f>IF(Select2=1,Paper!$K29,"")</f>
        <v>0.1187445923044631</v>
      </c>
      <c r="E27" s="736">
        <f>IF(Select2=1,Nappies!$K29,"")</f>
        <v>0.26624819954933793</v>
      </c>
      <c r="F27" s="745">
        <f>IF(Select2=1,Garden!$K29,"")</f>
        <v>0</v>
      </c>
      <c r="G27" s="736">
        <f>IF(Select2=1,Wood!$K29,"")</f>
        <v>0</v>
      </c>
      <c r="H27" s="745">
        <f>IF(Select2=1,Textiles!$K29,"")</f>
        <v>8.467096194523873E-3</v>
      </c>
      <c r="I27" s="746">
        <f>Sludge!K29</f>
        <v>0</v>
      </c>
      <c r="J27" s="746" t="str">
        <f>IF(Select2=2,MSW!$K29,"")</f>
        <v/>
      </c>
      <c r="K27" s="746">
        <f>Industry!$K29</f>
        <v>0</v>
      </c>
      <c r="L27" s="747">
        <f t="shared" si="3"/>
        <v>1.8250158058513075</v>
      </c>
      <c r="M27" s="748">
        <f>Recovery_OX!C22</f>
        <v>0</v>
      </c>
      <c r="N27" s="703"/>
      <c r="O27" s="749">
        <f>(L27-M27)*(1-Recovery_OX!F22)</f>
        <v>1.8250158058513075</v>
      </c>
      <c r="P27" s="695"/>
      <c r="Q27" s="705"/>
      <c r="S27" s="743">
        <f t="shared" si="2"/>
        <v>2010</v>
      </c>
      <c r="T27" s="744">
        <f>IF(Select2=1,Food!$W29,"")</f>
        <v>0.95777603778076437</v>
      </c>
      <c r="U27" s="745">
        <f>IF(Select2=1,Paper!$W29,"")</f>
        <v>0.2453400667447585</v>
      </c>
      <c r="V27" s="736">
        <f>IF(Select2=1,Nappies!$W29,"")</f>
        <v>0</v>
      </c>
      <c r="W27" s="745">
        <f>IF(Select2=1,Garden!$W29,"")</f>
        <v>0</v>
      </c>
      <c r="X27" s="736">
        <f>IF(Select2=1,Wood!$W29,"")</f>
        <v>0</v>
      </c>
      <c r="Y27" s="745">
        <f>IF(Select2=1,Textiles!$W29,"")</f>
        <v>9.2790095282453394E-3</v>
      </c>
      <c r="Z27" s="738">
        <f>Sludge!W29</f>
        <v>0</v>
      </c>
      <c r="AA27" s="738" t="str">
        <f>IF(Select2=2,MSW!$W29,"")</f>
        <v/>
      </c>
      <c r="AB27" s="746">
        <f>Industry!$W29</f>
        <v>0</v>
      </c>
      <c r="AC27" s="747">
        <f t="shared" si="0"/>
        <v>1.2123951140537683</v>
      </c>
      <c r="AD27" s="748">
        <f>Recovery_OX!R22</f>
        <v>0</v>
      </c>
      <c r="AE27" s="703"/>
      <c r="AF27" s="750">
        <f>(AC27-AD27)*(1-Recovery_OX!U22)</f>
        <v>1.2123951140537683</v>
      </c>
    </row>
    <row r="28" spans="2:32">
      <c r="B28" s="743">
        <f t="shared" si="1"/>
        <v>2011</v>
      </c>
      <c r="C28" s="744">
        <f>IF(Select2=1,Food!$K30,"")</f>
        <v>1.5464455622355422</v>
      </c>
      <c r="D28" s="745">
        <f>IF(Select2=1,Paper!$K30,"")</f>
        <v>0.1308302133827956</v>
      </c>
      <c r="E28" s="736">
        <f>IF(Select2=1,Nappies!$K30,"")</f>
        <v>0.28804863205314302</v>
      </c>
      <c r="F28" s="745">
        <f>IF(Select2=1,Garden!$K30,"")</f>
        <v>0</v>
      </c>
      <c r="G28" s="736">
        <f>IF(Select2=1,Wood!$K30,"")</f>
        <v>0</v>
      </c>
      <c r="H28" s="745">
        <f>IF(Select2=1,Textiles!$K30,"")</f>
        <v>9.328862732729086E-3</v>
      </c>
      <c r="I28" s="746">
        <f>Sludge!K30</f>
        <v>0</v>
      </c>
      <c r="J28" s="746" t="str">
        <f>IF(Select2=2,MSW!$K30,"")</f>
        <v/>
      </c>
      <c r="K28" s="746">
        <f>Industry!$K30</f>
        <v>0</v>
      </c>
      <c r="L28" s="747">
        <f t="shared" si="3"/>
        <v>1.9746532704042099</v>
      </c>
      <c r="M28" s="748">
        <f>Recovery_OX!C23</f>
        <v>0</v>
      </c>
      <c r="N28" s="703"/>
      <c r="O28" s="749">
        <f>(L28-M28)*(1-Recovery_OX!F23)</f>
        <v>1.9746532704042099</v>
      </c>
      <c r="P28" s="695"/>
      <c r="Q28" s="705"/>
      <c r="S28" s="743">
        <f t="shared" si="2"/>
        <v>2011</v>
      </c>
      <c r="T28" s="744">
        <f>IF(Select2=1,Food!$W30,"")</f>
        <v>1.0346424368212817</v>
      </c>
      <c r="U28" s="745">
        <f>IF(Select2=1,Paper!$W30,"")</f>
        <v>0.27031035822891658</v>
      </c>
      <c r="V28" s="736">
        <f>IF(Select2=1,Nappies!$W30,"")</f>
        <v>0</v>
      </c>
      <c r="W28" s="745">
        <f>IF(Select2=1,Garden!$W30,"")</f>
        <v>0</v>
      </c>
      <c r="X28" s="736">
        <f>IF(Select2=1,Wood!$W30,"")</f>
        <v>0</v>
      </c>
      <c r="Y28" s="745">
        <f>IF(Select2=1,Textiles!$W30,"")</f>
        <v>1.0223411213949683E-2</v>
      </c>
      <c r="Z28" s="738">
        <f>Sludge!W30</f>
        <v>0</v>
      </c>
      <c r="AA28" s="738" t="str">
        <f>IF(Select2=2,MSW!$W30,"")</f>
        <v/>
      </c>
      <c r="AB28" s="746">
        <f>Industry!$W30</f>
        <v>0</v>
      </c>
      <c r="AC28" s="747">
        <f t="shared" si="0"/>
        <v>1.3151762062641479</v>
      </c>
      <c r="AD28" s="748">
        <f>Recovery_OX!R23</f>
        <v>0</v>
      </c>
      <c r="AE28" s="703"/>
      <c r="AF28" s="750">
        <f>(AC28-AD28)*(1-Recovery_OX!U23)</f>
        <v>1.3151762062641479</v>
      </c>
    </row>
    <row r="29" spans="2:32">
      <c r="B29" s="743">
        <f t="shared" si="1"/>
        <v>2012</v>
      </c>
      <c r="C29" s="744">
        <f>IF(Select2=1,Food!$K31,"")</f>
        <v>1.0366134604693389</v>
      </c>
      <c r="D29" s="745">
        <f>IF(Select2=1,Paper!$K31,"")</f>
        <v>0.1219852824150951</v>
      </c>
      <c r="E29" s="736">
        <f>IF(Select2=1,Nappies!$K31,"")</f>
        <v>0.24301649633195413</v>
      </c>
      <c r="F29" s="745">
        <f>IF(Select2=1,Garden!$K31,"")</f>
        <v>0</v>
      </c>
      <c r="G29" s="736">
        <f>IF(Select2=1,Wood!$K31,"")</f>
        <v>0</v>
      </c>
      <c r="H29" s="745">
        <f>IF(Select2=1,Textiles!$K31,"")</f>
        <v>8.6981739587475154E-3</v>
      </c>
      <c r="I29" s="746">
        <f>Sludge!K31</f>
        <v>0</v>
      </c>
      <c r="J29" s="746" t="str">
        <f>IF(Select2=2,MSW!$K31,"")</f>
        <v/>
      </c>
      <c r="K29" s="746">
        <f>Industry!$K31</f>
        <v>0</v>
      </c>
      <c r="L29" s="747">
        <f>SUM(C29:K29)</f>
        <v>1.4103134131751356</v>
      </c>
      <c r="M29" s="748">
        <f>Recovery_OX!C24</f>
        <v>0</v>
      </c>
      <c r="N29" s="703"/>
      <c r="O29" s="749">
        <f>(L29-M29)*(1-Recovery_OX!F24)</f>
        <v>1.4103134131751356</v>
      </c>
      <c r="P29" s="695"/>
      <c r="Q29" s="705"/>
      <c r="S29" s="743">
        <f t="shared" si="2"/>
        <v>2012</v>
      </c>
      <c r="T29" s="744">
        <f>IF(Select2=1,Food!$W31,"")</f>
        <v>0.69354156588046756</v>
      </c>
      <c r="U29" s="745">
        <f>IF(Select2=1,Paper!$W31,"")</f>
        <v>0.25203570746920478</v>
      </c>
      <c r="V29" s="736">
        <f>IF(Select2=1,Nappies!$W31,"")</f>
        <v>0</v>
      </c>
      <c r="W29" s="745">
        <f>IF(Select2=1,Garden!$W31,"")</f>
        <v>0</v>
      </c>
      <c r="X29" s="736">
        <f>IF(Select2=1,Wood!$W31,"")</f>
        <v>0</v>
      </c>
      <c r="Y29" s="745">
        <f>IF(Select2=1,Textiles!$W31,"")</f>
        <v>9.5322454342438526E-3</v>
      </c>
      <c r="Z29" s="738">
        <f>Sludge!W31</f>
        <v>0</v>
      </c>
      <c r="AA29" s="738" t="str">
        <f>IF(Select2=2,MSW!$W31,"")</f>
        <v/>
      </c>
      <c r="AB29" s="746">
        <f>Industry!$W31</f>
        <v>0</v>
      </c>
      <c r="AC29" s="747">
        <f t="shared" si="0"/>
        <v>0.95510951878391614</v>
      </c>
      <c r="AD29" s="748">
        <f>Recovery_OX!R24</f>
        <v>0</v>
      </c>
      <c r="AE29" s="703"/>
      <c r="AF29" s="750">
        <f>(AC29-AD29)*(1-Recovery_OX!U24)</f>
        <v>0.95510951878391614</v>
      </c>
    </row>
    <row r="30" spans="2:32">
      <c r="B30" s="743">
        <f t="shared" si="1"/>
        <v>2013</v>
      </c>
      <c r="C30" s="744">
        <f>IF(Select2=1,Food!$K32,"")</f>
        <v>0.69486278254297063</v>
      </c>
      <c r="D30" s="745">
        <f>IF(Select2=1,Paper!$K32,"")</f>
        <v>0.11373832344331643</v>
      </c>
      <c r="E30" s="736">
        <f>IF(Select2=1,Nappies!$K32,"")</f>
        <v>0.20502446780779382</v>
      </c>
      <c r="F30" s="745">
        <f>IF(Select2=1,Garden!$K32,"")</f>
        <v>0</v>
      </c>
      <c r="G30" s="736">
        <f>IF(Select2=1,Wood!$K32,"")</f>
        <v>0</v>
      </c>
      <c r="H30" s="745">
        <f>IF(Select2=1,Textiles!$K32,"")</f>
        <v>8.1101236436030393E-3</v>
      </c>
      <c r="I30" s="746">
        <f>Sludge!K32</f>
        <v>0</v>
      </c>
      <c r="J30" s="746" t="str">
        <f>IF(Select2=2,MSW!$K32,"")</f>
        <v/>
      </c>
      <c r="K30" s="746">
        <f>Industry!$K32</f>
        <v>0</v>
      </c>
      <c r="L30" s="747">
        <f t="shared" si="3"/>
        <v>1.0217356974376839</v>
      </c>
      <c r="M30" s="748">
        <f>Recovery_OX!C25</f>
        <v>0</v>
      </c>
      <c r="N30" s="703"/>
      <c r="O30" s="749">
        <f>(L30-M30)*(1-Recovery_OX!F25)</f>
        <v>1.0217356974376839</v>
      </c>
      <c r="P30" s="695"/>
      <c r="Q30" s="705"/>
      <c r="S30" s="743">
        <f t="shared" si="2"/>
        <v>2013</v>
      </c>
      <c r="T30" s="744">
        <f>IF(Select2=1,Food!$W32,"")</f>
        <v>0.46489481436862445</v>
      </c>
      <c r="U30" s="745">
        <f>IF(Select2=1,Paper!$W32,"")</f>
        <v>0.23499653603991003</v>
      </c>
      <c r="V30" s="736">
        <f>IF(Select2=1,Nappies!$W32,"")</f>
        <v>0</v>
      </c>
      <c r="W30" s="745">
        <f>IF(Select2=1,Garden!$W32,"")</f>
        <v>0</v>
      </c>
      <c r="X30" s="736">
        <f>IF(Select2=1,Wood!$W32,"")</f>
        <v>0</v>
      </c>
      <c r="Y30" s="745">
        <f>IF(Select2=1,Textiles!$W32,"")</f>
        <v>8.8878067327156605E-3</v>
      </c>
      <c r="Z30" s="738">
        <f>Sludge!W32</f>
        <v>0</v>
      </c>
      <c r="AA30" s="738" t="str">
        <f>IF(Select2=2,MSW!$W32,"")</f>
        <v/>
      </c>
      <c r="AB30" s="746">
        <f>Industry!$W32</f>
        <v>0</v>
      </c>
      <c r="AC30" s="747">
        <f t="shared" si="0"/>
        <v>0.70877915714125006</v>
      </c>
      <c r="AD30" s="748">
        <f>Recovery_OX!R25</f>
        <v>0</v>
      </c>
      <c r="AE30" s="703"/>
      <c r="AF30" s="750">
        <f>(AC30-AD30)*(1-Recovery_OX!U25)</f>
        <v>0.70877915714125006</v>
      </c>
    </row>
    <row r="31" spans="2:32">
      <c r="B31" s="743">
        <f t="shared" si="1"/>
        <v>2014</v>
      </c>
      <c r="C31" s="744">
        <f>IF(Select2=1,Food!$K33,"")</f>
        <v>0.46578045238265653</v>
      </c>
      <c r="D31" s="745">
        <f>IF(Select2=1,Paper!$K33,"")</f>
        <v>0.10604890986501206</v>
      </c>
      <c r="E31" s="736">
        <f>IF(Select2=1,Nappies!$K33,"")</f>
        <v>0.17297193003083355</v>
      </c>
      <c r="F31" s="745">
        <f>IF(Select2=1,Garden!$K33,"")</f>
        <v>0</v>
      </c>
      <c r="G31" s="736">
        <f>IF(Select2=1,Wood!$K33,"")</f>
        <v>0</v>
      </c>
      <c r="H31" s="745">
        <f>IF(Select2=1,Textiles!$K33,"")</f>
        <v>7.5618291639685852E-3</v>
      </c>
      <c r="I31" s="746">
        <f>Sludge!K33</f>
        <v>0</v>
      </c>
      <c r="J31" s="746" t="str">
        <f>IF(Select2=2,MSW!$K33,"")</f>
        <v/>
      </c>
      <c r="K31" s="746">
        <f>Industry!$K33</f>
        <v>0</v>
      </c>
      <c r="L31" s="747">
        <f t="shared" si="3"/>
        <v>0.75236312144247075</v>
      </c>
      <c r="M31" s="748">
        <f>Recovery_OX!C26</f>
        <v>0</v>
      </c>
      <c r="N31" s="703"/>
      <c r="O31" s="749">
        <f>(L31-M31)*(1-Recovery_OX!F26)</f>
        <v>0.75236312144247075</v>
      </c>
      <c r="P31" s="695"/>
      <c r="Q31" s="705"/>
      <c r="S31" s="743">
        <f t="shared" si="2"/>
        <v>2014</v>
      </c>
      <c r="T31" s="744">
        <f>IF(Select2=1,Food!$W33,"")</f>
        <v>0.3116283133693063</v>
      </c>
      <c r="U31" s="745">
        <f>IF(Select2=1,Paper!$W33,"")</f>
        <v>0.21910931790291754</v>
      </c>
      <c r="V31" s="736">
        <f>IF(Select2=1,Nappies!$W33,"")</f>
        <v>0</v>
      </c>
      <c r="W31" s="745">
        <f>IF(Select2=1,Garden!$W33,"")</f>
        <v>0</v>
      </c>
      <c r="X31" s="736">
        <f>IF(Select2=1,Wood!$W33,"")</f>
        <v>0</v>
      </c>
      <c r="Y31" s="745">
        <f>IF(Select2=1,Textiles!$W33,"")</f>
        <v>8.2869360701025591E-3</v>
      </c>
      <c r="Z31" s="738">
        <f>Sludge!W33</f>
        <v>0</v>
      </c>
      <c r="AA31" s="738" t="str">
        <f>IF(Select2=2,MSW!$W33,"")</f>
        <v/>
      </c>
      <c r="AB31" s="746">
        <f>Industry!$W33</f>
        <v>0</v>
      </c>
      <c r="AC31" s="747">
        <f t="shared" si="0"/>
        <v>0.5390245673423264</v>
      </c>
      <c r="AD31" s="748">
        <f>Recovery_OX!R26</f>
        <v>0</v>
      </c>
      <c r="AE31" s="703"/>
      <c r="AF31" s="750">
        <f>(AC31-AD31)*(1-Recovery_OX!U26)</f>
        <v>0.5390245673423264</v>
      </c>
    </row>
    <row r="32" spans="2:32">
      <c r="B32" s="743">
        <f t="shared" si="1"/>
        <v>2015</v>
      </c>
      <c r="C32" s="744">
        <f>IF(Select2=1,Food!$K34,"")</f>
        <v>0.31222197428364318</v>
      </c>
      <c r="D32" s="745">
        <f>IF(Select2=1,Paper!$K34,"")</f>
        <v>9.8879348165900188E-2</v>
      </c>
      <c r="E32" s="736">
        <f>IF(Select2=1,Nappies!$K34,"")</f>
        <v>0.1459303316257857</v>
      </c>
      <c r="F32" s="745">
        <f>IF(Select2=1,Garden!$K34,"")</f>
        <v>0</v>
      </c>
      <c r="G32" s="736">
        <f>IF(Select2=1,Wood!$K34,"")</f>
        <v>0</v>
      </c>
      <c r="H32" s="745">
        <f>IF(Select2=1,Textiles!$K34,"")</f>
        <v>7.0506027796688724E-3</v>
      </c>
      <c r="I32" s="746">
        <f>Sludge!K34</f>
        <v>0</v>
      </c>
      <c r="J32" s="746" t="str">
        <f>IF(Select2=2,MSW!$K34,"")</f>
        <v/>
      </c>
      <c r="K32" s="746">
        <f>Industry!$K34</f>
        <v>0</v>
      </c>
      <c r="L32" s="747">
        <f t="shared" si="3"/>
        <v>0.56408225685499791</v>
      </c>
      <c r="M32" s="748">
        <f>Recovery_OX!C27</f>
        <v>0</v>
      </c>
      <c r="N32" s="703"/>
      <c r="O32" s="749">
        <f>(L32-M32)*(1-Recovery_OX!F27)</f>
        <v>0.56408225685499791</v>
      </c>
      <c r="P32" s="695"/>
      <c r="Q32" s="705"/>
      <c r="S32" s="743">
        <f t="shared" si="2"/>
        <v>2015</v>
      </c>
      <c r="T32" s="744">
        <f>IF(Select2=1,Food!$W34,"")</f>
        <v>0.20889070536372206</v>
      </c>
      <c r="U32" s="745">
        <f>IF(Select2=1,Paper!$W34,"")</f>
        <v>0.20429617389648805</v>
      </c>
      <c r="V32" s="736">
        <f>IF(Select2=1,Nappies!$W34,"")</f>
        <v>0</v>
      </c>
      <c r="W32" s="745">
        <f>IF(Select2=1,Garden!$W34,"")</f>
        <v>0</v>
      </c>
      <c r="X32" s="736">
        <f>IF(Select2=1,Wood!$W34,"")</f>
        <v>0</v>
      </c>
      <c r="Y32" s="745">
        <f>IF(Select2=1,Textiles!$W34,"")</f>
        <v>7.7266879777193121E-3</v>
      </c>
      <c r="Z32" s="738">
        <f>Sludge!W34</f>
        <v>0</v>
      </c>
      <c r="AA32" s="738" t="str">
        <f>IF(Select2=2,MSW!$W34,"")</f>
        <v/>
      </c>
      <c r="AB32" s="746">
        <f>Industry!$W34</f>
        <v>0</v>
      </c>
      <c r="AC32" s="747">
        <f t="shared" si="0"/>
        <v>0.42091356723792944</v>
      </c>
      <c r="AD32" s="748">
        <f>Recovery_OX!R27</f>
        <v>0</v>
      </c>
      <c r="AE32" s="703"/>
      <c r="AF32" s="750">
        <f>(AC32-AD32)*(1-Recovery_OX!U27)</f>
        <v>0.42091356723792944</v>
      </c>
    </row>
    <row r="33" spans="2:32">
      <c r="B33" s="743">
        <f t="shared" si="1"/>
        <v>2016</v>
      </c>
      <c r="C33" s="744">
        <f>IF(Select2=1,Food!$K35,"")</f>
        <v>0.20928864817514992</v>
      </c>
      <c r="D33" s="745">
        <f>IF(Select2=1,Paper!$K35,"")</f>
        <v>9.2194493146213918E-2</v>
      </c>
      <c r="E33" s="736">
        <f>IF(Select2=1,Nappies!$K35,"")</f>
        <v>0.12311628646691797</v>
      </c>
      <c r="F33" s="745">
        <f>IF(Select2=1,Garden!$K35,"")</f>
        <v>0</v>
      </c>
      <c r="G33" s="736">
        <f>IF(Select2=1,Wood!$K35,"")</f>
        <v>0</v>
      </c>
      <c r="H33" s="745">
        <f>IF(Select2=1,Textiles!$K35,"")</f>
        <v>6.5739384583749583E-3</v>
      </c>
      <c r="I33" s="746">
        <f>Sludge!K35</f>
        <v>0</v>
      </c>
      <c r="J33" s="746" t="str">
        <f>IF(Select2=2,MSW!$K35,"")</f>
        <v/>
      </c>
      <c r="K33" s="746">
        <f>Industry!$K35</f>
        <v>0</v>
      </c>
      <c r="L33" s="747">
        <f t="shared" si="3"/>
        <v>0.43117336624665675</v>
      </c>
      <c r="M33" s="748">
        <f>Recovery_OX!C28</f>
        <v>0</v>
      </c>
      <c r="N33" s="703"/>
      <c r="O33" s="749">
        <f>(L33-M33)*(1-Recovery_OX!F28)</f>
        <v>0.43117336624665675</v>
      </c>
      <c r="P33" s="695"/>
      <c r="Q33" s="705"/>
      <c r="S33" s="743">
        <f t="shared" si="2"/>
        <v>2016</v>
      </c>
      <c r="T33" s="744">
        <f>IF(Select2=1,Food!$W35,"")</f>
        <v>0.14002362723582734</v>
      </c>
      <c r="U33" s="745">
        <f>IF(Select2=1,Paper!$W35,"")</f>
        <v>0.19048448997151637</v>
      </c>
      <c r="V33" s="736">
        <f>IF(Select2=1,Nappies!$W35,"")</f>
        <v>0</v>
      </c>
      <c r="W33" s="745">
        <f>IF(Select2=1,Garden!$W35,"")</f>
        <v>0</v>
      </c>
      <c r="X33" s="736">
        <f>IF(Select2=1,Wood!$W35,"")</f>
        <v>0</v>
      </c>
      <c r="Y33" s="745">
        <f>IF(Select2=1,Textiles!$W35,"")</f>
        <v>7.2043161187670766E-3</v>
      </c>
      <c r="Z33" s="738">
        <f>Sludge!W35</f>
        <v>0</v>
      </c>
      <c r="AA33" s="738" t="str">
        <f>IF(Select2=2,MSW!$W35,"")</f>
        <v/>
      </c>
      <c r="AB33" s="746">
        <f>Industry!$W35</f>
        <v>0</v>
      </c>
      <c r="AC33" s="747">
        <f t="shared" si="0"/>
        <v>0.33771243332611084</v>
      </c>
      <c r="AD33" s="748">
        <f>Recovery_OX!R28</f>
        <v>0</v>
      </c>
      <c r="AE33" s="703"/>
      <c r="AF33" s="750">
        <f>(AC33-AD33)*(1-Recovery_OX!U28)</f>
        <v>0.33771243332611084</v>
      </c>
    </row>
    <row r="34" spans="2:32">
      <c r="B34" s="743">
        <f t="shared" si="1"/>
        <v>2017</v>
      </c>
      <c r="C34" s="744">
        <f>IF(Select2=1,Food!$K36,"")</f>
        <v>0.14029037627950319</v>
      </c>
      <c r="D34" s="745">
        <f>IF(Select2=1,Paper!$K36,"")</f>
        <v>8.5961575638891147E-2</v>
      </c>
      <c r="E34" s="736">
        <f>IF(Select2=1,Nappies!$K36,"")</f>
        <v>0.10386887924214018</v>
      </c>
      <c r="F34" s="745">
        <f>IF(Select2=1,Garden!$K36,"")</f>
        <v>0</v>
      </c>
      <c r="G34" s="736">
        <f>IF(Select2=1,Wood!$K36,"")</f>
        <v>0</v>
      </c>
      <c r="H34" s="745">
        <f>IF(Select2=1,Textiles!$K36,"")</f>
        <v>6.1294995910308476E-3</v>
      </c>
      <c r="I34" s="746">
        <f>Sludge!K36</f>
        <v>0</v>
      </c>
      <c r="J34" s="746" t="str">
        <f>IF(Select2=2,MSW!$K36,"")</f>
        <v/>
      </c>
      <c r="K34" s="746">
        <f>Industry!$K36</f>
        <v>0</v>
      </c>
      <c r="L34" s="747">
        <f t="shared" si="3"/>
        <v>0.33625033075156541</v>
      </c>
      <c r="M34" s="748">
        <f>Recovery_OX!C29</f>
        <v>0</v>
      </c>
      <c r="N34" s="703"/>
      <c r="O34" s="749">
        <f>(L34-M34)*(1-Recovery_OX!F29)</f>
        <v>0.33625033075156541</v>
      </c>
      <c r="P34" s="695"/>
      <c r="Q34" s="705"/>
      <c r="S34" s="743">
        <f t="shared" si="2"/>
        <v>2017</v>
      </c>
      <c r="T34" s="744">
        <f>IF(Select2=1,Food!$W36,"")</f>
        <v>9.3860644254796982E-2</v>
      </c>
      <c r="U34" s="745">
        <f>IF(Select2=1,Paper!$W36,"")</f>
        <v>0.17760656123737842</v>
      </c>
      <c r="V34" s="736">
        <f>IF(Select2=1,Nappies!$W36,"")</f>
        <v>0</v>
      </c>
      <c r="W34" s="745">
        <f>IF(Select2=1,Garden!$W36,"")</f>
        <v>0</v>
      </c>
      <c r="X34" s="736">
        <f>IF(Select2=1,Wood!$W36,"")</f>
        <v>0</v>
      </c>
      <c r="Y34" s="745">
        <f>IF(Select2=1,Textiles!$W36,"")</f>
        <v>6.71725982578723E-3</v>
      </c>
      <c r="Z34" s="738">
        <f>Sludge!W36</f>
        <v>0</v>
      </c>
      <c r="AA34" s="738" t="str">
        <f>IF(Select2=2,MSW!$W36,"")</f>
        <v/>
      </c>
      <c r="AB34" s="746">
        <f>Industry!$W36</f>
        <v>0</v>
      </c>
      <c r="AC34" s="747">
        <f t="shared" si="0"/>
        <v>0.27818446531796265</v>
      </c>
      <c r="AD34" s="748">
        <f>Recovery_OX!R29</f>
        <v>0</v>
      </c>
      <c r="AE34" s="703"/>
      <c r="AF34" s="750">
        <f>(AC34-AD34)*(1-Recovery_OX!U29)</f>
        <v>0.27818446531796265</v>
      </c>
    </row>
    <row r="35" spans="2:32">
      <c r="B35" s="743">
        <f t="shared" si="1"/>
        <v>2018</v>
      </c>
      <c r="C35" s="744">
        <f>IF(Select2=1,Food!$K37,"")</f>
        <v>9.4039451486033765E-2</v>
      </c>
      <c r="D35" s="745">
        <f>IF(Select2=1,Paper!$K37,"")</f>
        <v>8.0150041875079833E-2</v>
      </c>
      <c r="E35" s="736">
        <f>IF(Select2=1,Nappies!$K37,"")</f>
        <v>8.7630518955892106E-2</v>
      </c>
      <c r="F35" s="745">
        <f>IF(Select2=1,Garden!$K37,"")</f>
        <v>0</v>
      </c>
      <c r="G35" s="736">
        <f>IF(Select2=1,Wood!$K37,"")</f>
        <v>0</v>
      </c>
      <c r="H35" s="745">
        <f>IF(Select2=1,Textiles!$K37,"")</f>
        <v>5.7151075377932002E-3</v>
      </c>
      <c r="I35" s="746">
        <f>Sludge!K37</f>
        <v>0</v>
      </c>
      <c r="J35" s="746" t="str">
        <f>IF(Select2=2,MSW!$K37,"")</f>
        <v/>
      </c>
      <c r="K35" s="746">
        <f>Industry!$K37</f>
        <v>0</v>
      </c>
      <c r="L35" s="747">
        <f t="shared" si="3"/>
        <v>0.26753511985479889</v>
      </c>
      <c r="M35" s="748">
        <f>Recovery_OX!C30</f>
        <v>0</v>
      </c>
      <c r="N35" s="703"/>
      <c r="O35" s="749">
        <f>(L35-M35)*(1-Recovery_OX!F30)</f>
        <v>0.26753511985479889</v>
      </c>
      <c r="P35" s="695"/>
      <c r="Q35" s="705"/>
      <c r="S35" s="743">
        <f t="shared" si="2"/>
        <v>2018</v>
      </c>
      <c r="T35" s="744">
        <f>IF(Select2=1,Food!$W37,"")</f>
        <v>6.2916671377810277E-2</v>
      </c>
      <c r="U35" s="745">
        <f>IF(Select2=1,Paper!$W37,"")</f>
        <v>0.16559926007247899</v>
      </c>
      <c r="V35" s="736">
        <f>IF(Select2=1,Nappies!$W37,"")</f>
        <v>0</v>
      </c>
      <c r="W35" s="745">
        <f>IF(Select2=1,Garden!$W37,"")</f>
        <v>0</v>
      </c>
      <c r="X35" s="736">
        <f>IF(Select2=1,Wood!$W37,"")</f>
        <v>0</v>
      </c>
      <c r="Y35" s="745">
        <f>IF(Select2=1,Textiles!$W37,"")</f>
        <v>6.2631315482665206E-3</v>
      </c>
      <c r="Z35" s="738">
        <f>Sludge!W37</f>
        <v>0</v>
      </c>
      <c r="AA35" s="738" t="str">
        <f>IF(Select2=2,MSW!$W37,"")</f>
        <v/>
      </c>
      <c r="AB35" s="746">
        <f>Industry!$W37</f>
        <v>0</v>
      </c>
      <c r="AC35" s="747">
        <f t="shared" si="0"/>
        <v>0.23477906299855578</v>
      </c>
      <c r="AD35" s="748">
        <f>Recovery_OX!R30</f>
        <v>0</v>
      </c>
      <c r="AE35" s="703"/>
      <c r="AF35" s="750">
        <f>(AC35-AD35)*(1-Recovery_OX!U30)</f>
        <v>0.23477906299855578</v>
      </c>
    </row>
    <row r="36" spans="2:32">
      <c r="B36" s="743">
        <f t="shared" si="1"/>
        <v>2019</v>
      </c>
      <c r="C36" s="744">
        <f>IF(Select2=1,Food!$K38,"")</f>
        <v>6.3036529449284423E-2</v>
      </c>
      <c r="D36" s="745">
        <f>IF(Select2=1,Paper!$K38,"")</f>
        <v>7.4731403709527397E-2</v>
      </c>
      <c r="E36" s="736">
        <f>IF(Select2=1,Nappies!$K38,"")</f>
        <v>7.3930785703168633E-2</v>
      </c>
      <c r="F36" s="745">
        <f>IF(Select2=1,Garden!$K38,"")</f>
        <v>0</v>
      </c>
      <c r="G36" s="736">
        <f>IF(Select2=1,Wood!$K38,"")</f>
        <v>0</v>
      </c>
      <c r="H36" s="745">
        <f>IF(Select2=1,Textiles!$K38,"")</f>
        <v>5.3287309483362813E-3</v>
      </c>
      <c r="I36" s="746">
        <f>Sludge!K38</f>
        <v>0</v>
      </c>
      <c r="J36" s="746" t="str">
        <f>IF(Select2=2,MSW!$K38,"")</f>
        <v/>
      </c>
      <c r="K36" s="746">
        <f>Industry!$K38</f>
        <v>0</v>
      </c>
      <c r="L36" s="747">
        <f t="shared" si="3"/>
        <v>0.21702744981031671</v>
      </c>
      <c r="M36" s="748">
        <f>Recovery_OX!C31</f>
        <v>0</v>
      </c>
      <c r="N36" s="703"/>
      <c r="O36" s="749">
        <f>(L36-M36)*(1-Recovery_OX!F31)</f>
        <v>0.21702744981031671</v>
      </c>
      <c r="P36" s="695"/>
      <c r="Q36" s="705"/>
      <c r="S36" s="743">
        <f t="shared" si="2"/>
        <v>2019</v>
      </c>
      <c r="T36" s="744">
        <f>IF(Select2=1,Food!$W38,"")</f>
        <v>4.2174306054382979E-2</v>
      </c>
      <c r="U36" s="745">
        <f>IF(Select2=1,Paper!$W38,"")</f>
        <v>0.15440372667257726</v>
      </c>
      <c r="V36" s="736">
        <f>IF(Select2=1,Nappies!$W38,"")</f>
        <v>0</v>
      </c>
      <c r="W36" s="745">
        <f>IF(Select2=1,Garden!$W38,"")</f>
        <v>0</v>
      </c>
      <c r="X36" s="736">
        <f>IF(Select2=1,Wood!$W38,"")</f>
        <v>0</v>
      </c>
      <c r="Y36" s="745">
        <f>IF(Select2=1,Textiles!$W38,"")</f>
        <v>5.839705148861677E-3</v>
      </c>
      <c r="Z36" s="738">
        <f>Sludge!W38</f>
        <v>0</v>
      </c>
      <c r="AA36" s="738" t="str">
        <f>IF(Select2=2,MSW!$W38,"")</f>
        <v/>
      </c>
      <c r="AB36" s="746">
        <f>Industry!$W38</f>
        <v>0</v>
      </c>
      <c r="AC36" s="747">
        <f t="shared" si="0"/>
        <v>0.2024177378758219</v>
      </c>
      <c r="AD36" s="748">
        <f>Recovery_OX!R31</f>
        <v>0</v>
      </c>
      <c r="AE36" s="703"/>
      <c r="AF36" s="750">
        <f>(AC36-AD36)*(1-Recovery_OX!U31)</f>
        <v>0.2024177378758219</v>
      </c>
    </row>
    <row r="37" spans="2:32">
      <c r="B37" s="743">
        <f t="shared" si="1"/>
        <v>2020</v>
      </c>
      <c r="C37" s="744">
        <f>IF(Select2=1,Food!$K39,"")</f>
        <v>4.2254649322371274E-2</v>
      </c>
      <c r="D37" s="745">
        <f>IF(Select2=1,Paper!$K39,"")</f>
        <v>6.9679098971659803E-2</v>
      </c>
      <c r="E37" s="736">
        <f>IF(Select2=1,Nappies!$K39,"")</f>
        <v>6.2372802761090314E-2</v>
      </c>
      <c r="F37" s="745">
        <f>IF(Select2=1,Garden!$K39,"")</f>
        <v>0</v>
      </c>
      <c r="G37" s="736">
        <f>IF(Select2=1,Wood!$K39,"")</f>
        <v>0</v>
      </c>
      <c r="H37" s="745">
        <f>IF(Select2=1,Textiles!$K39,"")</f>
        <v>4.9684758041703102E-3</v>
      </c>
      <c r="I37" s="746">
        <f>Sludge!K39</f>
        <v>0</v>
      </c>
      <c r="J37" s="746" t="str">
        <f>IF(Select2=2,MSW!$K39,"")</f>
        <v/>
      </c>
      <c r="K37" s="746">
        <f>Industry!$K39</f>
        <v>0</v>
      </c>
      <c r="L37" s="747">
        <f t="shared" si="3"/>
        <v>0.1792750268592917</v>
      </c>
      <c r="M37" s="748">
        <f>Recovery_OX!C32</f>
        <v>0</v>
      </c>
      <c r="N37" s="703"/>
      <c r="O37" s="749">
        <f>(L37-M37)*(1-Recovery_OX!F32)</f>
        <v>0.1792750268592917</v>
      </c>
      <c r="P37" s="695"/>
      <c r="Q37" s="705"/>
      <c r="S37" s="743">
        <f t="shared" si="2"/>
        <v>2020</v>
      </c>
      <c r="T37" s="744">
        <f>IF(Select2=1,Food!$W39,"")</f>
        <v>2.8270282775895141E-2</v>
      </c>
      <c r="U37" s="745">
        <f>IF(Select2=1,Paper!$W39,"")</f>
        <v>0.14396508051995827</v>
      </c>
      <c r="V37" s="736">
        <f>IF(Select2=1,Nappies!$W39,"")</f>
        <v>0</v>
      </c>
      <c r="W37" s="745">
        <f>IF(Select2=1,Garden!$W39,"")</f>
        <v>0</v>
      </c>
      <c r="X37" s="736">
        <f>IF(Select2=1,Wood!$W39,"")</f>
        <v>0</v>
      </c>
      <c r="Y37" s="745">
        <f>IF(Select2=1,Textiles!$W39,"")</f>
        <v>5.4449049908715736E-3</v>
      </c>
      <c r="Z37" s="738">
        <f>Sludge!W39</f>
        <v>0</v>
      </c>
      <c r="AA37" s="738" t="str">
        <f>IF(Select2=2,MSW!$W39,"")</f>
        <v/>
      </c>
      <c r="AB37" s="746">
        <f>Industry!$W39</f>
        <v>0</v>
      </c>
      <c r="AC37" s="747">
        <f t="shared" si="0"/>
        <v>0.17768026828672498</v>
      </c>
      <c r="AD37" s="748">
        <f>Recovery_OX!R32</f>
        <v>0</v>
      </c>
      <c r="AE37" s="703"/>
      <c r="AF37" s="750">
        <f>(AC37-AD37)*(1-Recovery_OX!U32)</f>
        <v>0.17768026828672498</v>
      </c>
    </row>
    <row r="38" spans="2:32">
      <c r="B38" s="743">
        <f t="shared" si="1"/>
        <v>2021</v>
      </c>
      <c r="C38" s="744">
        <f>IF(Select2=1,Food!$K40,"")</f>
        <v>2.8324138478991706E-2</v>
      </c>
      <c r="D38" s="745">
        <f>IF(Select2=1,Paper!$K40,"")</f>
        <v>6.4968361257790513E-2</v>
      </c>
      <c r="E38" s="736">
        <f>IF(Select2=1,Nappies!$K40,"")</f>
        <v>5.2621739202037679E-2</v>
      </c>
      <c r="F38" s="745">
        <f>IF(Select2=1,Garden!$K40,"")</f>
        <v>0</v>
      </c>
      <c r="G38" s="736">
        <f>IF(Select2=1,Wood!$K40,"")</f>
        <v>0</v>
      </c>
      <c r="H38" s="745">
        <f>IF(Select2=1,Textiles!$K40,"")</f>
        <v>4.6325761341606342E-3</v>
      </c>
      <c r="I38" s="746">
        <f>Sludge!K40</f>
        <v>0</v>
      </c>
      <c r="J38" s="746" t="str">
        <f>IF(Select2=2,MSW!$K40,"")</f>
        <v/>
      </c>
      <c r="K38" s="746">
        <f>Industry!$K40</f>
        <v>0</v>
      </c>
      <c r="L38" s="747">
        <f t="shared" si="3"/>
        <v>0.15054681507298051</v>
      </c>
      <c r="M38" s="748">
        <f>Recovery_OX!C33</f>
        <v>0</v>
      </c>
      <c r="N38" s="703"/>
      <c r="O38" s="749">
        <f>(L38-M38)*(1-Recovery_OX!F33)</f>
        <v>0.15054681507298051</v>
      </c>
      <c r="P38" s="695"/>
      <c r="Q38" s="705"/>
      <c r="S38" s="743">
        <f t="shared" si="2"/>
        <v>2021</v>
      </c>
      <c r="T38" s="744">
        <f>IF(Select2=1,Food!$W40,"")</f>
        <v>1.8950137251778576E-2</v>
      </c>
      <c r="U38" s="745">
        <f>IF(Select2=1,Paper!$W40,"")</f>
        <v>0.13423215135907129</v>
      </c>
      <c r="V38" s="736">
        <f>IF(Select2=1,Nappies!$W40,"")</f>
        <v>0</v>
      </c>
      <c r="W38" s="745">
        <f>IF(Select2=1,Garden!$W40,"")</f>
        <v>0</v>
      </c>
      <c r="X38" s="736">
        <f>IF(Select2=1,Wood!$W40,"")</f>
        <v>0</v>
      </c>
      <c r="Y38" s="745">
        <f>IF(Select2=1,Textiles!$W40,"")</f>
        <v>5.0767957634637092E-3</v>
      </c>
      <c r="Z38" s="738">
        <f>Sludge!W40</f>
        <v>0</v>
      </c>
      <c r="AA38" s="738" t="str">
        <f>IF(Select2=2,MSW!$W40,"")</f>
        <v/>
      </c>
      <c r="AB38" s="746">
        <f>Industry!$W40</f>
        <v>0</v>
      </c>
      <c r="AC38" s="747">
        <f t="shared" si="0"/>
        <v>0.15825908437431357</v>
      </c>
      <c r="AD38" s="748">
        <f>Recovery_OX!R33</f>
        <v>0</v>
      </c>
      <c r="AE38" s="703"/>
      <c r="AF38" s="750">
        <f>(AC38-AD38)*(1-Recovery_OX!U33)</f>
        <v>0.15825908437431357</v>
      </c>
    </row>
    <row r="39" spans="2:32">
      <c r="B39" s="743">
        <f t="shared" si="1"/>
        <v>2022</v>
      </c>
      <c r="C39" s="744">
        <f>IF(Select2=1,Food!$K41,"")</f>
        <v>1.8986237809157543E-2</v>
      </c>
      <c r="D39" s="745">
        <f>IF(Select2=1,Paper!$K41,"")</f>
        <v>6.0576098526180913E-2</v>
      </c>
      <c r="E39" s="736">
        <f>IF(Select2=1,Nappies!$K41,"")</f>
        <v>4.4395109952869855E-2</v>
      </c>
      <c r="F39" s="745">
        <f>IF(Select2=1,Garden!$K41,"")</f>
        <v>0</v>
      </c>
      <c r="G39" s="736">
        <f>IF(Select2=1,Wood!$K41,"")</f>
        <v>0</v>
      </c>
      <c r="H39" s="745">
        <f>IF(Select2=1,Textiles!$K41,"")</f>
        <v>4.3193853577351646E-3</v>
      </c>
      <c r="I39" s="746">
        <f>Sludge!K41</f>
        <v>0</v>
      </c>
      <c r="J39" s="746" t="str">
        <f>IF(Select2=2,MSW!$K41,"")</f>
        <v/>
      </c>
      <c r="K39" s="746">
        <f>Industry!$K41</f>
        <v>0</v>
      </c>
      <c r="L39" s="747">
        <f t="shared" si="3"/>
        <v>0.12827683164594347</v>
      </c>
      <c r="M39" s="748">
        <f>Recovery_OX!C34</f>
        <v>0</v>
      </c>
      <c r="N39" s="703"/>
      <c r="O39" s="749">
        <f>(L39-M39)*(1-Recovery_OX!F34)</f>
        <v>0.12827683164594347</v>
      </c>
      <c r="P39" s="695"/>
      <c r="Q39" s="705"/>
      <c r="S39" s="743">
        <f t="shared" si="2"/>
        <v>2022</v>
      </c>
      <c r="T39" s="744">
        <f>IF(Select2=1,Food!$W41,"")</f>
        <v>1.2702656874993898E-2</v>
      </c>
      <c r="U39" s="745">
        <f>IF(Select2=1,Paper!$W41,"")</f>
        <v>0.12515722835987791</v>
      </c>
      <c r="V39" s="736">
        <f>IF(Select2=1,Nappies!$W41,"")</f>
        <v>0</v>
      </c>
      <c r="W39" s="745">
        <f>IF(Select2=1,Garden!$W41,"")</f>
        <v>0</v>
      </c>
      <c r="X39" s="736">
        <f>IF(Select2=1,Wood!$W41,"")</f>
        <v>0</v>
      </c>
      <c r="Y39" s="745">
        <f>IF(Select2=1,Textiles!$W41,"")</f>
        <v>4.7335729947782616E-3</v>
      </c>
      <c r="Z39" s="738">
        <f>Sludge!W41</f>
        <v>0</v>
      </c>
      <c r="AA39" s="738" t="str">
        <f>IF(Select2=2,MSW!$W41,"")</f>
        <v/>
      </c>
      <c r="AB39" s="746">
        <f>Industry!$W41</f>
        <v>0</v>
      </c>
      <c r="AC39" s="747">
        <f t="shared" si="0"/>
        <v>0.14259345822965006</v>
      </c>
      <c r="AD39" s="748">
        <f>Recovery_OX!R34</f>
        <v>0</v>
      </c>
      <c r="AE39" s="703"/>
      <c r="AF39" s="750">
        <f>(AC39-AD39)*(1-Recovery_OX!U34)</f>
        <v>0.14259345822965006</v>
      </c>
    </row>
    <row r="40" spans="2:32">
      <c r="B40" s="743">
        <f t="shared" si="1"/>
        <v>2023</v>
      </c>
      <c r="C40" s="744">
        <f>IF(Select2=1,Food!$K42,"")</f>
        <v>1.2726855802278079E-2</v>
      </c>
      <c r="D40" s="745">
        <f>IF(Select2=1,Paper!$K42,"")</f>
        <v>5.6480779899824904E-2</v>
      </c>
      <c r="E40" s="736">
        <f>IF(Select2=1,Nappies!$K42,"")</f>
        <v>3.7454592296164241E-2</v>
      </c>
      <c r="F40" s="745">
        <f>IF(Select2=1,Garden!$K42,"")</f>
        <v>0</v>
      </c>
      <c r="G40" s="736">
        <f>IF(Select2=1,Wood!$K42,"")</f>
        <v>0</v>
      </c>
      <c r="H40" s="745">
        <f>IF(Select2=1,Textiles!$K42,"")</f>
        <v>4.0273682133445104E-3</v>
      </c>
      <c r="I40" s="746">
        <f>Sludge!K42</f>
        <v>0</v>
      </c>
      <c r="J40" s="746" t="str">
        <f>IF(Select2=2,MSW!$K42,"")</f>
        <v/>
      </c>
      <c r="K40" s="746">
        <f>Industry!$K42</f>
        <v>0</v>
      </c>
      <c r="L40" s="747">
        <f t="shared" si="3"/>
        <v>0.11068959621161173</v>
      </c>
      <c r="M40" s="748">
        <f>Recovery_OX!C35</f>
        <v>0</v>
      </c>
      <c r="N40" s="703"/>
      <c r="O40" s="749">
        <f>(L40-M40)*(1-Recovery_OX!F35)</f>
        <v>0.11068959621161173</v>
      </c>
      <c r="P40" s="695"/>
      <c r="Q40" s="705"/>
      <c r="S40" s="743">
        <f t="shared" si="2"/>
        <v>2023</v>
      </c>
      <c r="T40" s="744">
        <f>IF(Select2=1,Food!$W42,"")</f>
        <v>8.514845541220839E-3</v>
      </c>
      <c r="U40" s="745">
        <f>IF(Select2=1,Paper!$W42,"")</f>
        <v>0.11669582623930766</v>
      </c>
      <c r="V40" s="736">
        <f>IF(Select2=1,Nappies!$W42,"")</f>
        <v>0</v>
      </c>
      <c r="W40" s="745">
        <f>IF(Select2=1,Garden!$W42,"")</f>
        <v>0</v>
      </c>
      <c r="X40" s="736">
        <f>IF(Select2=1,Wood!$W42,"")</f>
        <v>0</v>
      </c>
      <c r="Y40" s="745">
        <f>IF(Select2=1,Textiles!$W42,"")</f>
        <v>4.4135542064049436E-3</v>
      </c>
      <c r="Z40" s="738">
        <f>Sludge!W42</f>
        <v>0</v>
      </c>
      <c r="AA40" s="738" t="str">
        <f>IF(Select2=2,MSW!$W42,"")</f>
        <v/>
      </c>
      <c r="AB40" s="746">
        <f>Industry!$W42</f>
        <v>0</v>
      </c>
      <c r="AC40" s="747">
        <f t="shared" si="0"/>
        <v>0.12962422598693343</v>
      </c>
      <c r="AD40" s="748">
        <f>Recovery_OX!R35</f>
        <v>0</v>
      </c>
      <c r="AE40" s="703"/>
      <c r="AF40" s="750">
        <f>(AC40-AD40)*(1-Recovery_OX!U35)</f>
        <v>0.12962422598693343</v>
      </c>
    </row>
    <row r="41" spans="2:32">
      <c r="B41" s="743">
        <f t="shared" si="1"/>
        <v>2024</v>
      </c>
      <c r="C41" s="744">
        <f>IF(Select2=1,Food!$K43,"")</f>
        <v>8.5310665672719867E-3</v>
      </c>
      <c r="D41" s="745">
        <f>IF(Select2=1,Paper!$K43,"")</f>
        <v>5.2662330122064845E-2</v>
      </c>
      <c r="E41" s="736">
        <f>IF(Select2=1,Nappies!$K43,"")</f>
        <v>3.1599121740235728E-2</v>
      </c>
      <c r="F41" s="745">
        <f>IF(Select2=1,Garden!$K43,"")</f>
        <v>0</v>
      </c>
      <c r="G41" s="736">
        <f>IF(Select2=1,Wood!$K43,"")</f>
        <v>0</v>
      </c>
      <c r="H41" s="745">
        <f>IF(Select2=1,Textiles!$K43,"")</f>
        <v>3.7550932326080822E-3</v>
      </c>
      <c r="I41" s="746">
        <f>Sludge!K43</f>
        <v>0</v>
      </c>
      <c r="J41" s="746" t="str">
        <f>IF(Select2=2,MSW!$K43,"")</f>
        <v/>
      </c>
      <c r="K41" s="746">
        <f>Industry!$K43</f>
        <v>0</v>
      </c>
      <c r="L41" s="747">
        <f t="shared" si="3"/>
        <v>9.6547611662180649E-2</v>
      </c>
      <c r="M41" s="748">
        <f>Recovery_OX!C36</f>
        <v>0</v>
      </c>
      <c r="N41" s="703"/>
      <c r="O41" s="749">
        <f>(L41-M41)*(1-Recovery_OX!F36)</f>
        <v>9.6547611662180649E-2</v>
      </c>
      <c r="P41" s="695"/>
      <c r="Q41" s="705"/>
      <c r="S41" s="743">
        <f t="shared" si="2"/>
        <v>2024</v>
      </c>
      <c r="T41" s="744">
        <f>IF(Select2=1,Food!$W43,"")</f>
        <v>5.7076716551775113E-3</v>
      </c>
      <c r="U41" s="745">
        <f>IF(Select2=1,Paper!$W43,"")</f>
        <v>0.10880646719434885</v>
      </c>
      <c r="V41" s="736">
        <f>IF(Select2=1,Nappies!$W43,"")</f>
        <v>0</v>
      </c>
      <c r="W41" s="745">
        <f>IF(Select2=1,Garden!$W43,"")</f>
        <v>0</v>
      </c>
      <c r="X41" s="736">
        <f>IF(Select2=1,Wood!$W43,"")</f>
        <v>0</v>
      </c>
      <c r="Y41" s="745">
        <f>IF(Select2=1,Textiles!$W43,"")</f>
        <v>4.1151706658718711E-3</v>
      </c>
      <c r="Z41" s="738">
        <f>Sludge!W43</f>
        <v>0</v>
      </c>
      <c r="AA41" s="738" t="str">
        <f>IF(Select2=2,MSW!$W43,"")</f>
        <v/>
      </c>
      <c r="AB41" s="746">
        <f>Industry!$W43</f>
        <v>0</v>
      </c>
      <c r="AC41" s="747">
        <f t="shared" si="0"/>
        <v>0.11862930951539823</v>
      </c>
      <c r="AD41" s="748">
        <f>Recovery_OX!R36</f>
        <v>0</v>
      </c>
      <c r="AE41" s="703"/>
      <c r="AF41" s="750">
        <f>(AC41-AD41)*(1-Recovery_OX!U36)</f>
        <v>0.11862930951539823</v>
      </c>
    </row>
    <row r="42" spans="2:32">
      <c r="B42" s="743">
        <f t="shared" si="1"/>
        <v>2025</v>
      </c>
      <c r="C42" s="744">
        <f>IF(Select2=1,Food!$K44,"")</f>
        <v>5.7185449341068612E-3</v>
      </c>
      <c r="D42" s="745">
        <f>IF(Select2=1,Paper!$K44,"")</f>
        <v>4.9102031147660125E-2</v>
      </c>
      <c r="E42" s="736">
        <f>IF(Select2=1,Nappies!$K44,"")</f>
        <v>2.6659067247582775E-2</v>
      </c>
      <c r="F42" s="745">
        <f>IF(Select2=1,Garden!$K44,"")</f>
        <v>0</v>
      </c>
      <c r="G42" s="736">
        <f>IF(Select2=1,Wood!$K44,"")</f>
        <v>0</v>
      </c>
      <c r="H42" s="745">
        <f>IF(Select2=1,Textiles!$K44,"")</f>
        <v>3.5012257232544253E-3</v>
      </c>
      <c r="I42" s="746">
        <f>Sludge!K44</f>
        <v>0</v>
      </c>
      <c r="J42" s="746" t="str">
        <f>IF(Select2=2,MSW!$K44,"")</f>
        <v/>
      </c>
      <c r="K42" s="746">
        <f>Industry!$K44</f>
        <v>0</v>
      </c>
      <c r="L42" s="747">
        <f t="shared" si="3"/>
        <v>8.4980869052604185E-2</v>
      </c>
      <c r="M42" s="748">
        <f>Recovery_OX!C37</f>
        <v>0</v>
      </c>
      <c r="N42" s="703"/>
      <c r="O42" s="749">
        <f>(L42-M42)*(1-Recovery_OX!F37)</f>
        <v>8.4980869052604185E-2</v>
      </c>
      <c r="P42" s="695"/>
      <c r="Q42" s="705"/>
      <c r="S42" s="743">
        <f t="shared" si="2"/>
        <v>2025</v>
      </c>
      <c r="T42" s="744">
        <f>IF(Select2=1,Food!$W44,"")</f>
        <v>3.8259667266549034E-3</v>
      </c>
      <c r="U42" s="745">
        <f>IF(Select2=1,Paper!$W44,"")</f>
        <v>0.10145047757781017</v>
      </c>
      <c r="V42" s="736">
        <f>IF(Select2=1,Nappies!$W44,"")</f>
        <v>0</v>
      </c>
      <c r="W42" s="745">
        <f>IF(Select2=1,Garden!$W44,"")</f>
        <v>0</v>
      </c>
      <c r="X42" s="736">
        <f>IF(Select2=1,Wood!$W44,"")</f>
        <v>0</v>
      </c>
      <c r="Y42" s="745">
        <f>IF(Select2=1,Textiles!$W44,"")</f>
        <v>3.8369596967171788E-3</v>
      </c>
      <c r="Z42" s="738">
        <f>Sludge!W44</f>
        <v>0</v>
      </c>
      <c r="AA42" s="738" t="str">
        <f>IF(Select2=2,MSW!$W44,"")</f>
        <v/>
      </c>
      <c r="AB42" s="746">
        <f>Industry!$W44</f>
        <v>0</v>
      </c>
      <c r="AC42" s="747">
        <f t="shared" si="0"/>
        <v>0.10911340400118226</v>
      </c>
      <c r="AD42" s="748">
        <f>Recovery_OX!R37</f>
        <v>0</v>
      </c>
      <c r="AE42" s="703"/>
      <c r="AF42" s="750">
        <f>(AC42-AD42)*(1-Recovery_OX!U37)</f>
        <v>0.10911340400118226</v>
      </c>
    </row>
    <row r="43" spans="2:32">
      <c r="B43" s="743">
        <f t="shared" si="1"/>
        <v>2026</v>
      </c>
      <c r="C43" s="744">
        <f>IF(Select2=1,Food!$K45,"")</f>
        <v>3.8332553034873826E-3</v>
      </c>
      <c r="D43" s="745">
        <f>IF(Select2=1,Paper!$K45,"")</f>
        <v>4.5782430386907672E-2</v>
      </c>
      <c r="E43" s="736">
        <f>IF(Select2=1,Nappies!$K45,"")</f>
        <v>2.2491317080062582E-2</v>
      </c>
      <c r="F43" s="745">
        <f>IF(Select2=1,Garden!$K45,"")</f>
        <v>0</v>
      </c>
      <c r="G43" s="736">
        <f>IF(Select2=1,Wood!$K45,"")</f>
        <v>0</v>
      </c>
      <c r="H43" s="745">
        <f>IF(Select2=1,Textiles!$K45,"")</f>
        <v>3.2645212264581598E-3</v>
      </c>
      <c r="I43" s="746">
        <f>Sludge!K45</f>
        <v>0</v>
      </c>
      <c r="J43" s="746" t="str">
        <f>IF(Select2=2,MSW!$K45,"")</f>
        <v/>
      </c>
      <c r="K43" s="746">
        <f>Industry!$K45</f>
        <v>0</v>
      </c>
      <c r="L43" s="747">
        <f t="shared" si="3"/>
        <v>7.5371523996915796E-2</v>
      </c>
      <c r="M43" s="748">
        <f>Recovery_OX!C38</f>
        <v>0</v>
      </c>
      <c r="N43" s="703"/>
      <c r="O43" s="749">
        <f>(L43-M43)*(1-Recovery_OX!F38)</f>
        <v>7.5371523996915796E-2</v>
      </c>
      <c r="P43" s="695"/>
      <c r="Q43" s="705"/>
      <c r="S43" s="743">
        <f t="shared" si="2"/>
        <v>2026</v>
      </c>
      <c r="T43" s="744">
        <f>IF(Select2=1,Food!$W45,"")</f>
        <v>2.5646221923421395E-3</v>
      </c>
      <c r="U43" s="745">
        <f>IF(Select2=1,Paper!$W45,"")</f>
        <v>9.4591798320057166E-2</v>
      </c>
      <c r="V43" s="736">
        <f>IF(Select2=1,Nappies!$W45,"")</f>
        <v>0</v>
      </c>
      <c r="W43" s="745">
        <f>IF(Select2=1,Garden!$W45,"")</f>
        <v>0</v>
      </c>
      <c r="X43" s="736">
        <f>IF(Select2=1,Wood!$W45,"")</f>
        <v>0</v>
      </c>
      <c r="Y43" s="745">
        <f>IF(Select2=1,Textiles!$W45,"")</f>
        <v>3.5775575084472993E-3</v>
      </c>
      <c r="Z43" s="738">
        <f>Sludge!W45</f>
        <v>0</v>
      </c>
      <c r="AA43" s="738" t="str">
        <f>IF(Select2=2,MSW!$W45,"")</f>
        <v/>
      </c>
      <c r="AB43" s="746">
        <f>Industry!$W45</f>
        <v>0</v>
      </c>
      <c r="AC43" s="747">
        <f t="shared" si="0"/>
        <v>0.1007339780208466</v>
      </c>
      <c r="AD43" s="748">
        <f>Recovery_OX!R38</f>
        <v>0</v>
      </c>
      <c r="AE43" s="703"/>
      <c r="AF43" s="750">
        <f>(AC43-AD43)*(1-Recovery_OX!U38)</f>
        <v>0.1007339780208466</v>
      </c>
    </row>
    <row r="44" spans="2:32">
      <c r="B44" s="743">
        <f t="shared" si="1"/>
        <v>2027</v>
      </c>
      <c r="C44" s="744">
        <f>IF(Select2=1,Food!$K46,"")</f>
        <v>2.569507871500021E-3</v>
      </c>
      <c r="D44" s="745">
        <f>IF(Select2=1,Paper!$K46,"")</f>
        <v>4.2687255153027015E-2</v>
      </c>
      <c r="E44" s="736">
        <f>IF(Select2=1,Nappies!$K46,"")</f>
        <v>1.8975132899362111E-2</v>
      </c>
      <c r="F44" s="745">
        <f>IF(Select2=1,Garden!$K46,"")</f>
        <v>0</v>
      </c>
      <c r="G44" s="736">
        <f>IF(Select2=1,Wood!$K46,"")</f>
        <v>0</v>
      </c>
      <c r="H44" s="745">
        <f>IF(Select2=1,Textiles!$K46,"")</f>
        <v>3.0438194165013752E-3</v>
      </c>
      <c r="I44" s="746">
        <f>Sludge!K46</f>
        <v>0</v>
      </c>
      <c r="J44" s="746" t="str">
        <f>IF(Select2=2,MSW!$K46,"")</f>
        <v/>
      </c>
      <c r="K44" s="746">
        <f>Industry!$K46</f>
        <v>0</v>
      </c>
      <c r="L44" s="747">
        <f t="shared" si="3"/>
        <v>6.7275715340390521E-2</v>
      </c>
      <c r="M44" s="748">
        <f>Recovery_OX!C39</f>
        <v>0</v>
      </c>
      <c r="N44" s="703"/>
      <c r="O44" s="749">
        <f>(L44-M44)*(1-Recovery_OX!F39)</f>
        <v>6.7275715340390521E-2</v>
      </c>
      <c r="P44" s="695"/>
      <c r="Q44" s="705"/>
      <c r="S44" s="743">
        <f t="shared" si="2"/>
        <v>2027</v>
      </c>
      <c r="T44" s="744">
        <f>IF(Select2=1,Food!$W46,"")</f>
        <v>1.7191176660348055E-3</v>
      </c>
      <c r="U44" s="745">
        <f>IF(Select2=1,Paper!$W46,"")</f>
        <v>8.819680816741117E-2</v>
      </c>
      <c r="V44" s="736">
        <f>IF(Select2=1,Nappies!$W46,"")</f>
        <v>0</v>
      </c>
      <c r="W44" s="745">
        <f>IF(Select2=1,Garden!$W46,"")</f>
        <v>0</v>
      </c>
      <c r="X44" s="736">
        <f>IF(Select2=1,Wood!$W46,"")</f>
        <v>0</v>
      </c>
      <c r="Y44" s="745">
        <f>IF(Select2=1,Textiles!$W46,"")</f>
        <v>3.3356925112343842E-3</v>
      </c>
      <c r="Z44" s="738">
        <f>Sludge!W46</f>
        <v>0</v>
      </c>
      <c r="AA44" s="738" t="str">
        <f>IF(Select2=2,MSW!$W46,"")</f>
        <v/>
      </c>
      <c r="AB44" s="746">
        <f>Industry!$W46</f>
        <v>0</v>
      </c>
      <c r="AC44" s="747">
        <f t="shared" si="0"/>
        <v>9.3251618344680362E-2</v>
      </c>
      <c r="AD44" s="748">
        <f>Recovery_OX!R39</f>
        <v>0</v>
      </c>
      <c r="AE44" s="703"/>
      <c r="AF44" s="750">
        <f>(AC44-AD44)*(1-Recovery_OX!U39)</f>
        <v>9.3251618344680362E-2</v>
      </c>
    </row>
    <row r="45" spans="2:32">
      <c r="B45" s="743">
        <f t="shared" si="1"/>
        <v>2028</v>
      </c>
      <c r="C45" s="744">
        <f>IF(Select2=1,Food!$K47,"")</f>
        <v>1.7223926347128319E-3</v>
      </c>
      <c r="D45" s="745">
        <f>IF(Select2=1,Paper!$K47,"")</f>
        <v>3.9801332893430727E-2</v>
      </c>
      <c r="E45" s="736">
        <f>IF(Select2=1,Nappies!$K47,"")</f>
        <v>1.6008652017432342E-2</v>
      </c>
      <c r="F45" s="745">
        <f>IF(Select2=1,Garden!$K47,"")</f>
        <v>0</v>
      </c>
      <c r="G45" s="736">
        <f>IF(Select2=1,Wood!$K47,"")</f>
        <v>0</v>
      </c>
      <c r="H45" s="745">
        <f>IF(Select2=1,Textiles!$K47,"")</f>
        <v>2.8380384128556119E-3</v>
      </c>
      <c r="I45" s="746">
        <f>Sludge!K47</f>
        <v>0</v>
      </c>
      <c r="J45" s="746" t="str">
        <f>IF(Select2=2,MSW!$K47,"")</f>
        <v/>
      </c>
      <c r="K45" s="746">
        <f>Industry!$K47</f>
        <v>0</v>
      </c>
      <c r="L45" s="747">
        <f t="shared" si="3"/>
        <v>6.0370415958431511E-2</v>
      </c>
      <c r="M45" s="748">
        <f>Recovery_OX!C40</f>
        <v>0</v>
      </c>
      <c r="N45" s="703"/>
      <c r="O45" s="749">
        <f>(L45-M45)*(1-Recovery_OX!F40)</f>
        <v>6.0370415958431511E-2</v>
      </c>
      <c r="P45" s="695"/>
      <c r="Q45" s="705"/>
      <c r="S45" s="743">
        <f t="shared" si="2"/>
        <v>2028</v>
      </c>
      <c r="T45" s="744">
        <f>IF(Select2=1,Food!$W47,"")</f>
        <v>1.1523590330371316E-3</v>
      </c>
      <c r="U45" s="745">
        <f>IF(Select2=1,Paper!$W47,"")</f>
        <v>8.2234158870724633E-2</v>
      </c>
      <c r="V45" s="736">
        <f>IF(Select2=1,Nappies!$W47,"")</f>
        <v>0</v>
      </c>
      <c r="W45" s="745">
        <f>IF(Select2=1,Garden!$W47,"")</f>
        <v>0</v>
      </c>
      <c r="X45" s="736">
        <f>IF(Select2=1,Wood!$W47,"")</f>
        <v>0</v>
      </c>
      <c r="Y45" s="745">
        <f>IF(Select2=1,Textiles!$W47,"")</f>
        <v>3.1101790825814931E-3</v>
      </c>
      <c r="Z45" s="738">
        <f>Sludge!W47</f>
        <v>0</v>
      </c>
      <c r="AA45" s="738" t="str">
        <f>IF(Select2=2,MSW!$W47,"")</f>
        <v/>
      </c>
      <c r="AB45" s="746">
        <f>Industry!$W47</f>
        <v>0</v>
      </c>
      <c r="AC45" s="747">
        <f t="shared" si="0"/>
        <v>8.6496696986343255E-2</v>
      </c>
      <c r="AD45" s="748">
        <f>Recovery_OX!R40</f>
        <v>0</v>
      </c>
      <c r="AE45" s="703"/>
      <c r="AF45" s="750">
        <f>(AC45-AD45)*(1-Recovery_OX!U40)</f>
        <v>8.6496696986343255E-2</v>
      </c>
    </row>
    <row r="46" spans="2:32">
      <c r="B46" s="743">
        <f t="shared" si="1"/>
        <v>2029</v>
      </c>
      <c r="C46" s="744">
        <f>IF(Select2=1,Food!$K48,"")</f>
        <v>1.1545543101921516E-3</v>
      </c>
      <c r="D46" s="745">
        <f>IF(Select2=1,Paper!$K48,"")</f>
        <v>3.7110516813854147E-2</v>
      </c>
      <c r="E46" s="736">
        <f>IF(Select2=1,Nappies!$K48,"")</f>
        <v>1.3505936468242385E-2</v>
      </c>
      <c r="F46" s="745">
        <f>IF(Select2=1,Garden!$K48,"")</f>
        <v>0</v>
      </c>
      <c r="G46" s="736">
        <f>IF(Select2=1,Wood!$K48,"")</f>
        <v>0</v>
      </c>
      <c r="H46" s="745">
        <f>IF(Select2=1,Textiles!$K48,"")</f>
        <v>2.6461694768022581E-3</v>
      </c>
      <c r="I46" s="746">
        <f>Sludge!K48</f>
        <v>0</v>
      </c>
      <c r="J46" s="746" t="str">
        <f>IF(Select2=2,MSW!$K48,"")</f>
        <v/>
      </c>
      <c r="K46" s="746">
        <f>Industry!$K48</f>
        <v>0</v>
      </c>
      <c r="L46" s="747">
        <f t="shared" si="3"/>
        <v>5.4417177069090945E-2</v>
      </c>
      <c r="M46" s="748">
        <f>Recovery_OX!C41</f>
        <v>0</v>
      </c>
      <c r="N46" s="703"/>
      <c r="O46" s="749">
        <f>(L46-M46)*(1-Recovery_OX!F41)</f>
        <v>5.4417177069090945E-2</v>
      </c>
      <c r="P46" s="695"/>
      <c r="Q46" s="705"/>
      <c r="S46" s="743">
        <f t="shared" si="2"/>
        <v>2029</v>
      </c>
      <c r="T46" s="744">
        <f>IF(Select2=1,Food!$W48,"")</f>
        <v>7.7244936007503481E-4</v>
      </c>
      <c r="U46" s="745">
        <f>IF(Select2=1,Paper!$W48,"")</f>
        <v>7.6674621516227573E-2</v>
      </c>
      <c r="V46" s="736">
        <f>IF(Select2=1,Nappies!$W48,"")</f>
        <v>0</v>
      </c>
      <c r="W46" s="745">
        <f>IF(Select2=1,Garden!$W48,"")</f>
        <v>0</v>
      </c>
      <c r="X46" s="736">
        <f>IF(Select2=1,Wood!$W48,"")</f>
        <v>0</v>
      </c>
      <c r="Y46" s="745">
        <f>IF(Select2=1,Textiles!$W48,"")</f>
        <v>2.8999117553997356E-3</v>
      </c>
      <c r="Z46" s="738">
        <f>Sludge!W48</f>
        <v>0</v>
      </c>
      <c r="AA46" s="738" t="str">
        <f>IF(Select2=2,MSW!$W48,"")</f>
        <v/>
      </c>
      <c r="AB46" s="746">
        <f>Industry!$W48</f>
        <v>0</v>
      </c>
      <c r="AC46" s="747">
        <f t="shared" si="0"/>
        <v>8.0346982631702341E-2</v>
      </c>
      <c r="AD46" s="748">
        <f>Recovery_OX!R41</f>
        <v>0</v>
      </c>
      <c r="AE46" s="703"/>
      <c r="AF46" s="750">
        <f>(AC46-AD46)*(1-Recovery_OX!U41)</f>
        <v>8.0346982631702341E-2</v>
      </c>
    </row>
    <row r="47" spans="2:32">
      <c r="B47" s="743">
        <f t="shared" si="1"/>
        <v>2030</v>
      </c>
      <c r="C47" s="744">
        <f>IF(Select2=1,Food!$K49,"")</f>
        <v>7.7392089835864885E-4</v>
      </c>
      <c r="D47" s="745">
        <f>IF(Select2=1,Paper!$K49,"")</f>
        <v>3.4601616530753387E-2</v>
      </c>
      <c r="E47" s="736">
        <f>IF(Select2=1,Nappies!$K49,"")</f>
        <v>1.1394483413442121E-2</v>
      </c>
      <c r="F47" s="745">
        <f>IF(Select2=1,Garden!$K49,"")</f>
        <v>0</v>
      </c>
      <c r="G47" s="736">
        <f>IF(Select2=1,Wood!$K49,"")</f>
        <v>0</v>
      </c>
      <c r="H47" s="745">
        <f>IF(Select2=1,Textiles!$K49,"")</f>
        <v>2.4672720665941824E-3</v>
      </c>
      <c r="I47" s="746">
        <f>Sludge!K49</f>
        <v>0</v>
      </c>
      <c r="J47" s="746" t="str">
        <f>IF(Select2=2,MSW!$K49,"")</f>
        <v/>
      </c>
      <c r="K47" s="746">
        <f>Industry!$K49</f>
        <v>0</v>
      </c>
      <c r="L47" s="747">
        <f t="shared" si="3"/>
        <v>4.9237292909148342E-2</v>
      </c>
      <c r="M47" s="748">
        <f>Recovery_OX!C42</f>
        <v>0</v>
      </c>
      <c r="N47" s="703"/>
      <c r="O47" s="749">
        <f>(L47-M47)*(1-Recovery_OX!F42)</f>
        <v>4.9237292909148342E-2</v>
      </c>
      <c r="P47" s="695"/>
      <c r="Q47" s="705"/>
      <c r="S47" s="743">
        <f t="shared" si="2"/>
        <v>2030</v>
      </c>
      <c r="T47" s="744">
        <f>IF(Select2=1,Food!$W49,"")</f>
        <v>5.1778829060569753E-4</v>
      </c>
      <c r="U47" s="745">
        <f>IF(Select2=1,Paper!$W49,"")</f>
        <v>7.1490943245358235E-2</v>
      </c>
      <c r="V47" s="736">
        <f>IF(Select2=1,Nappies!$W49,"")</f>
        <v>0</v>
      </c>
      <c r="W47" s="745">
        <f>IF(Select2=1,Garden!$W49,"")</f>
        <v>0</v>
      </c>
      <c r="X47" s="736">
        <f>IF(Select2=1,Wood!$W49,"")</f>
        <v>0</v>
      </c>
      <c r="Y47" s="745">
        <f>IF(Select2=1,Textiles!$W49,"")</f>
        <v>2.7038597990073237E-3</v>
      </c>
      <c r="Z47" s="738">
        <f>Sludge!W49</f>
        <v>0</v>
      </c>
      <c r="AA47" s="738" t="str">
        <f>IF(Select2=2,MSW!$W49,"")</f>
        <v/>
      </c>
      <c r="AB47" s="746">
        <f>Industry!$W49</f>
        <v>0</v>
      </c>
      <c r="AC47" s="747">
        <f t="shared" si="0"/>
        <v>7.4712591334971254E-2</v>
      </c>
      <c r="AD47" s="748">
        <f>Recovery_OX!R42</f>
        <v>0</v>
      </c>
      <c r="AE47" s="703"/>
      <c r="AF47" s="750">
        <f>(AC47-AD47)*(1-Recovery_OX!U42)</f>
        <v>7.4712591334971254E-2</v>
      </c>
    </row>
    <row r="48" spans="2:32">
      <c r="B48" s="743">
        <f t="shared" si="1"/>
        <v>2031</v>
      </c>
      <c r="C48" s="744">
        <f>IF(Select2=1,Food!$K50,"")</f>
        <v>5.1877469221571287E-4</v>
      </c>
      <c r="D48" s="745">
        <f>IF(Select2=1,Paper!$K50,"")</f>
        <v>3.2262333412029956E-2</v>
      </c>
      <c r="E48" s="736">
        <f>IF(Select2=1,Nappies!$K50,"")</f>
        <v>9.6131247592121834E-3</v>
      </c>
      <c r="F48" s="745">
        <f>IF(Select2=1,Garden!$K50,"")</f>
        <v>0</v>
      </c>
      <c r="G48" s="736">
        <f>IF(Select2=1,Wood!$K50,"")</f>
        <v>0</v>
      </c>
      <c r="H48" s="745">
        <f>IF(Select2=1,Textiles!$K50,"")</f>
        <v>2.300469226918993E-3</v>
      </c>
      <c r="I48" s="746">
        <f>Sludge!K50</f>
        <v>0</v>
      </c>
      <c r="J48" s="746" t="str">
        <f>IF(Select2=2,MSW!$K50,"")</f>
        <v/>
      </c>
      <c r="K48" s="746">
        <f>Industry!$K50</f>
        <v>0</v>
      </c>
      <c r="L48" s="747">
        <f t="shared" si="3"/>
        <v>4.4694702090376841E-2</v>
      </c>
      <c r="M48" s="748">
        <f>Recovery_OX!C43</f>
        <v>0</v>
      </c>
      <c r="N48" s="703"/>
      <c r="O48" s="749">
        <f>(L48-M48)*(1-Recovery_OX!F43)</f>
        <v>4.4694702090376841E-2</v>
      </c>
      <c r="P48" s="695"/>
      <c r="Q48" s="705"/>
      <c r="S48" s="743">
        <f t="shared" si="2"/>
        <v>2031</v>
      </c>
      <c r="T48" s="744">
        <f>IF(Select2=1,Food!$W50,"")</f>
        <v>3.4708387079552616E-4</v>
      </c>
      <c r="U48" s="745">
        <f>IF(Select2=1,Paper!$W50,"")</f>
        <v>6.665771366121892E-2</v>
      </c>
      <c r="V48" s="736">
        <f>IF(Select2=1,Nappies!$W50,"")</f>
        <v>0</v>
      </c>
      <c r="W48" s="745">
        <f>IF(Select2=1,Garden!$W50,"")</f>
        <v>0</v>
      </c>
      <c r="X48" s="736">
        <f>IF(Select2=1,Wood!$W50,"")</f>
        <v>0</v>
      </c>
      <c r="Y48" s="745">
        <f>IF(Select2=1,Textiles!$W50,"")</f>
        <v>2.5210621664865682E-3</v>
      </c>
      <c r="Z48" s="738">
        <f>Sludge!W50</f>
        <v>0</v>
      </c>
      <c r="AA48" s="738" t="str">
        <f>IF(Select2=2,MSW!$W50,"")</f>
        <v/>
      </c>
      <c r="AB48" s="746">
        <f>Industry!$W50</f>
        <v>0</v>
      </c>
      <c r="AC48" s="747">
        <f t="shared" si="0"/>
        <v>6.9525859698501016E-2</v>
      </c>
      <c r="AD48" s="748">
        <f>Recovery_OX!R43</f>
        <v>0</v>
      </c>
      <c r="AE48" s="703"/>
      <c r="AF48" s="750">
        <f>(AC48-AD48)*(1-Recovery_OX!U43)</f>
        <v>6.9525859698501016E-2</v>
      </c>
    </row>
    <row r="49" spans="2:32">
      <c r="B49" s="743">
        <f t="shared" si="1"/>
        <v>2032</v>
      </c>
      <c r="C49" s="744">
        <f>IF(Select2=1,Food!$K51,"")</f>
        <v>3.4774507556816121E-4</v>
      </c>
      <c r="D49" s="745">
        <f>IF(Select2=1,Paper!$K51,"")</f>
        <v>3.0081200289121916E-2</v>
      </c>
      <c r="E49" s="736">
        <f>IF(Select2=1,Nappies!$K51,"")</f>
        <v>8.1102551368989022E-3</v>
      </c>
      <c r="F49" s="745">
        <f>IF(Select2=1,Garden!$K51,"")</f>
        <v>0</v>
      </c>
      <c r="G49" s="736">
        <f>IF(Select2=1,Wood!$K51,"")</f>
        <v>0</v>
      </c>
      <c r="H49" s="745">
        <f>IF(Select2=1,Textiles!$K51,"")</f>
        <v>2.1449432900630836E-3</v>
      </c>
      <c r="I49" s="746">
        <f>Sludge!K51</f>
        <v>0</v>
      </c>
      <c r="J49" s="746" t="str">
        <f>IF(Select2=2,MSW!$K51,"")</f>
        <v/>
      </c>
      <c r="K49" s="746">
        <f>Industry!$K51</f>
        <v>0</v>
      </c>
      <c r="L49" s="747">
        <f t="shared" si="3"/>
        <v>4.0684143791652062E-2</v>
      </c>
      <c r="M49" s="748">
        <f>Recovery_OX!C44</f>
        <v>0</v>
      </c>
      <c r="N49" s="703"/>
      <c r="O49" s="749">
        <f>(L49-M49)*(1-Recovery_OX!F44)</f>
        <v>4.0684143791652062E-2</v>
      </c>
      <c r="P49" s="695"/>
      <c r="Q49" s="705"/>
      <c r="S49" s="743">
        <f t="shared" si="2"/>
        <v>2032</v>
      </c>
      <c r="T49" s="744">
        <f>IF(Select2=1,Food!$W51,"")</f>
        <v>2.3265727624988499E-4</v>
      </c>
      <c r="U49" s="745">
        <f>IF(Select2=1,Paper!$W51,"")</f>
        <v>6.2151240266780823E-2</v>
      </c>
      <c r="V49" s="736">
        <f>IF(Select2=1,Nappies!$W51,"")</f>
        <v>0</v>
      </c>
      <c r="W49" s="745">
        <f>IF(Select2=1,Garden!$W51,"")</f>
        <v>0</v>
      </c>
      <c r="X49" s="736">
        <f>IF(Select2=1,Wood!$W51,"")</f>
        <v>0</v>
      </c>
      <c r="Y49" s="745">
        <f>IF(Select2=1,Textiles!$W51,"")</f>
        <v>2.3506227836307767E-3</v>
      </c>
      <c r="Z49" s="738">
        <f>Sludge!W51</f>
        <v>0</v>
      </c>
      <c r="AA49" s="738" t="str">
        <f>IF(Select2=2,MSW!$W51,"")</f>
        <v/>
      </c>
      <c r="AB49" s="746">
        <f>Industry!$W51</f>
        <v>0</v>
      </c>
      <c r="AC49" s="747">
        <f t="shared" ref="AC49:AC80" si="4">SUM(T49:AA49)</f>
        <v>6.4734520326661493E-2</v>
      </c>
      <c r="AD49" s="748">
        <f>Recovery_OX!R44</f>
        <v>0</v>
      </c>
      <c r="AE49" s="703"/>
      <c r="AF49" s="750">
        <f>(AC49-AD49)*(1-Recovery_OX!U44)</f>
        <v>6.4734520326661493E-2</v>
      </c>
    </row>
    <row r="50" spans="2:32">
      <c r="B50" s="743">
        <f t="shared" si="1"/>
        <v>2033</v>
      </c>
      <c r="C50" s="744">
        <f>IF(Select2=1,Food!$K52,"")</f>
        <v>2.3310049506351674E-4</v>
      </c>
      <c r="D50" s="745">
        <f>IF(Select2=1,Paper!$K52,"")</f>
        <v>2.8047525244930302E-2</v>
      </c>
      <c r="E50" s="736">
        <f>IF(Select2=1,Nappies!$K52,"")</f>
        <v>6.8423369126216918E-3</v>
      </c>
      <c r="F50" s="745">
        <f>IF(Select2=1,Garden!$K52,"")</f>
        <v>0</v>
      </c>
      <c r="G50" s="736">
        <f>IF(Select2=1,Wood!$K52,"")</f>
        <v>0</v>
      </c>
      <c r="H50" s="745">
        <f>IF(Select2=1,Textiles!$K52,"")</f>
        <v>1.9999318677035509E-3</v>
      </c>
      <c r="I50" s="746">
        <f>Sludge!K52</f>
        <v>0</v>
      </c>
      <c r="J50" s="746" t="str">
        <f>IF(Select2=2,MSW!$K52,"")</f>
        <v/>
      </c>
      <c r="K50" s="746">
        <f>Industry!$K52</f>
        <v>0</v>
      </c>
      <c r="L50" s="747">
        <f t="shared" si="3"/>
        <v>3.7122894520319062E-2</v>
      </c>
      <c r="M50" s="748">
        <f>Recovery_OX!C45</f>
        <v>0</v>
      </c>
      <c r="N50" s="703"/>
      <c r="O50" s="749">
        <f>(L50-M50)*(1-Recovery_OX!F45)</f>
        <v>3.7122894520319062E-2</v>
      </c>
      <c r="P50" s="695"/>
      <c r="Q50" s="705"/>
      <c r="S50" s="743">
        <f t="shared" si="2"/>
        <v>2033</v>
      </c>
      <c r="T50" s="744">
        <f>IF(Select2=1,Food!$W52,"")</f>
        <v>1.5595483612634934E-4</v>
      </c>
      <c r="U50" s="745">
        <f>IF(Select2=1,Paper!$W52,"")</f>
        <v>5.7949432324236168E-2</v>
      </c>
      <c r="V50" s="736">
        <f>IF(Select2=1,Nappies!$W52,"")</f>
        <v>0</v>
      </c>
      <c r="W50" s="745">
        <f>IF(Select2=1,Garden!$W52,"")</f>
        <v>0</v>
      </c>
      <c r="X50" s="736">
        <f>IF(Select2=1,Wood!$W52,"")</f>
        <v>0</v>
      </c>
      <c r="Y50" s="745">
        <f>IF(Select2=1,Textiles!$W52,"")</f>
        <v>2.1917061563874532E-3</v>
      </c>
      <c r="Z50" s="738">
        <f>Sludge!W52</f>
        <v>0</v>
      </c>
      <c r="AA50" s="738" t="str">
        <f>IF(Select2=2,MSW!$W52,"")</f>
        <v/>
      </c>
      <c r="AB50" s="746">
        <f>Industry!$W52</f>
        <v>0</v>
      </c>
      <c r="AC50" s="747">
        <f t="shared" si="4"/>
        <v>6.029709331674997E-2</v>
      </c>
      <c r="AD50" s="748">
        <f>Recovery_OX!R45</f>
        <v>0</v>
      </c>
      <c r="AE50" s="703"/>
      <c r="AF50" s="750">
        <f>(AC50-AD50)*(1-Recovery_OX!U45)</f>
        <v>6.029709331674997E-2</v>
      </c>
    </row>
    <row r="51" spans="2:32">
      <c r="B51" s="743">
        <f t="shared" si="1"/>
        <v>2034</v>
      </c>
      <c r="C51" s="744">
        <f>IF(Select2=1,Food!$K53,"")</f>
        <v>1.5625193458190684E-4</v>
      </c>
      <c r="D51" s="745">
        <f>IF(Select2=1,Paper!$K53,"")</f>
        <v>2.6151339202029084E-2</v>
      </c>
      <c r="E51" s="736">
        <f>IF(Select2=1,Nappies!$K53,"")</f>
        <v>5.7726389164776456E-3</v>
      </c>
      <c r="F51" s="745">
        <f>IF(Select2=1,Garden!$K53,"")</f>
        <v>0</v>
      </c>
      <c r="G51" s="736">
        <f>IF(Select2=1,Wood!$K53,"")</f>
        <v>0</v>
      </c>
      <c r="H51" s="745">
        <f>IF(Select2=1,Textiles!$K53,"")</f>
        <v>1.8647241136797515E-3</v>
      </c>
      <c r="I51" s="746">
        <f>Sludge!K53</f>
        <v>0</v>
      </c>
      <c r="J51" s="746" t="str">
        <f>IF(Select2=2,MSW!$K53,"")</f>
        <v/>
      </c>
      <c r="K51" s="746">
        <f>Industry!$K53</f>
        <v>0</v>
      </c>
      <c r="L51" s="747">
        <f t="shared" si="3"/>
        <v>3.394495416676839E-2</v>
      </c>
      <c r="M51" s="748">
        <f>Recovery_OX!C46</f>
        <v>0</v>
      </c>
      <c r="N51" s="703"/>
      <c r="O51" s="749">
        <f>(L51-M51)*(1-Recovery_OX!F46)</f>
        <v>3.394495416676839E-2</v>
      </c>
      <c r="P51" s="695"/>
      <c r="Q51" s="705"/>
      <c r="S51" s="743">
        <f t="shared" si="2"/>
        <v>2034</v>
      </c>
      <c r="T51" s="744">
        <f>IF(Select2=1,Food!$W53,"")</f>
        <v>1.0453965293169508E-4</v>
      </c>
      <c r="U51" s="745">
        <f>IF(Select2=1,Paper!$W53,"")</f>
        <v>5.4031692566175793E-2</v>
      </c>
      <c r="V51" s="736">
        <f>IF(Select2=1,Nappies!$W53,"")</f>
        <v>0</v>
      </c>
      <c r="W51" s="745">
        <f>IF(Select2=1,Garden!$W53,"")</f>
        <v>0</v>
      </c>
      <c r="X51" s="736">
        <f>IF(Select2=1,Wood!$W53,"")</f>
        <v>0</v>
      </c>
      <c r="Y51" s="745">
        <f>IF(Select2=1,Textiles!$W53,"")</f>
        <v>2.0435332752654811E-3</v>
      </c>
      <c r="Z51" s="738">
        <f>Sludge!W53</f>
        <v>0</v>
      </c>
      <c r="AA51" s="738" t="str">
        <f>IF(Select2=2,MSW!$W53,"")</f>
        <v/>
      </c>
      <c r="AB51" s="746">
        <f>Industry!$W53</f>
        <v>0</v>
      </c>
      <c r="AC51" s="747">
        <f t="shared" si="4"/>
        <v>5.6179765494372973E-2</v>
      </c>
      <c r="AD51" s="748">
        <f>Recovery_OX!R46</f>
        <v>0</v>
      </c>
      <c r="AE51" s="703"/>
      <c r="AF51" s="750">
        <f>(AC51-AD51)*(1-Recovery_OX!U46)</f>
        <v>5.6179765494372973E-2</v>
      </c>
    </row>
    <row r="52" spans="2:32">
      <c r="B52" s="743">
        <f t="shared" si="1"/>
        <v>2035</v>
      </c>
      <c r="C52" s="744">
        <f>IF(Select2=1,Food!$K54,"")</f>
        <v>1.047388039821015E-4</v>
      </c>
      <c r="D52" s="745">
        <f>IF(Select2=1,Paper!$K54,"")</f>
        <v>2.4383347054236067E-2</v>
      </c>
      <c r="E52" s="736">
        <f>IF(Select2=1,Nappies!$K54,"")</f>
        <v>4.8701723527472601E-3</v>
      </c>
      <c r="F52" s="745">
        <f>IF(Select2=1,Garden!$K54,"")</f>
        <v>0</v>
      </c>
      <c r="G52" s="736">
        <f>IF(Select2=1,Wood!$K54,"")</f>
        <v>0</v>
      </c>
      <c r="H52" s="745">
        <f>IF(Select2=1,Textiles!$K54,"")</f>
        <v>1.7386572394245969E-3</v>
      </c>
      <c r="I52" s="746">
        <f>Sludge!K54</f>
        <v>0</v>
      </c>
      <c r="J52" s="746" t="str">
        <f>IF(Select2=2,MSW!$K54,"")</f>
        <v/>
      </c>
      <c r="K52" s="746">
        <f>Industry!$K54</f>
        <v>0</v>
      </c>
      <c r="L52" s="747">
        <f t="shared" si="3"/>
        <v>3.1096915450390027E-2</v>
      </c>
      <c r="M52" s="748">
        <f>Recovery_OX!C47</f>
        <v>0</v>
      </c>
      <c r="N52" s="703"/>
      <c r="O52" s="749">
        <f>(L52-M52)*(1-Recovery_OX!F47)</f>
        <v>3.1096915450390027E-2</v>
      </c>
      <c r="P52" s="695"/>
      <c r="Q52" s="705"/>
      <c r="S52" s="743">
        <f t="shared" si="2"/>
        <v>2035</v>
      </c>
      <c r="T52" s="744">
        <f>IF(Select2=1,Food!$W54,"")</f>
        <v>7.0075024965723603E-5</v>
      </c>
      <c r="U52" s="745">
        <f>IF(Select2=1,Paper!$W54,"")</f>
        <v>5.037881622776047E-2</v>
      </c>
      <c r="V52" s="736">
        <f>IF(Select2=1,Nappies!$W54,"")</f>
        <v>0</v>
      </c>
      <c r="W52" s="745">
        <f>IF(Select2=1,Garden!$W54,"")</f>
        <v>0</v>
      </c>
      <c r="X52" s="736">
        <f>IF(Select2=1,Wood!$W54,"")</f>
        <v>0</v>
      </c>
      <c r="Y52" s="745">
        <f>IF(Select2=1,Textiles!$W54,"")</f>
        <v>1.9053777966296956E-3</v>
      </c>
      <c r="Z52" s="738">
        <f>Sludge!W54</f>
        <v>0</v>
      </c>
      <c r="AA52" s="738" t="str">
        <f>IF(Select2=2,MSW!$W54,"")</f>
        <v/>
      </c>
      <c r="AB52" s="746">
        <f>Industry!$W54</f>
        <v>0</v>
      </c>
      <c r="AC52" s="747">
        <f t="shared" si="4"/>
        <v>5.2354269049355889E-2</v>
      </c>
      <c r="AD52" s="748">
        <f>Recovery_OX!R47</f>
        <v>0</v>
      </c>
      <c r="AE52" s="703"/>
      <c r="AF52" s="750">
        <f>(AC52-AD52)*(1-Recovery_OX!U47)</f>
        <v>5.2354269049355889E-2</v>
      </c>
    </row>
    <row r="53" spans="2:32">
      <c r="B53" s="743">
        <f t="shared" si="1"/>
        <v>2036</v>
      </c>
      <c r="C53" s="744">
        <f>IF(Select2=1,Food!$K55,"")</f>
        <v>7.0208519907000091E-5</v>
      </c>
      <c r="D53" s="745">
        <f>IF(Select2=1,Paper!$K55,"")</f>
        <v>2.2734882101991621E-2</v>
      </c>
      <c r="E53" s="736">
        <f>IF(Select2=1,Nappies!$K55,"")</f>
        <v>4.1087930647732956E-3</v>
      </c>
      <c r="F53" s="745">
        <f>IF(Select2=1,Garden!$K55,"")</f>
        <v>0</v>
      </c>
      <c r="G53" s="736">
        <f>IF(Select2=1,Wood!$K55,"")</f>
        <v>0</v>
      </c>
      <c r="H53" s="745">
        <f>IF(Select2=1,Textiles!$K55,"")</f>
        <v>1.6211132649742309E-3</v>
      </c>
      <c r="I53" s="746">
        <f>Sludge!K55</f>
        <v>0</v>
      </c>
      <c r="J53" s="746" t="str">
        <f>IF(Select2=2,MSW!$K55,"")</f>
        <v/>
      </c>
      <c r="K53" s="746">
        <f>Industry!$K55</f>
        <v>0</v>
      </c>
      <c r="L53" s="747">
        <f t="shared" si="3"/>
        <v>2.8534996951646151E-2</v>
      </c>
      <c r="M53" s="748">
        <f>Recovery_OX!C48</f>
        <v>0</v>
      </c>
      <c r="N53" s="703"/>
      <c r="O53" s="749">
        <f>(L53-M53)*(1-Recovery_OX!F48)</f>
        <v>2.8534996951646151E-2</v>
      </c>
      <c r="P53" s="695"/>
      <c r="Q53" s="705"/>
      <c r="S53" s="743">
        <f t="shared" si="2"/>
        <v>2036</v>
      </c>
      <c r="T53" s="744">
        <f>IF(Select2=1,Food!$W55,"")</f>
        <v>4.6972693960972424E-5</v>
      </c>
      <c r="U53" s="745">
        <f>IF(Select2=1,Paper!$W55,"")</f>
        <v>4.6972896904941358E-2</v>
      </c>
      <c r="V53" s="736">
        <f>IF(Select2=1,Nappies!$W55,"")</f>
        <v>0</v>
      </c>
      <c r="W53" s="745">
        <f>IF(Select2=1,Garden!$W55,"")</f>
        <v>0</v>
      </c>
      <c r="X53" s="736">
        <f>IF(Select2=1,Wood!$W55,"")</f>
        <v>0</v>
      </c>
      <c r="Y53" s="745">
        <f>IF(Select2=1,Textiles!$W55,"")</f>
        <v>1.7765624821635408E-3</v>
      </c>
      <c r="Z53" s="738">
        <f>Sludge!W55</f>
        <v>0</v>
      </c>
      <c r="AA53" s="738" t="str">
        <f>IF(Select2=2,MSW!$W55,"")</f>
        <v/>
      </c>
      <c r="AB53" s="746">
        <f>Industry!$W55</f>
        <v>0</v>
      </c>
      <c r="AC53" s="747">
        <f t="shared" si="4"/>
        <v>4.879643208106587E-2</v>
      </c>
      <c r="AD53" s="748">
        <f>Recovery_OX!R48</f>
        <v>0</v>
      </c>
      <c r="AE53" s="703"/>
      <c r="AF53" s="750">
        <f>(AC53-AD53)*(1-Recovery_OX!U48)</f>
        <v>4.879643208106587E-2</v>
      </c>
    </row>
    <row r="54" spans="2:32">
      <c r="B54" s="743">
        <f t="shared" si="1"/>
        <v>2037</v>
      </c>
      <c r="C54" s="744">
        <f>IF(Select2=1,Food!$K56,"")</f>
        <v>4.7062178296154402E-5</v>
      </c>
      <c r="D54" s="745">
        <f>IF(Select2=1,Paper!$K56,"")</f>
        <v>2.1197863568187342E-2</v>
      </c>
      <c r="E54" s="736">
        <f>IF(Select2=1,Nappies!$K56,"")</f>
        <v>3.4664441474244558E-3</v>
      </c>
      <c r="F54" s="745">
        <f>IF(Select2=1,Garden!$K56,"")</f>
        <v>0</v>
      </c>
      <c r="G54" s="736">
        <f>IF(Select2=1,Wood!$K56,"")</f>
        <v>0</v>
      </c>
      <c r="H54" s="745">
        <f>IF(Select2=1,Textiles!$K56,"")</f>
        <v>1.5115159896295269E-3</v>
      </c>
      <c r="I54" s="746">
        <f>Sludge!K56</f>
        <v>0</v>
      </c>
      <c r="J54" s="746" t="str">
        <f>IF(Select2=2,MSW!$K56,"")</f>
        <v/>
      </c>
      <c r="K54" s="746">
        <f>Industry!$K56</f>
        <v>0</v>
      </c>
      <c r="L54" s="747">
        <f t="shared" si="3"/>
        <v>2.6222885883537481E-2</v>
      </c>
      <c r="M54" s="748">
        <f>Recovery_OX!C49</f>
        <v>0</v>
      </c>
      <c r="N54" s="703"/>
      <c r="O54" s="749">
        <f>(L54-M54)*(1-Recovery_OX!F49)</f>
        <v>2.6222885883537481E-2</v>
      </c>
      <c r="P54" s="695"/>
      <c r="Q54" s="705"/>
      <c r="S54" s="743">
        <f t="shared" si="2"/>
        <v>2037</v>
      </c>
      <c r="T54" s="744">
        <f>IF(Select2=1,Food!$W56,"")</f>
        <v>3.1486738378337026E-5</v>
      </c>
      <c r="U54" s="745">
        <f>IF(Select2=1,Paper!$W56,"")</f>
        <v>4.3797238777246568E-2</v>
      </c>
      <c r="V54" s="736">
        <f>IF(Select2=1,Nappies!$W56,"")</f>
        <v>0</v>
      </c>
      <c r="W54" s="745">
        <f>IF(Select2=1,Garden!$W56,"")</f>
        <v>0</v>
      </c>
      <c r="X54" s="736">
        <f>IF(Select2=1,Wood!$W56,"")</f>
        <v>0</v>
      </c>
      <c r="Y54" s="745">
        <f>IF(Select2=1,Textiles!$W56,"")</f>
        <v>1.6564558790460571E-3</v>
      </c>
      <c r="Z54" s="738">
        <f>Sludge!W56</f>
        <v>0</v>
      </c>
      <c r="AA54" s="738" t="str">
        <f>IF(Select2=2,MSW!$W56,"")</f>
        <v/>
      </c>
      <c r="AB54" s="746">
        <f>Industry!$W56</f>
        <v>0</v>
      </c>
      <c r="AC54" s="747">
        <f t="shared" si="4"/>
        <v>4.5485181394670962E-2</v>
      </c>
      <c r="AD54" s="748">
        <f>Recovery_OX!R49</f>
        <v>0</v>
      </c>
      <c r="AE54" s="703"/>
      <c r="AF54" s="750">
        <f>(AC54-AD54)*(1-Recovery_OX!U49)</f>
        <v>4.5485181394670962E-2</v>
      </c>
    </row>
    <row r="55" spans="2:32">
      <c r="B55" s="743">
        <f t="shared" si="1"/>
        <v>2038</v>
      </c>
      <c r="C55" s="744">
        <f>IF(Select2=1,Food!$K57,"")</f>
        <v>3.1546721522015683E-5</v>
      </c>
      <c r="D55" s="745">
        <f>IF(Select2=1,Paper!$K57,"")</f>
        <v>1.9764756986187328E-2</v>
      </c>
      <c r="E55" s="736">
        <f>IF(Select2=1,Nappies!$K57,"")</f>
        <v>2.9245169658784612E-3</v>
      </c>
      <c r="F55" s="745">
        <f>IF(Select2=1,Garden!$K57,"")</f>
        <v>0</v>
      </c>
      <c r="G55" s="736">
        <f>IF(Select2=1,Wood!$K57,"")</f>
        <v>0</v>
      </c>
      <c r="H55" s="745">
        <f>IF(Select2=1,Textiles!$K57,"")</f>
        <v>1.4093281674195943E-3</v>
      </c>
      <c r="I55" s="746">
        <f>Sludge!K57</f>
        <v>0</v>
      </c>
      <c r="J55" s="746" t="str">
        <f>IF(Select2=2,MSW!$K57,"")</f>
        <v/>
      </c>
      <c r="K55" s="746">
        <f>Industry!$K57</f>
        <v>0</v>
      </c>
      <c r="L55" s="747">
        <f t="shared" si="3"/>
        <v>2.41301488410074E-2</v>
      </c>
      <c r="M55" s="748">
        <f>Recovery_OX!C50</f>
        <v>0</v>
      </c>
      <c r="N55" s="703"/>
      <c r="O55" s="749">
        <f>(L55-M55)*(1-Recovery_OX!F50)</f>
        <v>2.41301488410074E-2</v>
      </c>
      <c r="P55" s="695"/>
      <c r="Q55" s="705"/>
      <c r="S55" s="743">
        <f t="shared" si="2"/>
        <v>2038</v>
      </c>
      <c r="T55" s="744">
        <f>IF(Select2=1,Food!$W57,"")</f>
        <v>2.110619191927901E-5</v>
      </c>
      <c r="U55" s="745">
        <f>IF(Select2=1,Paper!$W57,"")</f>
        <v>4.0836274764849849E-2</v>
      </c>
      <c r="V55" s="736">
        <f>IF(Select2=1,Nappies!$W57,"")</f>
        <v>0</v>
      </c>
      <c r="W55" s="745">
        <f>IF(Select2=1,Garden!$W57,"")</f>
        <v>0</v>
      </c>
      <c r="X55" s="736">
        <f>IF(Select2=1,Wood!$W57,"")</f>
        <v>0</v>
      </c>
      <c r="Y55" s="745">
        <f>IF(Select2=1,Textiles!$W57,"")</f>
        <v>1.5444692245694185E-3</v>
      </c>
      <c r="Z55" s="738">
        <f>Sludge!W57</f>
        <v>0</v>
      </c>
      <c r="AA55" s="738" t="str">
        <f>IF(Select2=2,MSW!$W57,"")</f>
        <v/>
      </c>
      <c r="AB55" s="746">
        <f>Industry!$W57</f>
        <v>0</v>
      </c>
      <c r="AC55" s="747">
        <f t="shared" si="4"/>
        <v>4.2401850181338546E-2</v>
      </c>
      <c r="AD55" s="748">
        <f>Recovery_OX!R50</f>
        <v>0</v>
      </c>
      <c r="AE55" s="703"/>
      <c r="AF55" s="750">
        <f>(AC55-AD55)*(1-Recovery_OX!U50)</f>
        <v>4.2401850181338546E-2</v>
      </c>
    </row>
    <row r="56" spans="2:32">
      <c r="B56" s="743">
        <f t="shared" si="1"/>
        <v>2039</v>
      </c>
      <c r="C56" s="744">
        <f>IF(Select2=1,Food!$K58,"")</f>
        <v>2.1146399822911047E-5</v>
      </c>
      <c r="D56" s="745">
        <f>IF(Select2=1,Paper!$K58,"")</f>
        <v>1.8428537265863978E-2</v>
      </c>
      <c r="E56" s="736">
        <f>IF(Select2=1,Nappies!$K58,"")</f>
        <v>2.4673120696508642E-3</v>
      </c>
      <c r="F56" s="745">
        <f>IF(Select2=1,Garden!$K58,"")</f>
        <v>0</v>
      </c>
      <c r="G56" s="736">
        <f>IF(Select2=1,Wood!$K58,"")</f>
        <v>0</v>
      </c>
      <c r="H56" s="745">
        <f>IF(Select2=1,Textiles!$K58,"")</f>
        <v>1.3140488735214056E-3</v>
      </c>
      <c r="I56" s="746">
        <f>Sludge!K58</f>
        <v>0</v>
      </c>
      <c r="J56" s="746" t="str">
        <f>IF(Select2=2,MSW!$K58,"")</f>
        <v/>
      </c>
      <c r="K56" s="746">
        <f>Industry!$K58</f>
        <v>0</v>
      </c>
      <c r="L56" s="747">
        <f t="shared" si="3"/>
        <v>2.2231044608859159E-2</v>
      </c>
      <c r="M56" s="748">
        <f>Recovery_OX!C51</f>
        <v>0</v>
      </c>
      <c r="N56" s="703"/>
      <c r="O56" s="749">
        <f>(L56-M56)*(1-Recovery_OX!F51)</f>
        <v>2.2231044608859159E-2</v>
      </c>
      <c r="P56" s="695"/>
      <c r="Q56" s="705"/>
      <c r="S56" s="743">
        <f t="shared" si="2"/>
        <v>2039</v>
      </c>
      <c r="T56" s="744">
        <f>IF(Select2=1,Food!$W58,"")</f>
        <v>1.4147903538968144E-5</v>
      </c>
      <c r="U56" s="745">
        <f>IF(Select2=1,Paper!$W58,"")</f>
        <v>3.8075490218727234E-2</v>
      </c>
      <c r="V56" s="736">
        <f>IF(Select2=1,Nappies!$W58,"")</f>
        <v>0</v>
      </c>
      <c r="W56" s="745">
        <f>IF(Select2=1,Garden!$W58,"")</f>
        <v>0</v>
      </c>
      <c r="X56" s="736">
        <f>IF(Select2=1,Wood!$W58,"")</f>
        <v>0</v>
      </c>
      <c r="Y56" s="745">
        <f>IF(Select2=1,Textiles!$W58,"")</f>
        <v>1.4400535600234577E-3</v>
      </c>
      <c r="Z56" s="738">
        <f>Sludge!W58</f>
        <v>0</v>
      </c>
      <c r="AA56" s="738" t="str">
        <f>IF(Select2=2,MSW!$W58,"")</f>
        <v/>
      </c>
      <c r="AB56" s="746">
        <f>Industry!$W58</f>
        <v>0</v>
      </c>
      <c r="AC56" s="747">
        <f t="shared" si="4"/>
        <v>3.9529691682289654E-2</v>
      </c>
      <c r="AD56" s="748">
        <f>Recovery_OX!R51</f>
        <v>0</v>
      </c>
      <c r="AE56" s="703"/>
      <c r="AF56" s="750">
        <f>(AC56-AD56)*(1-Recovery_OX!U51)</f>
        <v>3.9529691682289654E-2</v>
      </c>
    </row>
    <row r="57" spans="2:32">
      <c r="B57" s="743">
        <f t="shared" si="1"/>
        <v>2040</v>
      </c>
      <c r="C57" s="744">
        <f>IF(Select2=1,Food!$K59,"")</f>
        <v>1.417485570278177E-5</v>
      </c>
      <c r="D57" s="745">
        <f>IF(Select2=1,Paper!$K59,"")</f>
        <v>1.7182654256598037E-2</v>
      </c>
      <c r="E57" s="736">
        <f>IF(Select2=1,Nappies!$K59,"")</f>
        <v>2.0815843847280403E-3</v>
      </c>
      <c r="F57" s="745">
        <f>IF(Select2=1,Garden!$K59,"")</f>
        <v>0</v>
      </c>
      <c r="G57" s="736">
        <f>IF(Select2=1,Wood!$K59,"")</f>
        <v>0</v>
      </c>
      <c r="H57" s="745">
        <f>IF(Select2=1,Textiles!$K59,"")</f>
        <v>1.2252110487257315E-3</v>
      </c>
      <c r="I57" s="746">
        <f>Sludge!K59</f>
        <v>0</v>
      </c>
      <c r="J57" s="746" t="str">
        <f>IF(Select2=2,MSW!$K59,"")</f>
        <v/>
      </c>
      <c r="K57" s="746">
        <f>Industry!$K59</f>
        <v>0</v>
      </c>
      <c r="L57" s="747">
        <f t="shared" si="3"/>
        <v>2.0503624545754589E-2</v>
      </c>
      <c r="M57" s="748">
        <f>Recovery_OX!C52</f>
        <v>0</v>
      </c>
      <c r="N57" s="703"/>
      <c r="O57" s="749">
        <f>(L57-M57)*(1-Recovery_OX!F52)</f>
        <v>2.0503624545754589E-2</v>
      </c>
      <c r="P57" s="695"/>
      <c r="Q57" s="705"/>
      <c r="S57" s="743">
        <f t="shared" si="2"/>
        <v>2040</v>
      </c>
      <c r="T57" s="744">
        <f>IF(Select2=1,Food!$W59,"")</f>
        <v>9.4836233515489102E-6</v>
      </c>
      <c r="U57" s="745">
        <f>IF(Select2=1,Paper!$W59,"")</f>
        <v>3.5501351769830651E-2</v>
      </c>
      <c r="V57" s="736">
        <f>IF(Select2=1,Nappies!$W59,"")</f>
        <v>0</v>
      </c>
      <c r="W57" s="745">
        <f>IF(Select2=1,Garden!$W59,"")</f>
        <v>0</v>
      </c>
      <c r="X57" s="736">
        <f>IF(Select2=1,Wood!$W59,"")</f>
        <v>0</v>
      </c>
      <c r="Y57" s="745">
        <f>IF(Select2=1,Textiles!$W59,"")</f>
        <v>1.3426970396994316E-3</v>
      </c>
      <c r="Z57" s="738">
        <f>Sludge!W59</f>
        <v>0</v>
      </c>
      <c r="AA57" s="738" t="str">
        <f>IF(Select2=2,MSW!$W59,"")</f>
        <v/>
      </c>
      <c r="AB57" s="746">
        <f>Industry!$W59</f>
        <v>0</v>
      </c>
      <c r="AC57" s="747">
        <f t="shared" si="4"/>
        <v>3.6853532432881628E-2</v>
      </c>
      <c r="AD57" s="748">
        <f>Recovery_OX!R52</f>
        <v>0</v>
      </c>
      <c r="AE57" s="703"/>
      <c r="AF57" s="750">
        <f>(AC57-AD57)*(1-Recovery_OX!U52)</f>
        <v>3.6853532432881628E-2</v>
      </c>
    </row>
    <row r="58" spans="2:32">
      <c r="B58" s="743">
        <f t="shared" si="1"/>
        <v>2041</v>
      </c>
      <c r="C58" s="744">
        <f>IF(Select2=1,Food!$K60,"")</f>
        <v>9.5016899272372205E-6</v>
      </c>
      <c r="D58" s="745">
        <f>IF(Select2=1,Paper!$K60,"")</f>
        <v>1.6021000638432644E-2</v>
      </c>
      <c r="E58" s="736">
        <f>IF(Select2=1,Nappies!$K60,"")</f>
        <v>1.7561595081714784E-3</v>
      </c>
      <c r="F58" s="745">
        <f>IF(Select2=1,Garden!$K60,"")</f>
        <v>0</v>
      </c>
      <c r="G58" s="736">
        <f>IF(Select2=1,Wood!$K60,"")</f>
        <v>0</v>
      </c>
      <c r="H58" s="745">
        <f>IF(Select2=1,Textiles!$K60,"")</f>
        <v>1.1423792099123577E-3</v>
      </c>
      <c r="I58" s="746">
        <f>Sludge!K60</f>
        <v>0</v>
      </c>
      <c r="J58" s="746" t="str">
        <f>IF(Select2=2,MSW!$K60,"")</f>
        <v/>
      </c>
      <c r="K58" s="746">
        <f>Industry!$K60</f>
        <v>0</v>
      </c>
      <c r="L58" s="747">
        <f t="shared" si="3"/>
        <v>1.8929041046443718E-2</v>
      </c>
      <c r="M58" s="748">
        <f>Recovery_OX!C53</f>
        <v>0</v>
      </c>
      <c r="N58" s="703"/>
      <c r="O58" s="749">
        <f>(L58-M58)*(1-Recovery_OX!F53)</f>
        <v>1.8929041046443718E-2</v>
      </c>
      <c r="P58" s="695"/>
      <c r="Q58" s="705"/>
      <c r="S58" s="743">
        <f t="shared" si="2"/>
        <v>2041</v>
      </c>
      <c r="T58" s="744">
        <f>IF(Select2=1,Food!$W60,"")</f>
        <v>6.3570628415949295E-6</v>
      </c>
      <c r="U58" s="745">
        <f>IF(Select2=1,Paper!$W60,"")</f>
        <v>3.3101240988497198E-2</v>
      </c>
      <c r="V58" s="736">
        <f>IF(Select2=1,Nappies!$W60,"")</f>
        <v>0</v>
      </c>
      <c r="W58" s="745">
        <f>IF(Select2=1,Garden!$W60,"")</f>
        <v>0</v>
      </c>
      <c r="X58" s="736">
        <f>IF(Select2=1,Wood!$W60,"")</f>
        <v>0</v>
      </c>
      <c r="Y58" s="745">
        <f>IF(Select2=1,Textiles!$W60,"")</f>
        <v>1.2519224218217615E-3</v>
      </c>
      <c r="Z58" s="738">
        <f>Sludge!W60</f>
        <v>0</v>
      </c>
      <c r="AA58" s="738" t="str">
        <f>IF(Select2=2,MSW!$W60,"")</f>
        <v/>
      </c>
      <c r="AB58" s="746">
        <f>Industry!$W60</f>
        <v>0</v>
      </c>
      <c r="AC58" s="747">
        <f t="shared" si="4"/>
        <v>3.435952047316055E-2</v>
      </c>
      <c r="AD58" s="748">
        <f>Recovery_OX!R53</f>
        <v>0</v>
      </c>
      <c r="AE58" s="703"/>
      <c r="AF58" s="750">
        <f>(AC58-AD58)*(1-Recovery_OX!U53)</f>
        <v>3.435952047316055E-2</v>
      </c>
    </row>
    <row r="59" spans="2:32">
      <c r="B59" s="743">
        <f t="shared" si="1"/>
        <v>2042</v>
      </c>
      <c r="C59" s="744">
        <f>IF(Select2=1,Food!$K61,"")</f>
        <v>6.3691732294420243E-6</v>
      </c>
      <c r="D59" s="745">
        <f>IF(Select2=1,Paper!$K61,"")</f>
        <v>1.4937881983983849E-2</v>
      </c>
      <c r="E59" s="736">
        <f>IF(Select2=1,Nappies!$K61,"")</f>
        <v>1.4816099893754857E-3</v>
      </c>
      <c r="F59" s="745">
        <f>IF(Select2=1,Garden!$K61,"")</f>
        <v>0</v>
      </c>
      <c r="G59" s="736">
        <f>IF(Select2=1,Wood!$K61,"")</f>
        <v>0</v>
      </c>
      <c r="H59" s="745">
        <f>IF(Select2=1,Textiles!$K61,"")</f>
        <v>1.0651473153113224E-3</v>
      </c>
      <c r="I59" s="746">
        <f>Sludge!K61</f>
        <v>0</v>
      </c>
      <c r="J59" s="746" t="str">
        <f>IF(Select2=2,MSW!$K61,"")</f>
        <v/>
      </c>
      <c r="K59" s="746">
        <f>Industry!$K61</f>
        <v>0</v>
      </c>
      <c r="L59" s="747">
        <f t="shared" si="3"/>
        <v>1.7491008461900097E-2</v>
      </c>
      <c r="M59" s="748">
        <f>Recovery_OX!C54</f>
        <v>0</v>
      </c>
      <c r="N59" s="703"/>
      <c r="O59" s="749">
        <f>(L59-M59)*(1-Recovery_OX!F54)</f>
        <v>1.7491008461900097E-2</v>
      </c>
      <c r="P59" s="695"/>
      <c r="Q59" s="705"/>
      <c r="S59" s="743">
        <f t="shared" si="2"/>
        <v>2042</v>
      </c>
      <c r="T59" s="744">
        <f>IF(Select2=1,Food!$W61,"")</f>
        <v>4.2612666566293653E-6</v>
      </c>
      <c r="U59" s="745">
        <f>IF(Select2=1,Paper!$W61,"")</f>
        <v>3.0863392528892253E-2</v>
      </c>
      <c r="V59" s="736">
        <f>IF(Select2=1,Nappies!$W61,"")</f>
        <v>0</v>
      </c>
      <c r="W59" s="745">
        <f>IF(Select2=1,Garden!$W61,"")</f>
        <v>0</v>
      </c>
      <c r="X59" s="736">
        <f>IF(Select2=1,Wood!$W61,"")</f>
        <v>0</v>
      </c>
      <c r="Y59" s="745">
        <f>IF(Select2=1,Textiles!$W61,"")</f>
        <v>1.1672847291082982E-3</v>
      </c>
      <c r="Z59" s="738">
        <f>Sludge!W61</f>
        <v>0</v>
      </c>
      <c r="AA59" s="738" t="str">
        <f>IF(Select2=2,MSW!$W61,"")</f>
        <v/>
      </c>
      <c r="AB59" s="746">
        <f>Industry!$W61</f>
        <v>0</v>
      </c>
      <c r="AC59" s="747">
        <f t="shared" si="4"/>
        <v>3.2034938524657178E-2</v>
      </c>
      <c r="AD59" s="748">
        <f>Recovery_OX!R54</f>
        <v>0</v>
      </c>
      <c r="AE59" s="703"/>
      <c r="AF59" s="750">
        <f>(AC59-AD59)*(1-Recovery_OX!U54)</f>
        <v>3.2034938524657178E-2</v>
      </c>
    </row>
    <row r="60" spans="2:32">
      <c r="B60" s="743">
        <f t="shared" si="1"/>
        <v>2043</v>
      </c>
      <c r="C60" s="744">
        <f>IF(Select2=1,Food!$K62,"")</f>
        <v>4.2693844923685392E-6</v>
      </c>
      <c r="D60" s="745">
        <f>IF(Select2=1,Paper!$K62,"")</f>
        <v>1.3927988844350947E-2</v>
      </c>
      <c r="E60" s="736">
        <f>IF(Select2=1,Nappies!$K62,"")</f>
        <v>1.249982219953839E-3</v>
      </c>
      <c r="F60" s="745">
        <f>IF(Select2=1,Garden!$K62,"")</f>
        <v>0</v>
      </c>
      <c r="G60" s="736">
        <f>IF(Select2=1,Wood!$K62,"")</f>
        <v>0</v>
      </c>
      <c r="H60" s="745">
        <f>IF(Select2=1,Textiles!$K62,"")</f>
        <v>9.9313677408568936E-4</v>
      </c>
      <c r="I60" s="746">
        <f>Sludge!K62</f>
        <v>0</v>
      </c>
      <c r="J60" s="746" t="str">
        <f>IF(Select2=2,MSW!$K62,"")</f>
        <v/>
      </c>
      <c r="K60" s="746">
        <f>Industry!$K62</f>
        <v>0</v>
      </c>
      <c r="L60" s="747">
        <f t="shared" si="3"/>
        <v>1.6175377222882842E-2</v>
      </c>
      <c r="M60" s="748">
        <f>Recovery_OX!C55</f>
        <v>0</v>
      </c>
      <c r="N60" s="703"/>
      <c r="O60" s="749">
        <f>(L60-M60)*(1-Recovery_OX!F55)</f>
        <v>1.6175377222882842E-2</v>
      </c>
      <c r="P60" s="695"/>
      <c r="Q60" s="705"/>
      <c r="S60" s="743">
        <f t="shared" si="2"/>
        <v>2043</v>
      </c>
      <c r="T60" s="744">
        <f>IF(Select2=1,Food!$W62,"")</f>
        <v>2.8564124614419306E-6</v>
      </c>
      <c r="U60" s="745">
        <f>IF(Select2=1,Paper!$W62,"")</f>
        <v>2.8776836455270551E-2</v>
      </c>
      <c r="V60" s="736">
        <f>IF(Select2=1,Nappies!$W62,"")</f>
        <v>0</v>
      </c>
      <c r="W60" s="745">
        <f>IF(Select2=1,Garden!$W62,"")</f>
        <v>0</v>
      </c>
      <c r="X60" s="736">
        <f>IF(Select2=1,Wood!$W62,"")</f>
        <v>0</v>
      </c>
      <c r="Y60" s="745">
        <f>IF(Select2=1,Textiles!$W62,"")</f>
        <v>1.0883690674911664E-3</v>
      </c>
      <c r="Z60" s="738">
        <f>Sludge!W62</f>
        <v>0</v>
      </c>
      <c r="AA60" s="738" t="str">
        <f>IF(Select2=2,MSW!$W62,"")</f>
        <v/>
      </c>
      <c r="AB60" s="746">
        <f>Industry!$W62</f>
        <v>0</v>
      </c>
      <c r="AC60" s="747">
        <f t="shared" si="4"/>
        <v>2.9868061935223161E-2</v>
      </c>
      <c r="AD60" s="748">
        <f>Recovery_OX!R55</f>
        <v>0</v>
      </c>
      <c r="AE60" s="703"/>
      <c r="AF60" s="750">
        <f>(AC60-AD60)*(1-Recovery_OX!U55)</f>
        <v>2.9868061935223161E-2</v>
      </c>
    </row>
    <row r="61" spans="2:32">
      <c r="B61" s="743">
        <f t="shared" si="1"/>
        <v>2044</v>
      </c>
      <c r="C61" s="744">
        <f>IF(Select2=1,Food!$K63,"")</f>
        <v>2.8618540094683241E-6</v>
      </c>
      <c r="D61" s="745">
        <f>IF(Select2=1,Paper!$K63,"")</f>
        <v>1.2986370722191814E-2</v>
      </c>
      <c r="E61" s="736">
        <f>IF(Select2=1,Nappies!$K63,"")</f>
        <v>1.0545660203460962E-3</v>
      </c>
      <c r="F61" s="745">
        <f>IF(Select2=1,Garden!$K63,"")</f>
        <v>0</v>
      </c>
      <c r="G61" s="736">
        <f>IF(Select2=1,Wood!$K63,"")</f>
        <v>0</v>
      </c>
      <c r="H61" s="745">
        <f>IF(Select2=1,Textiles!$K63,"")</f>
        <v>9.2599459047882672E-4</v>
      </c>
      <c r="I61" s="746">
        <f>Sludge!K63</f>
        <v>0</v>
      </c>
      <c r="J61" s="746" t="str">
        <f>IF(Select2=2,MSW!$K63,"")</f>
        <v/>
      </c>
      <c r="K61" s="746">
        <f>Industry!$K63</f>
        <v>0</v>
      </c>
      <c r="L61" s="747">
        <f t="shared" si="3"/>
        <v>1.4969793187026206E-2</v>
      </c>
      <c r="M61" s="748">
        <f>Recovery_OX!C56</f>
        <v>0</v>
      </c>
      <c r="N61" s="703"/>
      <c r="O61" s="749">
        <f>(L61-M61)*(1-Recovery_OX!F56)</f>
        <v>1.4969793187026206E-2</v>
      </c>
      <c r="P61" s="695"/>
      <c r="Q61" s="705"/>
      <c r="S61" s="743">
        <f t="shared" si="2"/>
        <v>2044</v>
      </c>
      <c r="T61" s="744">
        <f>IF(Select2=1,Food!$W63,"")</f>
        <v>1.9147105326505291E-6</v>
      </c>
      <c r="U61" s="745">
        <f>IF(Select2=1,Paper!$W63,"")</f>
        <v>2.6831344467338456E-2</v>
      </c>
      <c r="V61" s="736">
        <f>IF(Select2=1,Nappies!$W63,"")</f>
        <v>0</v>
      </c>
      <c r="W61" s="745">
        <f>IF(Select2=1,Garden!$W63,"")</f>
        <v>0</v>
      </c>
      <c r="X61" s="736">
        <f>IF(Select2=1,Wood!$W63,"")</f>
        <v>0</v>
      </c>
      <c r="Y61" s="745">
        <f>IF(Select2=1,Textiles!$W63,"")</f>
        <v>1.0147885923055633E-3</v>
      </c>
      <c r="Z61" s="738">
        <f>Sludge!W63</f>
        <v>0</v>
      </c>
      <c r="AA61" s="738" t="str">
        <f>IF(Select2=2,MSW!$W63,"")</f>
        <v/>
      </c>
      <c r="AB61" s="746">
        <f>Industry!$W63</f>
        <v>0</v>
      </c>
      <c r="AC61" s="747">
        <f t="shared" si="4"/>
        <v>2.7848047770176673E-2</v>
      </c>
      <c r="AD61" s="748">
        <f>Recovery_OX!R56</f>
        <v>0</v>
      </c>
      <c r="AE61" s="703"/>
      <c r="AF61" s="750">
        <f>(AC61-AD61)*(1-Recovery_OX!U56)</f>
        <v>2.7848047770176673E-2</v>
      </c>
    </row>
    <row r="62" spans="2:32">
      <c r="B62" s="743">
        <f t="shared" si="1"/>
        <v>2045</v>
      </c>
      <c r="C62" s="744">
        <f>IF(Select2=1,Food!$K64,"")</f>
        <v>1.9183581113740861E-6</v>
      </c>
      <c r="D62" s="745">
        <f>IF(Select2=1,Paper!$K64,"")</f>
        <v>1.2108411804379195E-2</v>
      </c>
      <c r="E62" s="736">
        <f>IF(Select2=1,Nappies!$K64,"")</f>
        <v>8.8970024814406757E-4</v>
      </c>
      <c r="F62" s="745">
        <f>IF(Select2=1,Garden!$K64,"")</f>
        <v>0</v>
      </c>
      <c r="G62" s="736">
        <f>IF(Select2=1,Wood!$K64,"")</f>
        <v>0</v>
      </c>
      <c r="H62" s="745">
        <f>IF(Select2=1,Textiles!$K64,"")</f>
        <v>8.6339163342879729E-4</v>
      </c>
      <c r="I62" s="746">
        <f>Sludge!K64</f>
        <v>0</v>
      </c>
      <c r="J62" s="746" t="str">
        <f>IF(Select2=2,MSW!$K64,"")</f>
        <v/>
      </c>
      <c r="K62" s="746">
        <f>Industry!$K64</f>
        <v>0</v>
      </c>
      <c r="L62" s="747">
        <f t="shared" si="3"/>
        <v>1.3863422044063434E-2</v>
      </c>
      <c r="M62" s="748">
        <f>Recovery_OX!C57</f>
        <v>0</v>
      </c>
      <c r="N62" s="703"/>
      <c r="O62" s="749">
        <f>(L62-M62)*(1-Recovery_OX!F57)</f>
        <v>1.3863422044063434E-2</v>
      </c>
      <c r="P62" s="695"/>
      <c r="Q62" s="705"/>
      <c r="S62" s="743">
        <f t="shared" si="2"/>
        <v>2045</v>
      </c>
      <c r="T62" s="744">
        <f>IF(Select2=1,Food!$W64,"")</f>
        <v>1.2834688523912261E-6</v>
      </c>
      <c r="U62" s="745">
        <f>IF(Select2=1,Paper!$W64,"")</f>
        <v>2.5017379761114032E-2</v>
      </c>
      <c r="V62" s="736">
        <f>IF(Select2=1,Nappies!$W64,"")</f>
        <v>0</v>
      </c>
      <c r="W62" s="745">
        <f>IF(Select2=1,Garden!$W64,"")</f>
        <v>0</v>
      </c>
      <c r="X62" s="736">
        <f>IF(Select2=1,Wood!$W64,"")</f>
        <v>0</v>
      </c>
      <c r="Y62" s="745">
        <f>IF(Select2=1,Textiles!$W64,"")</f>
        <v>9.4618261197676424E-4</v>
      </c>
      <c r="Z62" s="738">
        <f>Sludge!W64</f>
        <v>0</v>
      </c>
      <c r="AA62" s="738" t="str">
        <f>IF(Select2=2,MSW!$W64,"")</f>
        <v/>
      </c>
      <c r="AB62" s="746">
        <f>Industry!$W64</f>
        <v>0</v>
      </c>
      <c r="AC62" s="747">
        <f t="shared" si="4"/>
        <v>2.5964845841943189E-2</v>
      </c>
      <c r="AD62" s="748">
        <f>Recovery_OX!R57</f>
        <v>0</v>
      </c>
      <c r="AE62" s="703"/>
      <c r="AF62" s="750">
        <f>(AC62-AD62)*(1-Recovery_OX!U57)</f>
        <v>2.5964845841943189E-2</v>
      </c>
    </row>
    <row r="63" spans="2:32">
      <c r="B63" s="743">
        <f t="shared" si="1"/>
        <v>2046</v>
      </c>
      <c r="C63" s="744">
        <f>IF(Select2=1,Food!$K65,"")</f>
        <v>1.2859138975291194E-6</v>
      </c>
      <c r="D63" s="745">
        <f>IF(Select2=1,Paper!$K65,"")</f>
        <v>1.1289808335279393E-2</v>
      </c>
      <c r="E63" s="736">
        <f>IF(Select2=1,Nappies!$K65,"")</f>
        <v>7.5060879667622179E-4</v>
      </c>
      <c r="F63" s="745">
        <f>IF(Select2=1,Garden!$K65,"")</f>
        <v>0</v>
      </c>
      <c r="G63" s="736">
        <f>IF(Select2=1,Wood!$K65,"")</f>
        <v>0</v>
      </c>
      <c r="H63" s="745">
        <f>IF(Select2=1,Textiles!$K65,"")</f>
        <v>8.0502102316751256E-4</v>
      </c>
      <c r="I63" s="746">
        <f>Sludge!K65</f>
        <v>0</v>
      </c>
      <c r="J63" s="746" t="str">
        <f>IF(Select2=2,MSW!$K65,"")</f>
        <v/>
      </c>
      <c r="K63" s="746">
        <f>Industry!$K65</f>
        <v>0</v>
      </c>
      <c r="L63" s="747">
        <f t="shared" si="3"/>
        <v>1.2846724069020656E-2</v>
      </c>
      <c r="M63" s="748">
        <f>Recovery_OX!C58</f>
        <v>0</v>
      </c>
      <c r="N63" s="703"/>
      <c r="O63" s="749">
        <f>(L63-M63)*(1-Recovery_OX!F58)</f>
        <v>1.2846724069020656E-2</v>
      </c>
      <c r="P63" s="695"/>
      <c r="Q63" s="705"/>
      <c r="S63" s="743">
        <f t="shared" si="2"/>
        <v>2046</v>
      </c>
      <c r="T63" s="744">
        <f>IF(Select2=1,Food!$W65,"")</f>
        <v>8.6033490022019576E-7</v>
      </c>
      <c r="U63" s="745">
        <f>IF(Select2=1,Paper!$W65,"")</f>
        <v>2.332605027950287E-2</v>
      </c>
      <c r="V63" s="736">
        <f>IF(Select2=1,Nappies!$W65,"")</f>
        <v>0</v>
      </c>
      <c r="W63" s="745">
        <f>IF(Select2=1,Garden!$W65,"")</f>
        <v>0</v>
      </c>
      <c r="X63" s="736">
        <f>IF(Select2=1,Wood!$W65,"")</f>
        <v>0</v>
      </c>
      <c r="Y63" s="745">
        <f>IF(Select2=1,Textiles!$W65,"")</f>
        <v>8.8221481990960276E-4</v>
      </c>
      <c r="Z63" s="738">
        <f>Sludge!W65</f>
        <v>0</v>
      </c>
      <c r="AA63" s="738" t="str">
        <f>IF(Select2=2,MSW!$W65,"")</f>
        <v/>
      </c>
      <c r="AB63" s="746">
        <f>Industry!$W65</f>
        <v>0</v>
      </c>
      <c r="AC63" s="747">
        <f t="shared" si="4"/>
        <v>2.4209125434312691E-2</v>
      </c>
      <c r="AD63" s="748">
        <f>Recovery_OX!R58</f>
        <v>0</v>
      </c>
      <c r="AE63" s="703"/>
      <c r="AF63" s="750">
        <f>(AC63-AD63)*(1-Recovery_OX!U58)</f>
        <v>2.4209125434312691E-2</v>
      </c>
    </row>
    <row r="64" spans="2:32">
      <c r="B64" s="743">
        <f t="shared" si="1"/>
        <v>2047</v>
      </c>
      <c r="C64" s="744">
        <f>IF(Select2=1,Food!$K66,"")</f>
        <v>8.6197386298958765E-7</v>
      </c>
      <c r="D64" s="745">
        <f>IF(Select2=1,Paper!$K66,"")</f>
        <v>1.0526547519737167E-2</v>
      </c>
      <c r="E64" s="736">
        <f>IF(Select2=1,Nappies!$K66,"")</f>
        <v>6.3326223278347684E-4</v>
      </c>
      <c r="F64" s="745">
        <f>IF(Select2=1,Garden!$K66,"")</f>
        <v>0</v>
      </c>
      <c r="G64" s="736">
        <f>IF(Select2=1,Wood!$K66,"")</f>
        <v>0</v>
      </c>
      <c r="H64" s="745">
        <f>IF(Select2=1,Textiles!$K66,"")</f>
        <v>7.5059662689575197E-4</v>
      </c>
      <c r="I64" s="746">
        <f>Sludge!K66</f>
        <v>0</v>
      </c>
      <c r="J64" s="746" t="str">
        <f>IF(Select2=2,MSW!$K66,"")</f>
        <v/>
      </c>
      <c r="K64" s="746">
        <f>Industry!$K66</f>
        <v>0</v>
      </c>
      <c r="L64" s="747">
        <f t="shared" si="3"/>
        <v>1.1911268353279386E-2</v>
      </c>
      <c r="M64" s="748">
        <f>Recovery_OX!C59</f>
        <v>0</v>
      </c>
      <c r="N64" s="703"/>
      <c r="O64" s="749">
        <f>(L64-M64)*(1-Recovery_OX!F59)</f>
        <v>1.1911268353279386E-2</v>
      </c>
      <c r="P64" s="695"/>
      <c r="Q64" s="705"/>
      <c r="S64" s="743">
        <f t="shared" si="2"/>
        <v>2047</v>
      </c>
      <c r="T64" s="744">
        <f>IF(Select2=1,Food!$W66,"")</f>
        <v>5.7669972992166882E-7</v>
      </c>
      <c r="U64" s="745">
        <f>IF(Select2=1,Paper!$W66,"")</f>
        <v>2.1749065123423894E-2</v>
      </c>
      <c r="V64" s="736">
        <f>IF(Select2=1,Nappies!$W66,"")</f>
        <v>0</v>
      </c>
      <c r="W64" s="745">
        <f>IF(Select2=1,Garden!$W66,"")</f>
        <v>0</v>
      </c>
      <c r="X64" s="736">
        <f>IF(Select2=1,Wood!$W66,"")</f>
        <v>0</v>
      </c>
      <c r="Y64" s="745">
        <f>IF(Select2=1,Textiles!$W66,"")</f>
        <v>8.2257164591315274E-4</v>
      </c>
      <c r="Z64" s="738">
        <f>Sludge!W66</f>
        <v>0</v>
      </c>
      <c r="AA64" s="738" t="str">
        <f>IF(Select2=2,MSW!$W66,"")</f>
        <v/>
      </c>
      <c r="AB64" s="746">
        <f>Industry!$W66</f>
        <v>0</v>
      </c>
      <c r="AC64" s="747">
        <f t="shared" si="4"/>
        <v>2.257221346906697E-2</v>
      </c>
      <c r="AD64" s="748">
        <f>Recovery_OX!R59</f>
        <v>0</v>
      </c>
      <c r="AE64" s="703"/>
      <c r="AF64" s="750">
        <f>(AC64-AD64)*(1-Recovery_OX!U59)</f>
        <v>2.257221346906697E-2</v>
      </c>
    </row>
    <row r="65" spans="2:32">
      <c r="B65" s="743">
        <f t="shared" si="1"/>
        <v>2048</v>
      </c>
      <c r="C65" s="744">
        <f>IF(Select2=1,Food!$K67,"")</f>
        <v>5.7779835952069834E-7</v>
      </c>
      <c r="D65" s="745">
        <f>IF(Select2=1,Paper!$K67,"")</f>
        <v>9.814887852349222E-3</v>
      </c>
      <c r="E65" s="736">
        <f>IF(Select2=1,Nappies!$K67,"")</f>
        <v>5.3426106547868851E-4</v>
      </c>
      <c r="F65" s="745">
        <f>IF(Select2=1,Garden!$K67,"")</f>
        <v>0</v>
      </c>
      <c r="G65" s="736">
        <f>IF(Select2=1,Wood!$K67,"")</f>
        <v>0</v>
      </c>
      <c r="H65" s="745">
        <f>IF(Select2=1,Textiles!$K67,"")</f>
        <v>6.9985165615985001E-4</v>
      </c>
      <c r="I65" s="746">
        <f>Sludge!K67</f>
        <v>0</v>
      </c>
      <c r="J65" s="746" t="str">
        <f>IF(Select2=2,MSW!$K67,"")</f>
        <v/>
      </c>
      <c r="K65" s="746">
        <f>Industry!$K67</f>
        <v>0</v>
      </c>
      <c r="L65" s="747">
        <f t="shared" si="3"/>
        <v>1.1049578372347281E-2</v>
      </c>
      <c r="M65" s="748">
        <f>Recovery_OX!C60</f>
        <v>0</v>
      </c>
      <c r="N65" s="703"/>
      <c r="O65" s="749">
        <f>(L65-M65)*(1-Recovery_OX!F60)</f>
        <v>1.1049578372347281E-2</v>
      </c>
      <c r="P65" s="695"/>
      <c r="Q65" s="705"/>
      <c r="S65" s="743">
        <f t="shared" si="2"/>
        <v>2048</v>
      </c>
      <c r="T65" s="744">
        <f>IF(Select2=1,Food!$W67,"")</f>
        <v>3.865733895098338E-7</v>
      </c>
      <c r="U65" s="745">
        <f>IF(Select2=1,Paper!$W67,"")</f>
        <v>2.0278693909812441E-2</v>
      </c>
      <c r="V65" s="736">
        <f>IF(Select2=1,Nappies!$W67,"")</f>
        <v>0</v>
      </c>
      <c r="W65" s="745">
        <f>IF(Select2=1,Garden!$W67,"")</f>
        <v>0</v>
      </c>
      <c r="X65" s="736">
        <f>IF(Select2=1,Wood!$W67,"")</f>
        <v>0</v>
      </c>
      <c r="Y65" s="745">
        <f>IF(Select2=1,Textiles!$W67,"")</f>
        <v>7.6696071907928756E-4</v>
      </c>
      <c r="Z65" s="738">
        <f>Sludge!W67</f>
        <v>0</v>
      </c>
      <c r="AA65" s="738" t="str">
        <f>IF(Select2=2,MSW!$W67,"")</f>
        <v/>
      </c>
      <c r="AB65" s="746">
        <f>Industry!$W67</f>
        <v>0</v>
      </c>
      <c r="AC65" s="747">
        <f t="shared" si="4"/>
        <v>2.1046041202281238E-2</v>
      </c>
      <c r="AD65" s="748">
        <f>Recovery_OX!R60</f>
        <v>0</v>
      </c>
      <c r="AE65" s="703"/>
      <c r="AF65" s="750">
        <f>(AC65-AD65)*(1-Recovery_OX!U60)</f>
        <v>2.1046041202281238E-2</v>
      </c>
    </row>
    <row r="66" spans="2:32">
      <c r="B66" s="743">
        <f t="shared" si="1"/>
        <v>2049</v>
      </c>
      <c r="C66" s="744">
        <f>IF(Select2=1,Food!$K68,"")</f>
        <v>3.8730982295323138E-7</v>
      </c>
      <c r="D66" s="745">
        <f>IF(Select2=1,Paper!$K68,"")</f>
        <v>9.1513407766003804E-3</v>
      </c>
      <c r="E66" s="736">
        <f>IF(Select2=1,Nappies!$K68,"")</f>
        <v>4.5073726382166633E-4</v>
      </c>
      <c r="F66" s="745">
        <f>IF(Select2=1,Garden!$K68,"")</f>
        <v>0</v>
      </c>
      <c r="G66" s="736">
        <f>IF(Select2=1,Wood!$K68,"")</f>
        <v>0</v>
      </c>
      <c r="H66" s="745">
        <f>IF(Select2=1,Textiles!$K68,"")</f>
        <v>6.5253735905438683E-4</v>
      </c>
      <c r="I66" s="746">
        <f>Sludge!K68</f>
        <v>0</v>
      </c>
      <c r="J66" s="746" t="str">
        <f>IF(Select2=2,MSW!$K68,"")</f>
        <v/>
      </c>
      <c r="K66" s="746">
        <f>Industry!$K68</f>
        <v>0</v>
      </c>
      <c r="L66" s="747">
        <f t="shared" si="3"/>
        <v>1.0255002709299386E-2</v>
      </c>
      <c r="M66" s="748">
        <f>Recovery_OX!C61</f>
        <v>0</v>
      </c>
      <c r="N66" s="703"/>
      <c r="O66" s="749">
        <f>(L66-M66)*(1-Recovery_OX!F61)</f>
        <v>1.0255002709299386E-2</v>
      </c>
      <c r="P66" s="695"/>
      <c r="Q66" s="705"/>
      <c r="S66" s="743">
        <f t="shared" si="2"/>
        <v>2049</v>
      </c>
      <c r="T66" s="744">
        <f>IF(Select2=1,Food!$W68,"")</f>
        <v>2.5912789225238495E-7</v>
      </c>
      <c r="U66" s="745">
        <f>IF(Select2=1,Paper!$W68,"")</f>
        <v>1.8907728877273509E-2</v>
      </c>
      <c r="V66" s="736">
        <f>IF(Select2=1,Nappies!$W68,"")</f>
        <v>0</v>
      </c>
      <c r="W66" s="745">
        <f>IF(Select2=1,Garden!$W68,"")</f>
        <v>0</v>
      </c>
      <c r="X66" s="736">
        <f>IF(Select2=1,Wood!$W68,"")</f>
        <v>0</v>
      </c>
      <c r="Y66" s="745">
        <f>IF(Select2=1,Textiles!$W68,"")</f>
        <v>7.1510943458014987E-4</v>
      </c>
      <c r="Z66" s="738">
        <f>Sludge!W68</f>
        <v>0</v>
      </c>
      <c r="AA66" s="738" t="str">
        <f>IF(Select2=2,MSW!$W68,"")</f>
        <v/>
      </c>
      <c r="AB66" s="746">
        <f>Industry!$W68</f>
        <v>0</v>
      </c>
      <c r="AC66" s="747">
        <f t="shared" si="4"/>
        <v>1.9623097439745912E-2</v>
      </c>
      <c r="AD66" s="748">
        <f>Recovery_OX!R61</f>
        <v>0</v>
      </c>
      <c r="AE66" s="703"/>
      <c r="AF66" s="750">
        <f>(AC66-AD66)*(1-Recovery_OX!U61)</f>
        <v>1.9623097439745912E-2</v>
      </c>
    </row>
    <row r="67" spans="2:32">
      <c r="B67" s="743">
        <f t="shared" si="1"/>
        <v>2050</v>
      </c>
      <c r="C67" s="744">
        <f>IF(Select2=1,Food!$K69,"")</f>
        <v>2.5962153835206534E-7</v>
      </c>
      <c r="D67" s="745">
        <f>IF(Select2=1,Paper!$K69,"")</f>
        <v>8.5326535839554962E-3</v>
      </c>
      <c r="E67" s="736">
        <f>IF(Select2=1,Nappies!$K69,"")</f>
        <v>3.8027117101526191E-4</v>
      </c>
      <c r="F67" s="745">
        <f>IF(Select2=1,Garden!$K69,"")</f>
        <v>0</v>
      </c>
      <c r="G67" s="736">
        <f>IF(Select2=1,Wood!$K69,"")</f>
        <v>0</v>
      </c>
      <c r="H67" s="745">
        <f>IF(Select2=1,Textiles!$K69,"")</f>
        <v>6.0842180084005903E-4</v>
      </c>
      <c r="I67" s="746">
        <f>Sludge!K69</f>
        <v>0</v>
      </c>
      <c r="J67" s="746" t="str">
        <f>IF(Select2=2,MSW!$K69,"")</f>
        <v/>
      </c>
      <c r="K67" s="746">
        <f>Industry!$K69</f>
        <v>0</v>
      </c>
      <c r="L67" s="747">
        <f t="shared" si="3"/>
        <v>9.5216061773491702E-3</v>
      </c>
      <c r="M67" s="748">
        <f>Recovery_OX!C62</f>
        <v>0</v>
      </c>
      <c r="N67" s="703"/>
      <c r="O67" s="749">
        <f>(L67-M67)*(1-Recovery_OX!F62)</f>
        <v>9.5216061773491702E-3</v>
      </c>
      <c r="P67" s="695"/>
      <c r="Q67" s="705"/>
      <c r="S67" s="743">
        <f t="shared" si="2"/>
        <v>2050</v>
      </c>
      <c r="T67" s="744">
        <f>IF(Select2=1,Food!$W69,"")</f>
        <v>1.7369862066373684E-7</v>
      </c>
      <c r="U67" s="745">
        <f>IF(Select2=1,Paper!$W69,"")</f>
        <v>1.7629449553627052E-2</v>
      </c>
      <c r="V67" s="736">
        <f>IF(Select2=1,Nappies!$W69,"")</f>
        <v>0</v>
      </c>
      <c r="W67" s="745">
        <f>IF(Select2=1,Garden!$W69,"")</f>
        <v>0</v>
      </c>
      <c r="X67" s="736">
        <f>IF(Select2=1,Wood!$W69,"")</f>
        <v>0</v>
      </c>
      <c r="Y67" s="745">
        <f>IF(Select2=1,Textiles!$W69,"")</f>
        <v>6.6676361735896865E-4</v>
      </c>
      <c r="Z67" s="738">
        <f>Sludge!W69</f>
        <v>0</v>
      </c>
      <c r="AA67" s="738" t="str">
        <f>IF(Select2=2,MSW!$W69,"")</f>
        <v/>
      </c>
      <c r="AB67" s="746">
        <f>Industry!$W69</f>
        <v>0</v>
      </c>
      <c r="AC67" s="747">
        <f t="shared" si="4"/>
        <v>1.8296386869606687E-2</v>
      </c>
      <c r="AD67" s="748">
        <f>Recovery_OX!R62</f>
        <v>0</v>
      </c>
      <c r="AE67" s="703"/>
      <c r="AF67" s="750">
        <f>(AC67-AD67)*(1-Recovery_OX!U62)</f>
        <v>1.8296386869606687E-2</v>
      </c>
    </row>
    <row r="68" spans="2:32">
      <c r="B68" s="743">
        <f t="shared" si="1"/>
        <v>2051</v>
      </c>
      <c r="C68" s="744">
        <f>IF(Select2=1,Food!$K70,"")</f>
        <v>1.7402952153999995E-7</v>
      </c>
      <c r="D68" s="745">
        <f>IF(Select2=1,Paper!$K70,"")</f>
        <v>7.9557934690784437E-3</v>
      </c>
      <c r="E68" s="736">
        <f>IF(Select2=1,Nappies!$K70,"")</f>
        <v>3.2082140775148302E-4</v>
      </c>
      <c r="F68" s="745">
        <f>IF(Select2=1,Garden!$K70,"")</f>
        <v>0</v>
      </c>
      <c r="G68" s="736">
        <f>IF(Select2=1,Wood!$K70,"")</f>
        <v>0</v>
      </c>
      <c r="H68" s="745">
        <f>IF(Select2=1,Textiles!$K70,"")</f>
        <v>5.672887269993187E-4</v>
      </c>
      <c r="I68" s="746">
        <f>Sludge!K70</f>
        <v>0</v>
      </c>
      <c r="J68" s="746" t="str">
        <f>IF(Select2=2,MSW!$K70,"")</f>
        <v/>
      </c>
      <c r="K68" s="746">
        <f>Industry!$K70</f>
        <v>0</v>
      </c>
      <c r="L68" s="747">
        <f t="shared" si="3"/>
        <v>8.8440776333507855E-3</v>
      </c>
      <c r="M68" s="748">
        <f>Recovery_OX!C63</f>
        <v>0</v>
      </c>
      <c r="N68" s="703"/>
      <c r="O68" s="749">
        <f>(L68-M68)*(1-Recovery_OX!F63)</f>
        <v>8.8440776333507855E-3</v>
      </c>
      <c r="P68" s="695"/>
      <c r="Q68" s="705"/>
      <c r="S68" s="743">
        <f t="shared" si="2"/>
        <v>2051</v>
      </c>
      <c r="T68" s="744">
        <f>IF(Select2=1,Food!$W70,"")</f>
        <v>1.1643366739964315E-7</v>
      </c>
      <c r="U68" s="745">
        <f>IF(Select2=1,Paper!$W70,"")</f>
        <v>1.6437589812145541E-2</v>
      </c>
      <c r="V68" s="736">
        <f>IF(Select2=1,Nappies!$W70,"")</f>
        <v>0</v>
      </c>
      <c r="W68" s="745">
        <f>IF(Select2=1,Garden!$W70,"")</f>
        <v>0</v>
      </c>
      <c r="X68" s="736">
        <f>IF(Select2=1,Wood!$W70,"")</f>
        <v>0</v>
      </c>
      <c r="Y68" s="745">
        <f>IF(Select2=1,Textiles!$W70,"")</f>
        <v>6.2168627616363686E-4</v>
      </c>
      <c r="Z68" s="738">
        <f>Sludge!W70</f>
        <v>0</v>
      </c>
      <c r="AA68" s="738" t="str">
        <f>IF(Select2=2,MSW!$W70,"")</f>
        <v/>
      </c>
      <c r="AB68" s="746">
        <f>Industry!$W70</f>
        <v>0</v>
      </c>
      <c r="AC68" s="747">
        <f t="shared" si="4"/>
        <v>1.7059392521976576E-2</v>
      </c>
      <c r="AD68" s="748">
        <f>Recovery_OX!R63</f>
        <v>0</v>
      </c>
      <c r="AE68" s="703"/>
      <c r="AF68" s="750">
        <f>(AC68-AD68)*(1-Recovery_OX!U63)</f>
        <v>1.7059392521976576E-2</v>
      </c>
    </row>
    <row r="69" spans="2:32">
      <c r="B69" s="743">
        <f t="shared" si="1"/>
        <v>2052</v>
      </c>
      <c r="C69" s="744">
        <f>IF(Select2=1,Food!$K71,"")</f>
        <v>1.1665547689025307E-7</v>
      </c>
      <c r="D69" s="745">
        <f>IF(Select2=1,Paper!$K71,"")</f>
        <v>7.4179326630168458E-3</v>
      </c>
      <c r="E69" s="736">
        <f>IF(Select2=1,Nappies!$K71,"")</f>
        <v>2.7066573413084857E-4</v>
      </c>
      <c r="F69" s="745">
        <f>IF(Select2=1,Garden!$K71,"")</f>
        <v>0</v>
      </c>
      <c r="G69" s="736">
        <f>IF(Select2=1,Wood!$K71,"")</f>
        <v>0</v>
      </c>
      <c r="H69" s="745">
        <f>IF(Select2=1,Textiles!$K71,"")</f>
        <v>5.2893650315647745E-4</v>
      </c>
      <c r="I69" s="746">
        <f>Sludge!K71</f>
        <v>0</v>
      </c>
      <c r="J69" s="746" t="str">
        <f>IF(Select2=2,MSW!$K71,"")</f>
        <v/>
      </c>
      <c r="K69" s="746">
        <f>Industry!$K71</f>
        <v>0</v>
      </c>
      <c r="L69" s="747">
        <f t="shared" si="3"/>
        <v>8.217651555781063E-3</v>
      </c>
      <c r="M69" s="748">
        <f>Recovery_OX!C64</f>
        <v>0</v>
      </c>
      <c r="N69" s="703"/>
      <c r="O69" s="749">
        <f>(L69-M69)*(1-Recovery_OX!F64)</f>
        <v>8.217651555781063E-3</v>
      </c>
      <c r="P69" s="695"/>
      <c r="Q69" s="705"/>
      <c r="S69" s="743">
        <f t="shared" si="2"/>
        <v>2052</v>
      </c>
      <c r="T69" s="744">
        <f>IF(Select2=1,Food!$W71,"")</f>
        <v>7.8047821291427109E-8</v>
      </c>
      <c r="U69" s="745">
        <f>IF(Select2=1,Paper!$W71,"")</f>
        <v>1.5326307154993482E-2</v>
      </c>
      <c r="V69" s="736">
        <f>IF(Select2=1,Nappies!$W71,"")</f>
        <v>0</v>
      </c>
      <c r="W69" s="745">
        <f>IF(Select2=1,Garden!$W71,"")</f>
        <v>0</v>
      </c>
      <c r="X69" s="736">
        <f>IF(Select2=1,Wood!$W71,"")</f>
        <v>0</v>
      </c>
      <c r="Y69" s="745">
        <f>IF(Select2=1,Textiles!$W71,"")</f>
        <v>5.7965644181531763E-4</v>
      </c>
      <c r="Z69" s="738">
        <f>Sludge!W71</f>
        <v>0</v>
      </c>
      <c r="AA69" s="738" t="str">
        <f>IF(Select2=2,MSW!$W71,"")</f>
        <v/>
      </c>
      <c r="AB69" s="746">
        <f>Industry!$W71</f>
        <v>0</v>
      </c>
      <c r="AC69" s="747">
        <f t="shared" si="4"/>
        <v>1.5906041644630092E-2</v>
      </c>
      <c r="AD69" s="748">
        <f>Recovery_OX!R64</f>
        <v>0</v>
      </c>
      <c r="AE69" s="703"/>
      <c r="AF69" s="750">
        <f>(AC69-AD69)*(1-Recovery_OX!U64)</f>
        <v>1.5906041644630092E-2</v>
      </c>
    </row>
    <row r="70" spans="2:32">
      <c r="B70" s="743">
        <f t="shared" si="1"/>
        <v>2053</v>
      </c>
      <c r="C70" s="744">
        <f>IF(Select2=1,Food!$K72,"")</f>
        <v>7.8196504639383902E-8</v>
      </c>
      <c r="D70" s="745">
        <f>IF(Select2=1,Paper!$K72,"")</f>
        <v>6.9164345714753809E-3</v>
      </c>
      <c r="E70" s="736">
        <f>IF(Select2=1,Nappies!$K72,"")</f>
        <v>2.283511569444279E-4</v>
      </c>
      <c r="F70" s="745">
        <f>IF(Select2=1,Garden!$K72,"")</f>
        <v>0</v>
      </c>
      <c r="G70" s="736">
        <f>IF(Select2=1,Wood!$K72,"")</f>
        <v>0</v>
      </c>
      <c r="H70" s="745">
        <f>IF(Select2=1,Textiles!$K72,"")</f>
        <v>4.9317712666576265E-4</v>
      </c>
      <c r="I70" s="746">
        <f>Sludge!K72</f>
        <v>0</v>
      </c>
      <c r="J70" s="746" t="str">
        <f>IF(Select2=2,MSW!$K72,"")</f>
        <v/>
      </c>
      <c r="K70" s="746">
        <f>Industry!$K72</f>
        <v>0</v>
      </c>
      <c r="L70" s="747">
        <f t="shared" si="3"/>
        <v>7.6380410515902112E-3</v>
      </c>
      <c r="M70" s="748">
        <f>Recovery_OX!C65</f>
        <v>0</v>
      </c>
      <c r="N70" s="703"/>
      <c r="O70" s="749">
        <f>(L70-M70)*(1-Recovery_OX!F65)</f>
        <v>7.6380410515902112E-3</v>
      </c>
      <c r="P70" s="695"/>
      <c r="Q70" s="705"/>
      <c r="S70" s="743">
        <f t="shared" si="2"/>
        <v>2053</v>
      </c>
      <c r="T70" s="744">
        <f>IF(Select2=1,Food!$W72,"")</f>
        <v>5.2317019161050776E-8</v>
      </c>
      <c r="U70" s="745">
        <f>IF(Select2=1,Paper!$W72,"")</f>
        <v>1.429015407329624E-2</v>
      </c>
      <c r="V70" s="736">
        <f>IF(Select2=1,Nappies!$W72,"")</f>
        <v>0</v>
      </c>
      <c r="W70" s="745">
        <f>IF(Select2=1,Garden!$W72,"")</f>
        <v>0</v>
      </c>
      <c r="X70" s="736">
        <f>IF(Select2=1,Wood!$W72,"")</f>
        <v>0</v>
      </c>
      <c r="Y70" s="745">
        <f>IF(Select2=1,Textiles!$W72,"")</f>
        <v>5.4046808401727415E-4</v>
      </c>
      <c r="Z70" s="738">
        <f>Sludge!W72</f>
        <v>0</v>
      </c>
      <c r="AA70" s="738" t="str">
        <f>IF(Select2=2,MSW!$W72,"")</f>
        <v/>
      </c>
      <c r="AB70" s="746">
        <f>Industry!$W72</f>
        <v>0</v>
      </c>
      <c r="AC70" s="747">
        <f t="shared" si="4"/>
        <v>1.4830674474332676E-2</v>
      </c>
      <c r="AD70" s="748">
        <f>Recovery_OX!R65</f>
        <v>0</v>
      </c>
      <c r="AE70" s="703"/>
      <c r="AF70" s="750">
        <f>(AC70-AD70)*(1-Recovery_OX!U65)</f>
        <v>1.4830674474332676E-2</v>
      </c>
    </row>
    <row r="71" spans="2:32">
      <c r="B71" s="743">
        <f t="shared" si="1"/>
        <v>2054</v>
      </c>
      <c r="C71" s="744">
        <f>IF(Select2=1,Food!$K73,"")</f>
        <v>5.2416684589697896E-8</v>
      </c>
      <c r="D71" s="745">
        <f>IF(Select2=1,Paper!$K73,"")</f>
        <v>6.4488408502274908E-3</v>
      </c>
      <c r="E71" s="736">
        <f>IF(Select2=1,Nappies!$K73,"")</f>
        <v>1.926518369430928E-4</v>
      </c>
      <c r="F71" s="745">
        <f>IF(Select2=1,Garden!$K73,"")</f>
        <v>0</v>
      </c>
      <c r="G71" s="736">
        <f>IF(Select2=1,Wood!$K73,"")</f>
        <v>0</v>
      </c>
      <c r="H71" s="745">
        <f>IF(Select2=1,Textiles!$K73,"")</f>
        <v>4.5983530502213008E-4</v>
      </c>
      <c r="I71" s="746">
        <f>Sludge!K73</f>
        <v>0</v>
      </c>
      <c r="J71" s="746" t="str">
        <f>IF(Select2=2,MSW!$K73,"")</f>
        <v/>
      </c>
      <c r="K71" s="746">
        <f>Industry!$K73</f>
        <v>0</v>
      </c>
      <c r="L71" s="747">
        <f t="shared" si="3"/>
        <v>7.1013804088773036E-3</v>
      </c>
      <c r="M71" s="748">
        <f>Recovery_OX!C66</f>
        <v>0</v>
      </c>
      <c r="N71" s="703"/>
      <c r="O71" s="749">
        <f>(L71-M71)*(1-Recovery_OX!F66)</f>
        <v>7.1013804088773036E-3</v>
      </c>
      <c r="P71" s="695"/>
      <c r="Q71" s="705"/>
      <c r="S71" s="743">
        <f t="shared" si="2"/>
        <v>2054</v>
      </c>
      <c r="T71" s="744">
        <f>IF(Select2=1,Food!$W73,"")</f>
        <v>3.506914669248298E-8</v>
      </c>
      <c r="U71" s="745">
        <f>IF(Select2=1,Paper!$W73,"")</f>
        <v>1.3324051343445227E-2</v>
      </c>
      <c r="V71" s="736">
        <f>IF(Select2=1,Nappies!$W73,"")</f>
        <v>0</v>
      </c>
      <c r="W71" s="745">
        <f>IF(Select2=1,Garden!$W73,"")</f>
        <v>0</v>
      </c>
      <c r="X71" s="736">
        <f>IF(Select2=1,Wood!$W73,"")</f>
        <v>0</v>
      </c>
      <c r="Y71" s="745">
        <f>IF(Select2=1,Textiles!$W73,"")</f>
        <v>5.0392910139411518E-4</v>
      </c>
      <c r="Z71" s="738">
        <f>Sludge!W73</f>
        <v>0</v>
      </c>
      <c r="AA71" s="738" t="str">
        <f>IF(Select2=2,MSW!$W73,"")</f>
        <v/>
      </c>
      <c r="AB71" s="746">
        <f>Industry!$W73</f>
        <v>0</v>
      </c>
      <c r="AC71" s="747">
        <f t="shared" si="4"/>
        <v>1.3828015513986035E-2</v>
      </c>
      <c r="AD71" s="748">
        <f>Recovery_OX!R66</f>
        <v>0</v>
      </c>
      <c r="AE71" s="703"/>
      <c r="AF71" s="750">
        <f>(AC71-AD71)*(1-Recovery_OX!U66)</f>
        <v>1.3828015513986035E-2</v>
      </c>
    </row>
    <row r="72" spans="2:32">
      <c r="B72" s="743">
        <f t="shared" si="1"/>
        <v>2055</v>
      </c>
      <c r="C72" s="744">
        <f>IF(Select2=1,Food!$K74,"")</f>
        <v>3.5135954427201884E-8</v>
      </c>
      <c r="D72" s="745">
        <f>IF(Select2=1,Paper!$K74,"")</f>
        <v>6.0128593543091339E-3</v>
      </c>
      <c r="E72" s="736">
        <f>IF(Select2=1,Nappies!$K74,"")</f>
        <v>1.6253357668155082E-4</v>
      </c>
      <c r="F72" s="745">
        <f>IF(Select2=1,Garden!$K74,"")</f>
        <v>0</v>
      </c>
      <c r="G72" s="736">
        <f>IF(Select2=1,Wood!$K74,"")</f>
        <v>0</v>
      </c>
      <c r="H72" s="745">
        <f>IF(Select2=1,Textiles!$K74,"")</f>
        <v>4.2874759657720077E-4</v>
      </c>
      <c r="I72" s="746">
        <f>Sludge!K74</f>
        <v>0</v>
      </c>
      <c r="J72" s="746" t="str">
        <f>IF(Select2=2,MSW!$K74,"")</f>
        <v/>
      </c>
      <c r="K72" s="746">
        <f>Industry!$K74</f>
        <v>0</v>
      </c>
      <c r="L72" s="747">
        <f t="shared" si="3"/>
        <v>6.6041756635223129E-3</v>
      </c>
      <c r="M72" s="748">
        <f>Recovery_OX!C67</f>
        <v>0</v>
      </c>
      <c r="N72" s="703"/>
      <c r="O72" s="749">
        <f>(L72-M72)*(1-Recovery_OX!F67)</f>
        <v>6.6041756635223129E-3</v>
      </c>
      <c r="P72" s="695"/>
      <c r="Q72" s="705"/>
      <c r="S72" s="743">
        <f t="shared" si="2"/>
        <v>2055</v>
      </c>
      <c r="T72" s="744">
        <f>IF(Select2=1,Food!$W74,"")</f>
        <v>2.3507552025335782E-8</v>
      </c>
      <c r="U72" s="745">
        <f>IF(Select2=1,Paper!$W74,"")</f>
        <v>1.2423263128737875E-2</v>
      </c>
      <c r="V72" s="736">
        <f>IF(Select2=1,Nappies!$W74,"")</f>
        <v>0</v>
      </c>
      <c r="W72" s="745">
        <f>IF(Select2=1,Garden!$W74,"")</f>
        <v>0</v>
      </c>
      <c r="X72" s="736">
        <f>IF(Select2=1,Wood!$W74,"")</f>
        <v>0</v>
      </c>
      <c r="Y72" s="745">
        <f>IF(Select2=1,Textiles!$W74,"")</f>
        <v>4.6986037981063098E-4</v>
      </c>
      <c r="Z72" s="738">
        <f>Sludge!W74</f>
        <v>0</v>
      </c>
      <c r="AA72" s="738" t="str">
        <f>IF(Select2=2,MSW!$W74,"")</f>
        <v/>
      </c>
      <c r="AB72" s="746">
        <f>Industry!$W74</f>
        <v>0</v>
      </c>
      <c r="AC72" s="747">
        <f t="shared" si="4"/>
        <v>1.2893147016100531E-2</v>
      </c>
      <c r="AD72" s="748">
        <f>Recovery_OX!R67</f>
        <v>0</v>
      </c>
      <c r="AE72" s="703"/>
      <c r="AF72" s="750">
        <f>(AC72-AD72)*(1-Recovery_OX!U67)</f>
        <v>1.2893147016100531E-2</v>
      </c>
    </row>
    <row r="73" spans="2:32">
      <c r="B73" s="743">
        <f t="shared" si="1"/>
        <v>2056</v>
      </c>
      <c r="C73" s="744">
        <f>IF(Select2=1,Food!$K75,"")</f>
        <v>2.3552334589148087E-8</v>
      </c>
      <c r="D73" s="745">
        <f>IF(Select2=1,Paper!$K75,"")</f>
        <v>5.6063529019215064E-3</v>
      </c>
      <c r="E73" s="736">
        <f>IF(Select2=1,Nappies!$K75,"")</f>
        <v>1.3712386016179483E-4</v>
      </c>
      <c r="F73" s="745">
        <f>IF(Select2=1,Garden!$K75,"")</f>
        <v>0</v>
      </c>
      <c r="G73" s="736">
        <f>IF(Select2=1,Wood!$K75,"")</f>
        <v>0</v>
      </c>
      <c r="H73" s="745">
        <f>IF(Select2=1,Textiles!$K75,"")</f>
        <v>3.997616093481107E-4</v>
      </c>
      <c r="I73" s="746">
        <f>Sludge!K75</f>
        <v>0</v>
      </c>
      <c r="J73" s="746" t="str">
        <f>IF(Select2=2,MSW!$K75,"")</f>
        <v/>
      </c>
      <c r="K73" s="746">
        <f>Industry!$K75</f>
        <v>0</v>
      </c>
      <c r="L73" s="747">
        <f t="shared" si="3"/>
        <v>6.1432619237660009E-3</v>
      </c>
      <c r="M73" s="748">
        <f>Recovery_OX!C68</f>
        <v>0</v>
      </c>
      <c r="N73" s="703"/>
      <c r="O73" s="749">
        <f>(L73-M73)*(1-Recovery_OX!F68)</f>
        <v>6.1432619237660009E-3</v>
      </c>
      <c r="P73" s="695"/>
      <c r="Q73" s="705"/>
      <c r="S73" s="743">
        <f t="shared" si="2"/>
        <v>2056</v>
      </c>
      <c r="T73" s="744">
        <f>IF(Select2=1,Food!$W75,"")</f>
        <v>1.575758335580827E-8</v>
      </c>
      <c r="U73" s="745">
        <f>IF(Select2=1,Paper!$W75,"")</f>
        <v>1.1583373764300631E-2</v>
      </c>
      <c r="V73" s="736">
        <f>IF(Select2=1,Nappies!$W75,"")</f>
        <v>0</v>
      </c>
      <c r="W73" s="745">
        <f>IF(Select2=1,Garden!$W75,"")</f>
        <v>0</v>
      </c>
      <c r="X73" s="736">
        <f>IF(Select2=1,Wood!$W75,"")</f>
        <v>0</v>
      </c>
      <c r="Y73" s="745">
        <f>IF(Select2=1,Textiles!$W75,"")</f>
        <v>4.3809491435409383E-4</v>
      </c>
      <c r="Z73" s="738">
        <f>Sludge!W75</f>
        <v>0</v>
      </c>
      <c r="AA73" s="738" t="str">
        <f>IF(Select2=2,MSW!$W75,"")</f>
        <v/>
      </c>
      <c r="AB73" s="746">
        <f>Industry!$W75</f>
        <v>0</v>
      </c>
      <c r="AC73" s="747">
        <f t="shared" si="4"/>
        <v>1.2021484436238081E-2</v>
      </c>
      <c r="AD73" s="748">
        <f>Recovery_OX!R68</f>
        <v>0</v>
      </c>
      <c r="AE73" s="703"/>
      <c r="AF73" s="750">
        <f>(AC73-AD73)*(1-Recovery_OX!U68)</f>
        <v>1.2021484436238081E-2</v>
      </c>
    </row>
    <row r="74" spans="2:32">
      <c r="B74" s="743">
        <f t="shared" si="1"/>
        <v>2057</v>
      </c>
      <c r="C74" s="744">
        <f>IF(Select2=1,Food!$K76,"")</f>
        <v>1.5787602006044527E-8</v>
      </c>
      <c r="D74" s="745">
        <f>IF(Select2=1,Paper!$K76,"")</f>
        <v>5.2273287979633914E-3</v>
      </c>
      <c r="E74" s="736">
        <f>IF(Select2=1,Nappies!$K76,"")</f>
        <v>1.1568657633438881E-4</v>
      </c>
      <c r="F74" s="745">
        <f>IF(Select2=1,Garden!$K76,"")</f>
        <v>0</v>
      </c>
      <c r="G74" s="736">
        <f>IF(Select2=1,Wood!$K76,"")</f>
        <v>0</v>
      </c>
      <c r="H74" s="745">
        <f>IF(Select2=1,Textiles!$K76,"")</f>
        <v>3.7273525399183431E-4</v>
      </c>
      <c r="I74" s="746">
        <f>Sludge!K76</f>
        <v>0</v>
      </c>
      <c r="J74" s="746" t="str">
        <f>IF(Select2=2,MSW!$K76,"")</f>
        <v/>
      </c>
      <c r="K74" s="746">
        <f>Industry!$K76</f>
        <v>0</v>
      </c>
      <c r="L74" s="747">
        <f t="shared" si="3"/>
        <v>5.7157664158916204E-3</v>
      </c>
      <c r="M74" s="748">
        <f>Recovery_OX!C69</f>
        <v>0</v>
      </c>
      <c r="N74" s="703"/>
      <c r="O74" s="749">
        <f>(L74-M74)*(1-Recovery_OX!F69)</f>
        <v>5.7157664158916204E-3</v>
      </c>
      <c r="P74" s="695"/>
      <c r="Q74" s="705"/>
      <c r="S74" s="743">
        <f t="shared" si="2"/>
        <v>2057</v>
      </c>
      <c r="T74" s="744">
        <f>IF(Select2=1,Food!$W76,"")</f>
        <v>1.0562624000475822E-8</v>
      </c>
      <c r="U74" s="745">
        <f>IF(Select2=1,Paper!$W76,"")</f>
        <v>1.080026611149461E-2</v>
      </c>
      <c r="V74" s="736">
        <f>IF(Select2=1,Nappies!$W76,"")</f>
        <v>0</v>
      </c>
      <c r="W74" s="745">
        <f>IF(Select2=1,Garden!$W76,"")</f>
        <v>0</v>
      </c>
      <c r="X74" s="736">
        <f>IF(Select2=1,Wood!$W76,"")</f>
        <v>0</v>
      </c>
      <c r="Y74" s="745">
        <f>IF(Select2=1,Textiles!$W76,"")</f>
        <v>4.0847699067598283E-4</v>
      </c>
      <c r="Z74" s="738">
        <f>Sludge!W76</f>
        <v>0</v>
      </c>
      <c r="AA74" s="738" t="str">
        <f>IF(Select2=2,MSW!$W76,"")</f>
        <v/>
      </c>
      <c r="AB74" s="746">
        <f>Industry!$W76</f>
        <v>0</v>
      </c>
      <c r="AC74" s="747">
        <f t="shared" si="4"/>
        <v>1.1208753664794594E-2</v>
      </c>
      <c r="AD74" s="748">
        <f>Recovery_OX!R69</f>
        <v>0</v>
      </c>
      <c r="AE74" s="703"/>
      <c r="AF74" s="750">
        <f>(AC74-AD74)*(1-Recovery_OX!U69)</f>
        <v>1.1208753664794594E-2</v>
      </c>
    </row>
    <row r="75" spans="2:32">
      <c r="B75" s="743">
        <f t="shared" si="1"/>
        <v>2058</v>
      </c>
      <c r="C75" s="744">
        <f>IF(Select2=1,Food!$K77,"")</f>
        <v>1.0582746103484121E-8</v>
      </c>
      <c r="D75" s="745">
        <f>IF(Select2=1,Paper!$K77,"")</f>
        <v>4.8739290658374552E-3</v>
      </c>
      <c r="E75" s="736">
        <f>IF(Select2=1,Nappies!$K77,"")</f>
        <v>9.7600694205815676E-5</v>
      </c>
      <c r="F75" s="745">
        <f>IF(Select2=1,Garden!$K77,"")</f>
        <v>0</v>
      </c>
      <c r="G75" s="736">
        <f>IF(Select2=1,Wood!$K77,"")</f>
        <v>0</v>
      </c>
      <c r="H75" s="745">
        <f>IF(Select2=1,Textiles!$K77,"")</f>
        <v>3.4753604728306035E-4</v>
      </c>
      <c r="I75" s="746">
        <f>Sludge!K77</f>
        <v>0</v>
      </c>
      <c r="J75" s="746" t="str">
        <f>IF(Select2=2,MSW!$K77,"")</f>
        <v/>
      </c>
      <c r="K75" s="746">
        <f>Industry!$K77</f>
        <v>0</v>
      </c>
      <c r="L75" s="747">
        <f t="shared" si="3"/>
        <v>5.3190763900724351E-3</v>
      </c>
      <c r="M75" s="748">
        <f>Recovery_OX!C70</f>
        <v>0</v>
      </c>
      <c r="N75" s="703"/>
      <c r="O75" s="749">
        <f>(L75-M75)*(1-Recovery_OX!F70)</f>
        <v>5.3190763900724351E-3</v>
      </c>
      <c r="P75" s="695"/>
      <c r="Q75" s="705"/>
      <c r="S75" s="743">
        <f t="shared" si="2"/>
        <v>2058</v>
      </c>
      <c r="T75" s="744">
        <f>IF(Select2=1,Food!$W77,"")</f>
        <v>7.0803386062561009E-9</v>
      </c>
      <c r="U75" s="745">
        <f>IF(Select2=1,Paper!$W77,"")</f>
        <v>1.0070101375697221E-2</v>
      </c>
      <c r="V75" s="736">
        <f>IF(Select2=1,Nappies!$W77,"")</f>
        <v>0</v>
      </c>
      <c r="W75" s="745">
        <f>IF(Select2=1,Garden!$W77,"")</f>
        <v>0</v>
      </c>
      <c r="X75" s="736">
        <f>IF(Select2=1,Wood!$W77,"")</f>
        <v>0</v>
      </c>
      <c r="Y75" s="745">
        <f>IF(Select2=1,Textiles!$W77,"")</f>
        <v>3.8086142168006611E-4</v>
      </c>
      <c r="Z75" s="738">
        <f>Sludge!W77</f>
        <v>0</v>
      </c>
      <c r="AA75" s="738" t="str">
        <f>IF(Select2=2,MSW!$W77,"")</f>
        <v/>
      </c>
      <c r="AB75" s="746">
        <f>Industry!$W77</f>
        <v>0</v>
      </c>
      <c r="AC75" s="747">
        <f t="shared" si="4"/>
        <v>1.0450969877715894E-2</v>
      </c>
      <c r="AD75" s="748">
        <f>Recovery_OX!R70</f>
        <v>0</v>
      </c>
      <c r="AE75" s="703"/>
      <c r="AF75" s="750">
        <f>(AC75-AD75)*(1-Recovery_OX!U70)</f>
        <v>1.0450969877715894E-2</v>
      </c>
    </row>
    <row r="76" spans="2:32">
      <c r="B76" s="743">
        <f t="shared" si="1"/>
        <v>2059</v>
      </c>
      <c r="C76" s="744">
        <f>IF(Select2=1,Food!$K78,"")</f>
        <v>7.0938268552709577E-9</v>
      </c>
      <c r="D76" s="745">
        <f>IF(Select2=1,Paper!$K78,"")</f>
        <v>4.5444213396468149E-3</v>
      </c>
      <c r="E76" s="736">
        <f>IF(Select2=1,Nappies!$K78,"")</f>
        <v>8.234227177682921E-5</v>
      </c>
      <c r="F76" s="745">
        <f>IF(Select2=1,Garden!$K78,"")</f>
        <v>0</v>
      </c>
      <c r="G76" s="736">
        <f>IF(Select2=1,Wood!$K78,"")</f>
        <v>0</v>
      </c>
      <c r="H76" s="745">
        <f>IF(Select2=1,Textiles!$K78,"")</f>
        <v>3.2404046268126683E-4</v>
      </c>
      <c r="I76" s="746">
        <f>Sludge!K78</f>
        <v>0</v>
      </c>
      <c r="J76" s="746" t="str">
        <f>IF(Select2=2,MSW!$K78,"")</f>
        <v/>
      </c>
      <c r="K76" s="746">
        <f>Industry!$K78</f>
        <v>0</v>
      </c>
      <c r="L76" s="747">
        <f t="shared" si="3"/>
        <v>4.950811167931766E-3</v>
      </c>
      <c r="M76" s="748">
        <f>Recovery_OX!C71</f>
        <v>0</v>
      </c>
      <c r="N76" s="703"/>
      <c r="O76" s="749">
        <f>(L76-M76)*(1-Recovery_OX!F71)</f>
        <v>4.950811167931766E-3</v>
      </c>
      <c r="P76" s="695"/>
      <c r="Q76" s="705"/>
      <c r="S76" s="743">
        <f t="shared" si="2"/>
        <v>2059</v>
      </c>
      <c r="T76" s="744">
        <f>IF(Select2=1,Food!$W78,"")</f>
        <v>4.746092900493504E-9</v>
      </c>
      <c r="U76" s="745">
        <f>IF(Select2=1,Paper!$W78,"")</f>
        <v>9.3893002885264767E-3</v>
      </c>
      <c r="V76" s="736">
        <f>IF(Select2=1,Nappies!$W78,"")</f>
        <v>0</v>
      </c>
      <c r="W76" s="745">
        <f>IF(Select2=1,Garden!$W78,"")</f>
        <v>0</v>
      </c>
      <c r="X76" s="736">
        <f>IF(Select2=1,Wood!$W78,"")</f>
        <v>0</v>
      </c>
      <c r="Y76" s="745">
        <f>IF(Select2=1,Textiles!$W78,"")</f>
        <v>3.5511283581508699E-4</v>
      </c>
      <c r="Z76" s="738">
        <f>Sludge!W78</f>
        <v>0</v>
      </c>
      <c r="AA76" s="738" t="str">
        <f>IF(Select2=2,MSW!$W78,"")</f>
        <v/>
      </c>
      <c r="AB76" s="746">
        <f>Industry!$W78</f>
        <v>0</v>
      </c>
      <c r="AC76" s="747">
        <f t="shared" si="4"/>
        <v>9.7444178704344641E-3</v>
      </c>
      <c r="AD76" s="748">
        <f>Recovery_OX!R71</f>
        <v>0</v>
      </c>
      <c r="AE76" s="703"/>
      <c r="AF76" s="750">
        <f>(AC76-AD76)*(1-Recovery_OX!U71)</f>
        <v>9.7444178704344641E-3</v>
      </c>
    </row>
    <row r="77" spans="2:32">
      <c r="B77" s="743">
        <f t="shared" si="1"/>
        <v>2060</v>
      </c>
      <c r="C77" s="744">
        <f>IF(Select2=1,Food!$K79,"")</f>
        <v>4.755134344194083E-9</v>
      </c>
      <c r="D77" s="745">
        <f>IF(Select2=1,Paper!$K79,"")</f>
        <v>4.2371903721354007E-3</v>
      </c>
      <c r="E77" s="736">
        <f>IF(Select2=1,Nappies!$K79,"")</f>
        <v>6.9469277616728199E-5</v>
      </c>
      <c r="F77" s="745">
        <f>IF(Select2=1,Garden!$K79,"")</f>
        <v>0</v>
      </c>
      <c r="G77" s="736">
        <f>IF(Select2=1,Wood!$K79,"")</f>
        <v>0</v>
      </c>
      <c r="H77" s="745">
        <f>IF(Select2=1,Textiles!$K79,"")</f>
        <v>3.021333248034773E-4</v>
      </c>
      <c r="I77" s="746">
        <f>Sludge!K79</f>
        <v>0</v>
      </c>
      <c r="J77" s="746" t="str">
        <f>IF(Select2=2,MSW!$K79,"")</f>
        <v/>
      </c>
      <c r="K77" s="746">
        <f>Industry!$K79</f>
        <v>0</v>
      </c>
      <c r="L77" s="747">
        <f t="shared" si="3"/>
        <v>4.6087977296899504E-3</v>
      </c>
      <c r="M77" s="748">
        <f>Recovery_OX!C72</f>
        <v>0</v>
      </c>
      <c r="N77" s="703"/>
      <c r="O77" s="749">
        <f>(L77-M77)*(1-Recovery_OX!F72)</f>
        <v>4.6087977296899504E-3</v>
      </c>
      <c r="P77" s="695"/>
      <c r="Q77" s="705"/>
      <c r="S77" s="743">
        <f t="shared" si="2"/>
        <v>2060</v>
      </c>
      <c r="T77" s="744">
        <f>IF(Select2=1,Food!$W79,"")</f>
        <v>3.1814012115482269E-9</v>
      </c>
      <c r="U77" s="745">
        <f>IF(Select2=1,Paper!$W79,"")</f>
        <v>8.7545255622632247E-3</v>
      </c>
      <c r="V77" s="736">
        <f>IF(Select2=1,Nappies!$W79,"")</f>
        <v>0</v>
      </c>
      <c r="W77" s="745">
        <f>IF(Select2=1,Garden!$W79,"")</f>
        <v>0</v>
      </c>
      <c r="X77" s="736">
        <f>IF(Select2=1,Wood!$W79,"")</f>
        <v>0</v>
      </c>
      <c r="Y77" s="745">
        <f>IF(Select2=1,Textiles!$W79,"")</f>
        <v>3.3110501348326284E-4</v>
      </c>
      <c r="Z77" s="738">
        <f>Sludge!W79</f>
        <v>0</v>
      </c>
      <c r="AA77" s="738" t="str">
        <f>IF(Select2=2,MSW!$W79,"")</f>
        <v/>
      </c>
      <c r="AB77" s="746">
        <f>Industry!$W79</f>
        <v>0</v>
      </c>
      <c r="AC77" s="747">
        <f t="shared" si="4"/>
        <v>9.0856337571476996E-3</v>
      </c>
      <c r="AD77" s="748">
        <f>Recovery_OX!R72</f>
        <v>0</v>
      </c>
      <c r="AE77" s="703"/>
      <c r="AF77" s="750">
        <f>(AC77-AD77)*(1-Recovery_OX!U72)</f>
        <v>9.0856337571476996E-3</v>
      </c>
    </row>
    <row r="78" spans="2:32">
      <c r="B78" s="743">
        <f t="shared" si="1"/>
        <v>2061</v>
      </c>
      <c r="C78" s="744">
        <f>IF(Select2=1,Food!$K80,"")</f>
        <v>3.1874618725058274E-9</v>
      </c>
      <c r="D78" s="745">
        <f>IF(Select2=1,Paper!$K80,"")</f>
        <v>3.9507301167440324E-3</v>
      </c>
      <c r="E78" s="736">
        <f>IF(Select2=1,Nappies!$K80,"")</f>
        <v>5.8608785359600261E-5</v>
      </c>
      <c r="F78" s="745">
        <f>IF(Select2=1,Garden!$K80,"")</f>
        <v>0</v>
      </c>
      <c r="G78" s="736">
        <f>IF(Select2=1,Wood!$K80,"")</f>
        <v>0</v>
      </c>
      <c r="H78" s="745">
        <f>IF(Select2=1,Textiles!$K80,"")</f>
        <v>2.8170724483439876E-4</v>
      </c>
      <c r="I78" s="746">
        <f>Sludge!K80</f>
        <v>0</v>
      </c>
      <c r="J78" s="746" t="str">
        <f>IF(Select2=2,MSW!$K80,"")</f>
        <v/>
      </c>
      <c r="K78" s="746">
        <f>Industry!$K80</f>
        <v>0</v>
      </c>
      <c r="L78" s="747">
        <f t="shared" si="3"/>
        <v>4.2910493343999035E-3</v>
      </c>
      <c r="M78" s="748">
        <f>Recovery_OX!C73</f>
        <v>0</v>
      </c>
      <c r="N78" s="703"/>
      <c r="O78" s="749">
        <f>(L78-M78)*(1-Recovery_OX!F73)</f>
        <v>4.2910493343999035E-3</v>
      </c>
      <c r="P78" s="695"/>
      <c r="Q78" s="705"/>
      <c r="S78" s="743">
        <f t="shared" si="2"/>
        <v>2061</v>
      </c>
      <c r="T78" s="744">
        <f>IF(Select2=1,Food!$W80,"")</f>
        <v>2.1325570065828462E-9</v>
      </c>
      <c r="U78" s="745">
        <f>IF(Select2=1,Paper!$W80,"")</f>
        <v>8.1626655304628763E-3</v>
      </c>
      <c r="V78" s="736">
        <f>IF(Select2=1,Nappies!$W80,"")</f>
        <v>0</v>
      </c>
      <c r="W78" s="745">
        <f>IF(Select2=1,Garden!$W80,"")</f>
        <v>0</v>
      </c>
      <c r="X78" s="736">
        <f>IF(Select2=1,Wood!$W80,"")</f>
        <v>0</v>
      </c>
      <c r="Y78" s="745">
        <f>IF(Select2=1,Textiles!$W80,"")</f>
        <v>3.0872026831166988E-4</v>
      </c>
      <c r="Z78" s="738">
        <f>Sludge!W80</f>
        <v>0</v>
      </c>
      <c r="AA78" s="738" t="str">
        <f>IF(Select2=2,MSW!$W80,"")</f>
        <v/>
      </c>
      <c r="AB78" s="746">
        <f>Industry!$W80</f>
        <v>0</v>
      </c>
      <c r="AC78" s="747">
        <f t="shared" si="4"/>
        <v>8.4713879313315522E-3</v>
      </c>
      <c r="AD78" s="748">
        <f>Recovery_OX!R73</f>
        <v>0</v>
      </c>
      <c r="AE78" s="703"/>
      <c r="AF78" s="750">
        <f>(AC78-AD78)*(1-Recovery_OX!U73)</f>
        <v>8.4713879313315522E-3</v>
      </c>
    </row>
    <row r="79" spans="2:32">
      <c r="B79" s="743">
        <f t="shared" si="1"/>
        <v>2062</v>
      </c>
      <c r="C79" s="744">
        <f>IF(Select2=1,Food!$K81,"")</f>
        <v>2.1366195891149515E-9</v>
      </c>
      <c r="D79" s="745">
        <f>IF(Select2=1,Paper!$K81,"")</f>
        <v>3.6836363449684415E-3</v>
      </c>
      <c r="E79" s="736">
        <f>IF(Select2=1,Nappies!$K81,"")</f>
        <v>4.9446170151343977E-5</v>
      </c>
      <c r="F79" s="745">
        <f>IF(Select2=1,Garden!$K81,"")</f>
        <v>0</v>
      </c>
      <c r="G79" s="736">
        <f>IF(Select2=1,Wood!$K81,"")</f>
        <v>0</v>
      </c>
      <c r="H79" s="745">
        <f>IF(Select2=1,Textiles!$K81,"")</f>
        <v>2.6266209410632526E-4</v>
      </c>
      <c r="I79" s="746">
        <f>Sludge!K81</f>
        <v>0</v>
      </c>
      <c r="J79" s="746" t="str">
        <f>IF(Select2=2,MSW!$K81,"")</f>
        <v/>
      </c>
      <c r="K79" s="746">
        <f>Industry!$K81</f>
        <v>0</v>
      </c>
      <c r="L79" s="747">
        <f t="shared" si="3"/>
        <v>3.9957467458457E-3</v>
      </c>
      <c r="M79" s="748">
        <f>Recovery_OX!C74</f>
        <v>0</v>
      </c>
      <c r="N79" s="703"/>
      <c r="O79" s="749">
        <f>(L79-M79)*(1-Recovery_OX!F74)</f>
        <v>3.9957467458457E-3</v>
      </c>
      <c r="P79" s="695"/>
      <c r="Q79" s="705"/>
      <c r="S79" s="743">
        <f t="shared" si="2"/>
        <v>2062</v>
      </c>
      <c r="T79" s="744">
        <f>IF(Select2=1,Food!$W81,"")</f>
        <v>1.4294957108262387E-9</v>
      </c>
      <c r="U79" s="745">
        <f>IF(Select2=1,Paper!$W81,"")</f>
        <v>7.6108188945628952E-3</v>
      </c>
      <c r="V79" s="736">
        <f>IF(Select2=1,Nappies!$W81,"")</f>
        <v>0</v>
      </c>
      <c r="W79" s="745">
        <f>IF(Select2=1,Garden!$W81,"")</f>
        <v>0</v>
      </c>
      <c r="X79" s="736">
        <f>IF(Select2=1,Wood!$W81,"")</f>
        <v>0</v>
      </c>
      <c r="Y79" s="745">
        <f>IF(Select2=1,Textiles!$W81,"")</f>
        <v>2.8784887025350717E-4</v>
      </c>
      <c r="Z79" s="738">
        <f>Sludge!W81</f>
        <v>0</v>
      </c>
      <c r="AA79" s="738" t="str">
        <f>IF(Select2=2,MSW!$W81,"")</f>
        <v/>
      </c>
      <c r="AB79" s="746">
        <f>Industry!$W81</f>
        <v>0</v>
      </c>
      <c r="AC79" s="747">
        <f t="shared" si="4"/>
        <v>7.8986691943121138E-3</v>
      </c>
      <c r="AD79" s="748">
        <f>Recovery_OX!R74</f>
        <v>0</v>
      </c>
      <c r="AE79" s="703"/>
      <c r="AF79" s="750">
        <f>(AC79-AD79)*(1-Recovery_OX!U74)</f>
        <v>7.8986691943121138E-3</v>
      </c>
    </row>
    <row r="80" spans="2:32">
      <c r="B80" s="743">
        <f t="shared" si="1"/>
        <v>2063</v>
      </c>
      <c r="C80" s="744">
        <f>IF(Select2=1,Food!$K82,"")</f>
        <v>1.432218941336183E-9</v>
      </c>
      <c r="D80" s="745">
        <f>IF(Select2=1,Paper!$K82,"")</f>
        <v>3.4345997628295105E-3</v>
      </c>
      <c r="E80" s="736">
        <f>IF(Select2=1,Nappies!$K82,"")</f>
        <v>4.1715994072127195E-5</v>
      </c>
      <c r="F80" s="745">
        <f>IF(Select2=1,Garden!$K82,"")</f>
        <v>0</v>
      </c>
      <c r="G80" s="736">
        <f>IF(Select2=1,Wood!$K82,"")</f>
        <v>0</v>
      </c>
      <c r="H80" s="745">
        <f>IF(Select2=1,Textiles!$K82,"")</f>
        <v>2.4490451326829229E-4</v>
      </c>
      <c r="I80" s="746">
        <f>Sludge!K82</f>
        <v>0</v>
      </c>
      <c r="J80" s="746" t="str">
        <f>IF(Select2=2,MSW!$K82,"")</f>
        <v/>
      </c>
      <c r="K80" s="746">
        <f>Industry!$K82</f>
        <v>0</v>
      </c>
      <c r="L80" s="747">
        <f t="shared" si="3"/>
        <v>3.7212217023888713E-3</v>
      </c>
      <c r="M80" s="748">
        <f>Recovery_OX!C75</f>
        <v>0</v>
      </c>
      <c r="N80" s="703"/>
      <c r="O80" s="749">
        <f>(L80-M80)*(1-Recovery_OX!F75)</f>
        <v>3.7212217023888713E-3</v>
      </c>
      <c r="P80" s="695"/>
      <c r="Q80" s="705"/>
      <c r="S80" s="743">
        <f t="shared" si="2"/>
        <v>2063</v>
      </c>
      <c r="T80" s="744">
        <f>IF(Select2=1,Food!$W82,"")</f>
        <v>9.5821963068879333E-10</v>
      </c>
      <c r="U80" s="745">
        <f>IF(Select2=1,Paper!$W82,"")</f>
        <v>7.0962805017138657E-3</v>
      </c>
      <c r="V80" s="736">
        <f>IF(Select2=1,Nappies!$W82,"")</f>
        <v>0</v>
      </c>
      <c r="W80" s="745">
        <f>IF(Select2=1,Garden!$W82,"")</f>
        <v>0</v>
      </c>
      <c r="X80" s="736">
        <f>IF(Select2=1,Wood!$W82,"")</f>
        <v>0</v>
      </c>
      <c r="Y80" s="745">
        <f>IF(Select2=1,Textiles!$W82,"")</f>
        <v>2.6838850769127925E-4</v>
      </c>
      <c r="Z80" s="738">
        <f>Sludge!W82</f>
        <v>0</v>
      </c>
      <c r="AA80" s="738" t="str">
        <f>IF(Select2=2,MSW!$W82,"")</f>
        <v/>
      </c>
      <c r="AB80" s="746">
        <f>Industry!$W82</f>
        <v>0</v>
      </c>
      <c r="AC80" s="747">
        <f t="shared" si="4"/>
        <v>7.3646699676247753E-3</v>
      </c>
      <c r="AD80" s="748">
        <f>Recovery_OX!R75</f>
        <v>0</v>
      </c>
      <c r="AE80" s="703"/>
      <c r="AF80" s="750">
        <f>(AC80-AD80)*(1-Recovery_OX!U75)</f>
        <v>7.3646699676247753E-3</v>
      </c>
    </row>
    <row r="81" spans="2:32">
      <c r="B81" s="743">
        <f t="shared" si="1"/>
        <v>2064</v>
      </c>
      <c r="C81" s="744">
        <f>IF(Select2=1,Food!$K83,"")</f>
        <v>9.6004506668958469E-10</v>
      </c>
      <c r="D81" s="745">
        <f>IF(Select2=1,Paper!$K83,"")</f>
        <v>3.2023995927126713E-3</v>
      </c>
      <c r="E81" s="736">
        <f>IF(Select2=1,Nappies!$K83,"")</f>
        <v>3.5194316487997019E-5</v>
      </c>
      <c r="F81" s="745">
        <f>IF(Select2=1,Garden!$K83,"")</f>
        <v>0</v>
      </c>
      <c r="G81" s="736">
        <f>IF(Select2=1,Wood!$K83,"")</f>
        <v>0</v>
      </c>
      <c r="H81" s="745">
        <f>IF(Select2=1,Textiles!$K83,"")</f>
        <v>2.2834745463843004E-4</v>
      </c>
      <c r="I81" s="746">
        <f>Sludge!K83</f>
        <v>0</v>
      </c>
      <c r="J81" s="746" t="str">
        <f>IF(Select2=2,MSW!$K83,"")</f>
        <v/>
      </c>
      <c r="K81" s="746">
        <f>Industry!$K83</f>
        <v>0</v>
      </c>
      <c r="L81" s="747">
        <f t="shared" si="3"/>
        <v>3.4659423238841652E-3</v>
      </c>
      <c r="M81" s="748">
        <f>Recovery_OX!C76</f>
        <v>0</v>
      </c>
      <c r="N81" s="703"/>
      <c r="O81" s="749">
        <f>(L81-M81)*(1-Recovery_OX!F76)</f>
        <v>3.4659423238841652E-3</v>
      </c>
      <c r="P81" s="695"/>
      <c r="Q81" s="705"/>
      <c r="S81" s="743">
        <f t="shared" si="2"/>
        <v>2064</v>
      </c>
      <c r="T81" s="744">
        <f>IF(Select2=1,Food!$W83,"")</f>
        <v>6.423138269555652E-10</v>
      </c>
      <c r="U81" s="745">
        <f>IF(Select2=1,Paper!$W83,"")</f>
        <v>6.61652808411709E-3</v>
      </c>
      <c r="V81" s="736">
        <f>IF(Select2=1,Nappies!$W83,"")</f>
        <v>0</v>
      </c>
      <c r="W81" s="745">
        <f>IF(Select2=1,Garden!$W83,"")</f>
        <v>0</v>
      </c>
      <c r="X81" s="736">
        <f>IF(Select2=1,Wood!$W83,"")</f>
        <v>0</v>
      </c>
      <c r="Y81" s="745">
        <f>IF(Select2=1,Textiles!$W83,"")</f>
        <v>2.5024378590512877E-4</v>
      </c>
      <c r="Z81" s="738">
        <f>Sludge!W83</f>
        <v>0</v>
      </c>
      <c r="AA81" s="738" t="str">
        <f>IF(Select2=2,MSW!$W83,"")</f>
        <v/>
      </c>
      <c r="AB81" s="746">
        <f>Industry!$W83</f>
        <v>0</v>
      </c>
      <c r="AC81" s="747">
        <f t="shared" ref="AC81:AC97" si="5">SUM(T81:AA81)</f>
        <v>6.8667725123360461E-3</v>
      </c>
      <c r="AD81" s="748">
        <f>Recovery_OX!R76</f>
        <v>0</v>
      </c>
      <c r="AE81" s="703"/>
      <c r="AF81" s="750">
        <f>(AC81-AD81)*(1-Recovery_OX!U76)</f>
        <v>6.8667725123360461E-3</v>
      </c>
    </row>
    <row r="82" spans="2:32">
      <c r="B82" s="743">
        <f t="shared" ref="B82:B97" si="6">B81+1</f>
        <v>2065</v>
      </c>
      <c r="C82" s="744">
        <f>IF(Select2=1,Food!$K84,"")</f>
        <v>6.4353745329965091E-10</v>
      </c>
      <c r="D82" s="745">
        <f>IF(Select2=1,Paper!$K84,"")</f>
        <v>2.9858975891146203E-3</v>
      </c>
      <c r="E82" s="736">
        <f>IF(Select2=1,Nappies!$K84,"")</f>
        <v>2.9692206565081087E-5</v>
      </c>
      <c r="F82" s="745">
        <f>IF(Select2=1,Garden!$K84,"")</f>
        <v>0</v>
      </c>
      <c r="G82" s="736">
        <f>IF(Select2=1,Wood!$K84,"")</f>
        <v>0</v>
      </c>
      <c r="H82" s="745">
        <f>IF(Select2=1,Textiles!$K84,"")</f>
        <v>2.12909755496126E-4</v>
      </c>
      <c r="I82" s="746">
        <f>Sludge!K84</f>
        <v>0</v>
      </c>
      <c r="J82" s="746" t="str">
        <f>IF(Select2=2,MSW!$K84,"")</f>
        <v/>
      </c>
      <c r="K82" s="746">
        <f>Industry!$K84</f>
        <v>0</v>
      </c>
      <c r="L82" s="747">
        <f t="shared" si="3"/>
        <v>3.2285001947132807E-3</v>
      </c>
      <c r="M82" s="748">
        <f>Recovery_OX!C77</f>
        <v>0</v>
      </c>
      <c r="N82" s="703"/>
      <c r="O82" s="749">
        <f>(L82-M82)*(1-Recovery_OX!F77)</f>
        <v>3.2285001947132807E-3</v>
      </c>
      <c r="P82" s="695"/>
      <c r="Q82" s="705"/>
      <c r="S82" s="743">
        <f t="shared" ref="S82:S97" si="7">S81+1</f>
        <v>2065</v>
      </c>
      <c r="T82" s="744">
        <f>IF(Select2=1,Food!$W84,"")</f>
        <v>4.3055583405418211E-10</v>
      </c>
      <c r="U82" s="745">
        <f>IF(Select2=1,Paper!$W84,"")</f>
        <v>6.1692098948649184E-3</v>
      </c>
      <c r="V82" s="736">
        <f>IF(Select2=1,Nappies!$W84,"")</f>
        <v>0</v>
      </c>
      <c r="W82" s="745">
        <f>IF(Select2=1,Garden!$W84,"")</f>
        <v>0</v>
      </c>
      <c r="X82" s="736">
        <f>IF(Select2=1,Wood!$W84,"")</f>
        <v>0</v>
      </c>
      <c r="Y82" s="745">
        <f>IF(Select2=1,Textiles!$W84,"")</f>
        <v>2.3332575944780937E-4</v>
      </c>
      <c r="Z82" s="738">
        <f>Sludge!W84</f>
        <v>0</v>
      </c>
      <c r="AA82" s="738" t="str">
        <f>IF(Select2=2,MSW!$W84,"")</f>
        <v/>
      </c>
      <c r="AB82" s="746">
        <f>Industry!$W84</f>
        <v>0</v>
      </c>
      <c r="AC82" s="747">
        <f t="shared" si="5"/>
        <v>6.4025360848685622E-3</v>
      </c>
      <c r="AD82" s="748">
        <f>Recovery_OX!R77</f>
        <v>0</v>
      </c>
      <c r="AE82" s="703"/>
      <c r="AF82" s="750">
        <f>(AC82-AD82)*(1-Recovery_OX!U77)</f>
        <v>6.4025360848685622E-3</v>
      </c>
    </row>
    <row r="83" spans="2:32">
      <c r="B83" s="743">
        <f t="shared" si="6"/>
        <v>2066</v>
      </c>
      <c r="C83" s="744">
        <f>IF(Select2=1,Food!$K85,"")</f>
        <v>4.3137605532148014E-10</v>
      </c>
      <c r="D83" s="745">
        <f>IF(Select2=1,Paper!$K85,"")</f>
        <v>2.7840324589625425E-3</v>
      </c>
      <c r="E83" s="736">
        <f>IF(Select2=1,Nappies!$K85,"")</f>
        <v>2.5050270006071079E-5</v>
      </c>
      <c r="F83" s="745">
        <f>IF(Select2=1,Garden!$K85,"")</f>
        <v>0</v>
      </c>
      <c r="G83" s="736">
        <f>IF(Select2=1,Wood!$K85,"")</f>
        <v>0</v>
      </c>
      <c r="H83" s="745">
        <f>IF(Select2=1,Textiles!$K85,"")</f>
        <v>1.9851574022227439E-4</v>
      </c>
      <c r="I83" s="746">
        <f>Sludge!K85</f>
        <v>0</v>
      </c>
      <c r="J83" s="746" t="str">
        <f>IF(Select2=2,MSW!$K85,"")</f>
        <v/>
      </c>
      <c r="K83" s="746">
        <f>Industry!$K85</f>
        <v>0</v>
      </c>
      <c r="L83" s="747">
        <f t="shared" ref="L83:L97" si="8">SUM(C83:K83)</f>
        <v>3.0075989005669433E-3</v>
      </c>
      <c r="M83" s="748">
        <f>Recovery_OX!C78</f>
        <v>0</v>
      </c>
      <c r="N83" s="703"/>
      <c r="O83" s="749">
        <f>(L83-M83)*(1-Recovery_OX!F78)</f>
        <v>3.0075989005669433E-3</v>
      </c>
      <c r="P83" s="695"/>
      <c r="Q83" s="705"/>
      <c r="S83" s="743">
        <f t="shared" si="7"/>
        <v>2066</v>
      </c>
      <c r="T83" s="744">
        <f>IF(Select2=1,Food!$W85,"")</f>
        <v>2.8861020650411243E-10</v>
      </c>
      <c r="U83" s="745">
        <f>IF(Select2=1,Paper!$W85,"")</f>
        <v>5.7521331796746757E-3</v>
      </c>
      <c r="V83" s="736">
        <f>IF(Select2=1,Nappies!$W85,"")</f>
        <v>0</v>
      </c>
      <c r="W83" s="745">
        <f>IF(Select2=1,Garden!$W85,"")</f>
        <v>0</v>
      </c>
      <c r="X83" s="736">
        <f>IF(Select2=1,Wood!$W85,"")</f>
        <v>0</v>
      </c>
      <c r="Y83" s="745">
        <f>IF(Select2=1,Textiles!$W85,"")</f>
        <v>2.1755149613399941E-4</v>
      </c>
      <c r="Z83" s="738">
        <f>Sludge!W85</f>
        <v>0</v>
      </c>
      <c r="AA83" s="738" t="str">
        <f>IF(Select2=2,MSW!$W85,"")</f>
        <v/>
      </c>
      <c r="AB83" s="746">
        <f>Industry!$W85</f>
        <v>0</v>
      </c>
      <c r="AC83" s="747">
        <f t="shared" si="5"/>
        <v>5.9696849644188818E-3</v>
      </c>
      <c r="AD83" s="748">
        <f>Recovery_OX!R78</f>
        <v>0</v>
      </c>
      <c r="AE83" s="703"/>
      <c r="AF83" s="750">
        <f>(AC83-AD83)*(1-Recovery_OX!U78)</f>
        <v>5.9696849644188818E-3</v>
      </c>
    </row>
    <row r="84" spans="2:32">
      <c r="B84" s="743">
        <f t="shared" si="6"/>
        <v>2067</v>
      </c>
      <c r="C84" s="744">
        <f>IF(Select2=1,Food!$K86,"")</f>
        <v>2.8916001726176701E-10</v>
      </c>
      <c r="D84" s="745">
        <f>IF(Select2=1,Paper!$K86,"")</f>
        <v>2.5958146591542352E-3</v>
      </c>
      <c r="E84" s="736">
        <f>IF(Select2=1,Nappies!$K86,"")</f>
        <v>2.1134031450361851E-5</v>
      </c>
      <c r="F84" s="745">
        <f>IF(Select2=1,Garden!$K86,"")</f>
        <v>0</v>
      </c>
      <c r="G84" s="736">
        <f>IF(Select2=1,Wood!$K86,"")</f>
        <v>0</v>
      </c>
      <c r="H84" s="745">
        <f>IF(Select2=1,Textiles!$K86,"")</f>
        <v>1.8509484933730333E-4</v>
      </c>
      <c r="I84" s="746">
        <f>Sludge!K86</f>
        <v>0</v>
      </c>
      <c r="J84" s="746" t="str">
        <f>IF(Select2=2,MSW!$K86,"")</f>
        <v/>
      </c>
      <c r="K84" s="746">
        <f>Industry!$K86</f>
        <v>0</v>
      </c>
      <c r="L84" s="747">
        <f t="shared" si="8"/>
        <v>2.8020438291019175E-3</v>
      </c>
      <c r="M84" s="748">
        <f>Recovery_OX!C79</f>
        <v>0</v>
      </c>
      <c r="N84" s="703"/>
      <c r="O84" s="749">
        <f>(L84-M84)*(1-Recovery_OX!F79)</f>
        <v>2.8020438291019175E-3</v>
      </c>
      <c r="P84" s="695"/>
      <c r="Q84" s="705"/>
      <c r="S84" s="743">
        <f t="shared" si="7"/>
        <v>2067</v>
      </c>
      <c r="T84" s="744">
        <f>IF(Select2=1,Food!$W86,"")</f>
        <v>1.9346120691019202E-10</v>
      </c>
      <c r="U84" s="745">
        <f>IF(Select2=1,Paper!$W86,"")</f>
        <v>5.3632534280046197E-3</v>
      </c>
      <c r="V84" s="736">
        <f>IF(Select2=1,Nappies!$W86,"")</f>
        <v>0</v>
      </c>
      <c r="W84" s="745">
        <f>IF(Select2=1,Garden!$W86,"")</f>
        <v>0</v>
      </c>
      <c r="X84" s="736">
        <f>IF(Select2=1,Wood!$W86,"")</f>
        <v>0</v>
      </c>
      <c r="Y84" s="745">
        <f>IF(Select2=1,Textiles!$W86,"")</f>
        <v>2.0284367050663383E-4</v>
      </c>
      <c r="Z84" s="738">
        <f>Sludge!W86</f>
        <v>0</v>
      </c>
      <c r="AA84" s="738" t="str">
        <f>IF(Select2=2,MSW!$W86,"")</f>
        <v/>
      </c>
      <c r="AB84" s="746">
        <f>Industry!$W86</f>
        <v>0</v>
      </c>
      <c r="AC84" s="747">
        <f t="shared" si="5"/>
        <v>5.5660972919724609E-3</v>
      </c>
      <c r="AD84" s="748">
        <f>Recovery_OX!R79</f>
        <v>0</v>
      </c>
      <c r="AE84" s="703"/>
      <c r="AF84" s="750">
        <f>(AC84-AD84)*(1-Recovery_OX!U79)</f>
        <v>5.5660972919724609E-3</v>
      </c>
    </row>
    <row r="85" spans="2:32">
      <c r="B85" s="743">
        <f t="shared" si="6"/>
        <v>2068</v>
      </c>
      <c r="C85" s="744">
        <f>IF(Select2=1,Food!$K87,"")</f>
        <v>1.9382975608257396E-10</v>
      </c>
      <c r="D85" s="745">
        <f>IF(Select2=1,Paper!$K87,"")</f>
        <v>2.4203215458166744E-3</v>
      </c>
      <c r="E85" s="736">
        <f>IF(Select2=1,Nappies!$K87,"")</f>
        <v>1.7830038767511733E-5</v>
      </c>
      <c r="F85" s="745">
        <f>IF(Select2=1,Garden!$K87,"")</f>
        <v>0</v>
      </c>
      <c r="G85" s="736">
        <f>IF(Select2=1,Wood!$K87,"")</f>
        <v>0</v>
      </c>
      <c r="H85" s="745">
        <f>IF(Select2=1,Textiles!$K87,"")</f>
        <v>1.7258129361852424E-4</v>
      </c>
      <c r="I85" s="746">
        <f>Sludge!K87</f>
        <v>0</v>
      </c>
      <c r="J85" s="746" t="str">
        <f>IF(Select2=2,MSW!$K87,"")</f>
        <v/>
      </c>
      <c r="K85" s="746">
        <f>Industry!$K87</f>
        <v>0</v>
      </c>
      <c r="L85" s="747">
        <f t="shared" si="8"/>
        <v>2.6107330720324664E-3</v>
      </c>
      <c r="M85" s="748">
        <f>Recovery_OX!C80</f>
        <v>0</v>
      </c>
      <c r="N85" s="703"/>
      <c r="O85" s="749">
        <f>(L85-M85)*(1-Recovery_OX!F80)</f>
        <v>2.6107330720324664E-3</v>
      </c>
      <c r="P85" s="695"/>
      <c r="Q85" s="705"/>
      <c r="S85" s="743">
        <f t="shared" si="7"/>
        <v>2068</v>
      </c>
      <c r="T85" s="744">
        <f>IF(Select2=1,Food!$W87,"")</f>
        <v>1.2968092512215027E-10</v>
      </c>
      <c r="U85" s="745">
        <f>IF(Select2=1,Paper!$W87,"")</f>
        <v>5.0006643508608986E-3</v>
      </c>
      <c r="V85" s="736">
        <f>IF(Select2=1,Nappies!$W87,"")</f>
        <v>0</v>
      </c>
      <c r="W85" s="745">
        <f>IF(Select2=1,Garden!$W87,"")</f>
        <v>0</v>
      </c>
      <c r="X85" s="736">
        <f>IF(Select2=1,Wood!$W87,"")</f>
        <v>0</v>
      </c>
      <c r="Y85" s="745">
        <f>IF(Select2=1,Textiles!$W87,"")</f>
        <v>1.8913018478742383E-4</v>
      </c>
      <c r="Z85" s="738">
        <f>Sludge!W87</f>
        <v>0</v>
      </c>
      <c r="AA85" s="738" t="str">
        <f>IF(Select2=2,MSW!$W87,"")</f>
        <v/>
      </c>
      <c r="AB85" s="746">
        <f>Industry!$W87</f>
        <v>0</v>
      </c>
      <c r="AC85" s="747">
        <f t="shared" si="5"/>
        <v>5.1897946653292476E-3</v>
      </c>
      <c r="AD85" s="748">
        <f>Recovery_OX!R80</f>
        <v>0</v>
      </c>
      <c r="AE85" s="703"/>
      <c r="AF85" s="750">
        <f>(AC85-AD85)*(1-Recovery_OX!U80)</f>
        <v>5.1897946653292476E-3</v>
      </c>
    </row>
    <row r="86" spans="2:32">
      <c r="B86" s="743">
        <f t="shared" si="6"/>
        <v>2069</v>
      </c>
      <c r="C86" s="744">
        <f>IF(Select2=1,Food!$K88,"")</f>
        <v>1.299279710203477E-10</v>
      </c>
      <c r="D86" s="745">
        <f>IF(Select2=1,Paper!$K88,"")</f>
        <v>2.2566928515046786E-3</v>
      </c>
      <c r="E86" s="736">
        <f>IF(Select2=1,Nappies!$K88,"")</f>
        <v>1.5042576386699199E-5</v>
      </c>
      <c r="F86" s="745">
        <f>IF(Select2=1,Garden!$K88,"")</f>
        <v>0</v>
      </c>
      <c r="G86" s="736">
        <f>IF(Select2=1,Wood!$K88,"")</f>
        <v>0</v>
      </c>
      <c r="H86" s="745">
        <f>IF(Select2=1,Textiles!$K88,"")</f>
        <v>1.6091373160128584E-4</v>
      </c>
      <c r="I86" s="746">
        <f>Sludge!K88</f>
        <v>0</v>
      </c>
      <c r="J86" s="746" t="str">
        <f>IF(Select2=2,MSW!$K88,"")</f>
        <v/>
      </c>
      <c r="K86" s="746">
        <f>Industry!$K88</f>
        <v>0</v>
      </c>
      <c r="L86" s="747">
        <f t="shared" si="8"/>
        <v>2.4326492894206349E-3</v>
      </c>
      <c r="M86" s="748">
        <f>Recovery_OX!C81</f>
        <v>0</v>
      </c>
      <c r="N86" s="703"/>
      <c r="O86" s="749">
        <f>(L86-M86)*(1-Recovery_OX!F81)</f>
        <v>2.4326492894206349E-3</v>
      </c>
      <c r="P86" s="695"/>
      <c r="Q86" s="705"/>
      <c r="S86" s="743">
        <f t="shared" si="7"/>
        <v>2069</v>
      </c>
      <c r="T86" s="744">
        <f>IF(Select2=1,Food!$W88,"")</f>
        <v>8.6927723697824055E-11</v>
      </c>
      <c r="U86" s="745">
        <f>IF(Select2=1,Paper!$W88,"")</f>
        <v>4.6625885361666923E-3</v>
      </c>
      <c r="V86" s="736">
        <f>IF(Select2=1,Nappies!$W88,"")</f>
        <v>0</v>
      </c>
      <c r="W86" s="745">
        <f>IF(Select2=1,Garden!$W88,"")</f>
        <v>0</v>
      </c>
      <c r="X86" s="736">
        <f>IF(Select2=1,Wood!$W88,"")</f>
        <v>0</v>
      </c>
      <c r="Y86" s="745">
        <f>IF(Select2=1,Textiles!$W88,"")</f>
        <v>1.7634381545346395E-4</v>
      </c>
      <c r="Z86" s="738">
        <f>Sludge!W88</f>
        <v>0</v>
      </c>
      <c r="AA86" s="738" t="str">
        <f>IF(Select2=2,MSW!$W88,"")</f>
        <v/>
      </c>
      <c r="AB86" s="746">
        <f>Industry!$W88</f>
        <v>0</v>
      </c>
      <c r="AC86" s="747">
        <f t="shared" si="5"/>
        <v>4.8389324385478801E-3</v>
      </c>
      <c r="AD86" s="748">
        <f>Recovery_OX!R81</f>
        <v>0</v>
      </c>
      <c r="AE86" s="703"/>
      <c r="AF86" s="750">
        <f>(AC86-AD86)*(1-Recovery_OX!U81)</f>
        <v>4.8389324385478801E-3</v>
      </c>
    </row>
    <row r="87" spans="2:32">
      <c r="B87" s="743">
        <f t="shared" si="6"/>
        <v>2070</v>
      </c>
      <c r="C87" s="744">
        <f>IF(Select2=1,Food!$K89,"")</f>
        <v>8.7093323515676691E-11</v>
      </c>
      <c r="D87" s="745">
        <f>IF(Select2=1,Paper!$K89,"")</f>
        <v>2.1041264681688943E-3</v>
      </c>
      <c r="E87" s="736">
        <f>IF(Select2=1,Nappies!$K89,"")</f>
        <v>1.2690892448421672E-5</v>
      </c>
      <c r="F87" s="745">
        <f>IF(Select2=1,Garden!$K89,"")</f>
        <v>0</v>
      </c>
      <c r="G87" s="736">
        <f>IF(Select2=1,Wood!$K89,"")</f>
        <v>0</v>
      </c>
      <c r="H87" s="745">
        <f>IF(Select2=1,Textiles!$K89,"")</f>
        <v>1.5003496888304341E-4</v>
      </c>
      <c r="I87" s="746">
        <f>Sludge!K89</f>
        <v>0</v>
      </c>
      <c r="J87" s="746" t="str">
        <f>IF(Select2=2,MSW!$K89,"")</f>
        <v/>
      </c>
      <c r="K87" s="746">
        <f>Industry!$K89</f>
        <v>0</v>
      </c>
      <c r="L87" s="747">
        <f t="shared" si="8"/>
        <v>2.2668524165936829E-3</v>
      </c>
      <c r="M87" s="748">
        <f>Recovery_OX!C82</f>
        <v>0</v>
      </c>
      <c r="N87" s="703"/>
      <c r="O87" s="749">
        <f>(L87-M87)*(1-Recovery_OX!F82)</f>
        <v>2.2668524165936829E-3</v>
      </c>
      <c r="P87" s="695"/>
      <c r="Q87" s="705"/>
      <c r="S87" s="743">
        <f t="shared" si="7"/>
        <v>2070</v>
      </c>
      <c r="T87" s="744">
        <f>IF(Select2=1,Food!$W89,"")</f>
        <v>5.8269395750898756E-11</v>
      </c>
      <c r="U87" s="745">
        <f>IF(Select2=1,Paper!$W89,"")</f>
        <v>4.3473687358861462E-3</v>
      </c>
      <c r="V87" s="736">
        <f>IF(Select2=1,Nappies!$W89,"")</f>
        <v>0</v>
      </c>
      <c r="W87" s="745">
        <f>IF(Select2=1,Garden!$W89,"")</f>
        <v>0</v>
      </c>
      <c r="X87" s="736">
        <f>IF(Select2=1,Wood!$W89,"")</f>
        <v>0</v>
      </c>
      <c r="Y87" s="745">
        <f>IF(Select2=1,Textiles!$W89,"")</f>
        <v>1.6442188370744488E-4</v>
      </c>
      <c r="Z87" s="738">
        <f>Sludge!W89</f>
        <v>0</v>
      </c>
      <c r="AA87" s="738" t="str">
        <f>IF(Select2=2,MSW!$W89,"")</f>
        <v/>
      </c>
      <c r="AB87" s="746">
        <f>Industry!$W89</f>
        <v>0</v>
      </c>
      <c r="AC87" s="747">
        <f t="shared" si="5"/>
        <v>4.5117906778629861E-3</v>
      </c>
      <c r="AD87" s="748">
        <f>Recovery_OX!R82</f>
        <v>0</v>
      </c>
      <c r="AE87" s="703"/>
      <c r="AF87" s="750">
        <f>(AC87-AD87)*(1-Recovery_OX!U82)</f>
        <v>4.5117906778629861E-3</v>
      </c>
    </row>
    <row r="88" spans="2:32">
      <c r="B88" s="743">
        <f t="shared" si="6"/>
        <v>2071</v>
      </c>
      <c r="C88" s="744">
        <f>IF(Select2=1,Food!$K90,"")</f>
        <v>5.8380400628425223E-11</v>
      </c>
      <c r="D88" s="745">
        <f>IF(Select2=1,Paper!$K90,"")</f>
        <v>1.961874515221207E-3</v>
      </c>
      <c r="E88" s="736">
        <f>IF(Select2=1,Nappies!$K90,"")</f>
        <v>1.0706859449942101E-5</v>
      </c>
      <c r="F88" s="745">
        <f>IF(Select2=1,Garden!$K90,"")</f>
        <v>0</v>
      </c>
      <c r="G88" s="736">
        <f>IF(Select2=1,Wood!$K90,"")</f>
        <v>0</v>
      </c>
      <c r="H88" s="745">
        <f>IF(Select2=1,Textiles!$K90,"")</f>
        <v>1.3989167775633094E-4</v>
      </c>
      <c r="I88" s="746">
        <f>Sludge!K90</f>
        <v>0</v>
      </c>
      <c r="J88" s="746" t="str">
        <f>IF(Select2=2,MSW!$K90,"")</f>
        <v/>
      </c>
      <c r="K88" s="746">
        <f>Industry!$K90</f>
        <v>0</v>
      </c>
      <c r="L88" s="747">
        <f t="shared" si="8"/>
        <v>2.1124731108078812E-3</v>
      </c>
      <c r="M88" s="748">
        <f>Recovery_OX!C83</f>
        <v>0</v>
      </c>
      <c r="N88" s="703"/>
      <c r="O88" s="749">
        <f>(L88-M88)*(1-Recovery_OX!F83)</f>
        <v>2.1124731108078812E-3</v>
      </c>
      <c r="P88" s="695"/>
      <c r="Q88" s="705"/>
      <c r="S88" s="743">
        <f t="shared" si="7"/>
        <v>2071</v>
      </c>
      <c r="T88" s="744">
        <f>IF(Select2=1,Food!$W90,"")</f>
        <v>3.9059144042211339E-11</v>
      </c>
      <c r="U88" s="745">
        <f>IF(Select2=1,Paper!$W90,"")</f>
        <v>4.0534597421925771E-3</v>
      </c>
      <c r="V88" s="736">
        <f>IF(Select2=1,Nappies!$W90,"")</f>
        <v>0</v>
      </c>
      <c r="W88" s="745">
        <f>IF(Select2=1,Garden!$W90,"")</f>
        <v>0</v>
      </c>
      <c r="X88" s="736">
        <f>IF(Select2=1,Wood!$W90,"")</f>
        <v>0</v>
      </c>
      <c r="Y88" s="745">
        <f>IF(Select2=1,Textiles!$W90,"")</f>
        <v>1.5330594822611613E-4</v>
      </c>
      <c r="Z88" s="738">
        <f>Sludge!W90</f>
        <v>0</v>
      </c>
      <c r="AA88" s="738" t="str">
        <f>IF(Select2=2,MSW!$W90,"")</f>
        <v/>
      </c>
      <c r="AB88" s="746">
        <f>Industry!$W90</f>
        <v>0</v>
      </c>
      <c r="AC88" s="747">
        <f t="shared" si="5"/>
        <v>4.206765729477837E-3</v>
      </c>
      <c r="AD88" s="748">
        <f>Recovery_OX!R83</f>
        <v>0</v>
      </c>
      <c r="AE88" s="703"/>
      <c r="AF88" s="750">
        <f>(AC88-AD88)*(1-Recovery_OX!U83)</f>
        <v>4.206765729477837E-3</v>
      </c>
    </row>
    <row r="89" spans="2:32">
      <c r="B89" s="743">
        <f t="shared" si="6"/>
        <v>2072</v>
      </c>
      <c r="C89" s="744">
        <f>IF(Select2=1,Food!$K91,"")</f>
        <v>3.913355283682506E-11</v>
      </c>
      <c r="D89" s="745">
        <f>IF(Select2=1,Paper!$K91,"")</f>
        <v>1.829239673423232E-3</v>
      </c>
      <c r="E89" s="736">
        <f>IF(Select2=1,Nappies!$K91,"")</f>
        <v>9.0330006141586599E-6</v>
      </c>
      <c r="F89" s="745">
        <f>IF(Select2=1,Garden!$K91,"")</f>
        <v>0</v>
      </c>
      <c r="G89" s="736">
        <f>IF(Select2=1,Wood!$K91,"")</f>
        <v>0</v>
      </c>
      <c r="H89" s="745">
        <f>IF(Select2=1,Textiles!$K91,"")</f>
        <v>1.3043413579627737E-4</v>
      </c>
      <c r="I89" s="746">
        <f>Sludge!K91</f>
        <v>0</v>
      </c>
      <c r="J89" s="746" t="str">
        <f>IF(Select2=2,MSW!$K91,"")</f>
        <v/>
      </c>
      <c r="K89" s="746">
        <f>Industry!$K91</f>
        <v>0</v>
      </c>
      <c r="L89" s="747">
        <f t="shared" si="8"/>
        <v>1.9687068489672209E-3</v>
      </c>
      <c r="M89" s="748">
        <f>Recovery_OX!C84</f>
        <v>0</v>
      </c>
      <c r="N89" s="703"/>
      <c r="O89" s="749">
        <f>(L89-M89)*(1-Recovery_OX!F84)</f>
        <v>1.9687068489672209E-3</v>
      </c>
      <c r="P89" s="695"/>
      <c r="Q89" s="705"/>
      <c r="S89" s="743">
        <f t="shared" si="7"/>
        <v>2072</v>
      </c>
      <c r="T89" s="744">
        <f>IF(Select2=1,Food!$W91,"")</f>
        <v>2.6182127232487771E-11</v>
      </c>
      <c r="U89" s="745">
        <f>IF(Select2=1,Paper!$W91,"")</f>
        <v>3.7794208128579176E-3</v>
      </c>
      <c r="V89" s="736">
        <f>IF(Select2=1,Nappies!$W91,"")</f>
        <v>0</v>
      </c>
      <c r="W89" s="745">
        <f>IF(Select2=1,Garden!$W91,"")</f>
        <v>0</v>
      </c>
      <c r="X89" s="736">
        <f>IF(Select2=1,Wood!$W91,"")</f>
        <v>0</v>
      </c>
      <c r="Y89" s="745">
        <f>IF(Select2=1,Textiles!$W91,"")</f>
        <v>1.4294151868085193E-4</v>
      </c>
      <c r="Z89" s="738">
        <f>Sludge!W91</f>
        <v>0</v>
      </c>
      <c r="AA89" s="738" t="str">
        <f>IF(Select2=2,MSW!$W91,"")</f>
        <v/>
      </c>
      <c r="AB89" s="746">
        <f>Industry!$W91</f>
        <v>0</v>
      </c>
      <c r="AC89" s="747">
        <f t="shared" si="5"/>
        <v>3.9223623577208967E-3</v>
      </c>
      <c r="AD89" s="748">
        <f>Recovery_OX!R84</f>
        <v>0</v>
      </c>
      <c r="AE89" s="703"/>
      <c r="AF89" s="750">
        <f>(AC89-AD89)*(1-Recovery_OX!U84)</f>
        <v>3.9223623577208967E-3</v>
      </c>
    </row>
    <row r="90" spans="2:32">
      <c r="B90" s="743">
        <f t="shared" si="6"/>
        <v>2073</v>
      </c>
      <c r="C90" s="744">
        <f>IF(Select2=1,Food!$K92,"")</f>
        <v>2.6232004939118696E-11</v>
      </c>
      <c r="D90" s="745">
        <f>IF(Select2=1,Paper!$K92,"")</f>
        <v>1.7055717666265967E-3</v>
      </c>
      <c r="E90" s="736">
        <f>IF(Select2=1,Nappies!$K92,"")</f>
        <v>7.6208248064591879E-6</v>
      </c>
      <c r="F90" s="745">
        <f>IF(Select2=1,Garden!$K92,"")</f>
        <v>0</v>
      </c>
      <c r="G90" s="736">
        <f>IF(Select2=1,Wood!$K92,"")</f>
        <v>0</v>
      </c>
      <c r="H90" s="745">
        <f>IF(Select2=1,Textiles!$K92,"")</f>
        <v>1.2161598212122225E-4</v>
      </c>
      <c r="I90" s="746">
        <f>Sludge!K92</f>
        <v>0</v>
      </c>
      <c r="J90" s="746" t="str">
        <f>IF(Select2=2,MSW!$K92,"")</f>
        <v/>
      </c>
      <c r="K90" s="746">
        <f>Industry!$K92</f>
        <v>0</v>
      </c>
      <c r="L90" s="747">
        <f t="shared" si="8"/>
        <v>1.834808599786283E-3</v>
      </c>
      <c r="M90" s="748">
        <f>Recovery_OX!C85</f>
        <v>0</v>
      </c>
      <c r="N90" s="703"/>
      <c r="O90" s="749">
        <f>(L90-M90)*(1-Recovery_OX!F85)</f>
        <v>1.834808599786283E-3</v>
      </c>
      <c r="P90" s="695"/>
      <c r="Q90" s="705"/>
      <c r="S90" s="743">
        <f t="shared" si="7"/>
        <v>2073</v>
      </c>
      <c r="T90" s="744">
        <f>IF(Select2=1,Food!$W92,"")</f>
        <v>1.7550404731792168E-11</v>
      </c>
      <c r="U90" s="745">
        <f>IF(Select2=1,Paper!$W92,"")</f>
        <v>3.5239086087326382E-3</v>
      </c>
      <c r="V90" s="736">
        <f>IF(Select2=1,Nappies!$W92,"")</f>
        <v>0</v>
      </c>
      <c r="W90" s="745">
        <f>IF(Select2=1,Garden!$W92,"")</f>
        <v>0</v>
      </c>
      <c r="X90" s="736">
        <f>IF(Select2=1,Wood!$W92,"")</f>
        <v>0</v>
      </c>
      <c r="Y90" s="745">
        <f>IF(Select2=1,Textiles!$W92,"")</f>
        <v>1.3327778862599698E-4</v>
      </c>
      <c r="Z90" s="738">
        <f>Sludge!W92</f>
        <v>0</v>
      </c>
      <c r="AA90" s="738" t="str">
        <f>IF(Select2=2,MSW!$W92,"")</f>
        <v/>
      </c>
      <c r="AB90" s="746">
        <f>Industry!$W92</f>
        <v>0</v>
      </c>
      <c r="AC90" s="747">
        <f t="shared" si="5"/>
        <v>3.6571864149090401E-3</v>
      </c>
      <c r="AD90" s="748">
        <f>Recovery_OX!R85</f>
        <v>0</v>
      </c>
      <c r="AE90" s="703"/>
      <c r="AF90" s="750">
        <f>(AC90-AD90)*(1-Recovery_OX!U85)</f>
        <v>3.6571864149090401E-3</v>
      </c>
    </row>
    <row r="91" spans="2:32">
      <c r="B91" s="743">
        <f t="shared" si="6"/>
        <v>2074</v>
      </c>
      <c r="C91" s="744">
        <f>IF(Select2=1,Food!$K93,"")</f>
        <v>1.7583838758397163E-11</v>
      </c>
      <c r="D91" s="745">
        <f>IF(Select2=1,Paper!$K93,"")</f>
        <v>1.5902645746087088E-3</v>
      </c>
      <c r="E91" s="736">
        <f>IF(Select2=1,Nappies!$K93,"")</f>
        <v>6.4294217626545614E-6</v>
      </c>
      <c r="F91" s="745">
        <f>IF(Select2=1,Garden!$K93,"")</f>
        <v>0</v>
      </c>
      <c r="G91" s="736">
        <f>IF(Select2=1,Wood!$K93,"")</f>
        <v>0</v>
      </c>
      <c r="H91" s="745">
        <f>IF(Select2=1,Textiles!$K93,"")</f>
        <v>1.1339399013161993E-4</v>
      </c>
      <c r="I91" s="746">
        <f>Sludge!K93</f>
        <v>0</v>
      </c>
      <c r="J91" s="746" t="str">
        <f>IF(Select2=2,MSW!$K93,"")</f>
        <v/>
      </c>
      <c r="K91" s="746">
        <f>Industry!$K93</f>
        <v>0</v>
      </c>
      <c r="L91" s="747">
        <f t="shared" si="8"/>
        <v>1.710088004086822E-3</v>
      </c>
      <c r="M91" s="748">
        <f>Recovery_OX!C86</f>
        <v>0</v>
      </c>
      <c r="N91" s="703"/>
      <c r="O91" s="749">
        <f>(L91-M91)*(1-Recovery_OX!F86)</f>
        <v>1.710088004086822E-3</v>
      </c>
      <c r="P91" s="695"/>
      <c r="Q91" s="705"/>
      <c r="S91" s="743">
        <f t="shared" si="7"/>
        <v>2074</v>
      </c>
      <c r="T91" s="744">
        <f>IF(Select2=1,Food!$W93,"")</f>
        <v>1.1764388107759028E-11</v>
      </c>
      <c r="U91" s="745">
        <f>IF(Select2=1,Paper!$W93,"")</f>
        <v>3.2856706086956799E-3</v>
      </c>
      <c r="V91" s="736">
        <f>IF(Select2=1,Nappies!$W93,"")</f>
        <v>0</v>
      </c>
      <c r="W91" s="745">
        <f>IF(Select2=1,Garden!$W93,"")</f>
        <v>0</v>
      </c>
      <c r="X91" s="736">
        <f>IF(Select2=1,Wood!$W93,"")</f>
        <v>0</v>
      </c>
      <c r="Y91" s="745">
        <f>IF(Select2=1,Textiles!$W93,"")</f>
        <v>1.2426738644561087E-4</v>
      </c>
      <c r="Z91" s="738">
        <f>Sludge!W93</f>
        <v>0</v>
      </c>
      <c r="AA91" s="738" t="str">
        <f>IF(Select2=2,MSW!$W93,"")</f>
        <v/>
      </c>
      <c r="AB91" s="746">
        <f>Industry!$W93</f>
        <v>0</v>
      </c>
      <c r="AC91" s="747">
        <f t="shared" si="5"/>
        <v>3.4099380069056787E-3</v>
      </c>
      <c r="AD91" s="748">
        <f>Recovery_OX!R86</f>
        <v>0</v>
      </c>
      <c r="AE91" s="703"/>
      <c r="AF91" s="750">
        <f>(AC91-AD91)*(1-Recovery_OX!U86)</f>
        <v>3.4099380069056787E-3</v>
      </c>
    </row>
    <row r="92" spans="2:32">
      <c r="B92" s="743">
        <f t="shared" si="6"/>
        <v>2075</v>
      </c>
      <c r="C92" s="744">
        <f>IF(Select2=1,Food!$K94,"")</f>
        <v>1.1786799606012047E-11</v>
      </c>
      <c r="D92" s="745">
        <f>IF(Select2=1,Paper!$K94,"")</f>
        <v>1.482752861380522E-3</v>
      </c>
      <c r="E92" s="736">
        <f>IF(Select2=1,Nappies!$K94,"")</f>
        <v>5.4242769322107592E-6</v>
      </c>
      <c r="F92" s="745">
        <f>IF(Select2=1,Garden!$K94,"")</f>
        <v>0</v>
      </c>
      <c r="G92" s="736">
        <f>IF(Select2=1,Wood!$K94,"")</f>
        <v>0</v>
      </c>
      <c r="H92" s="745">
        <f>IF(Select2=1,Textiles!$K94,"")</f>
        <v>1.0572785561319848E-4</v>
      </c>
      <c r="I92" s="746">
        <f>Sludge!K94</f>
        <v>0</v>
      </c>
      <c r="J92" s="746" t="str">
        <f>IF(Select2=2,MSW!$K94,"")</f>
        <v/>
      </c>
      <c r="K92" s="746">
        <f>Industry!$K94</f>
        <v>0</v>
      </c>
      <c r="L92" s="747">
        <f t="shared" si="8"/>
        <v>1.5939050057127309E-3</v>
      </c>
      <c r="M92" s="748">
        <f>Recovery_OX!C87</f>
        <v>0</v>
      </c>
      <c r="N92" s="703"/>
      <c r="O92" s="749">
        <f>(L92-M92)*(1-Recovery_OX!F87)</f>
        <v>1.5939050057127309E-3</v>
      </c>
      <c r="P92" s="695"/>
      <c r="Q92" s="705"/>
      <c r="S92" s="743">
        <f t="shared" si="7"/>
        <v>2075</v>
      </c>
      <c r="T92" s="744">
        <f>IF(Select2=1,Food!$W94,"")</f>
        <v>7.8859051779741589E-12</v>
      </c>
      <c r="U92" s="745">
        <f>IF(Select2=1,Paper!$W94,"")</f>
        <v>3.0635389697944672E-3</v>
      </c>
      <c r="V92" s="736">
        <f>IF(Select2=1,Nappies!$W94,"")</f>
        <v>0</v>
      </c>
      <c r="W92" s="745">
        <f>IF(Select2=1,Garden!$W94,"")</f>
        <v>0</v>
      </c>
      <c r="X92" s="736">
        <f>IF(Select2=1,Wood!$W94,"")</f>
        <v>0</v>
      </c>
      <c r="Y92" s="745">
        <f>IF(Select2=1,Textiles!$W94,"")</f>
        <v>1.1586614313775178E-4</v>
      </c>
      <c r="Z92" s="738">
        <f>Sludge!W94</f>
        <v>0</v>
      </c>
      <c r="AA92" s="738" t="str">
        <f>IF(Select2=2,MSW!$W94,"")</f>
        <v/>
      </c>
      <c r="AB92" s="746">
        <f>Industry!$W94</f>
        <v>0</v>
      </c>
      <c r="AC92" s="747">
        <f t="shared" si="5"/>
        <v>3.1794051208181239E-3</v>
      </c>
      <c r="AD92" s="748">
        <f>Recovery_OX!R87</f>
        <v>0</v>
      </c>
      <c r="AE92" s="703"/>
      <c r="AF92" s="750">
        <f>(AC92-AD92)*(1-Recovery_OX!U87)</f>
        <v>3.1794051208181239E-3</v>
      </c>
    </row>
    <row r="93" spans="2:32">
      <c r="B93" s="743">
        <f t="shared" si="6"/>
        <v>2076</v>
      </c>
      <c r="C93" s="744">
        <f>IF(Select2=1,Food!$K95,"")</f>
        <v>7.9009280545148496E-12</v>
      </c>
      <c r="D93" s="745">
        <f>IF(Select2=1,Paper!$K95,"")</f>
        <v>1.3825096043990595E-3</v>
      </c>
      <c r="E93" s="736">
        <f>IF(Select2=1,Nappies!$K95,"")</f>
        <v>4.5762716031815845E-6</v>
      </c>
      <c r="F93" s="745">
        <f>IF(Select2=1,Garden!$K95,"")</f>
        <v>0</v>
      </c>
      <c r="G93" s="736">
        <f>IF(Select2=1,Wood!$K95,"")</f>
        <v>0</v>
      </c>
      <c r="H93" s="745">
        <f>IF(Select2=1,Textiles!$K95,"")</f>
        <v>9.8579999165654693E-5</v>
      </c>
      <c r="I93" s="746">
        <f>Sludge!K95</f>
        <v>0</v>
      </c>
      <c r="J93" s="746" t="str">
        <f>IF(Select2=2,MSW!$K95,"")</f>
        <v/>
      </c>
      <c r="K93" s="746">
        <f>Industry!$K95</f>
        <v>0</v>
      </c>
      <c r="L93" s="747">
        <f t="shared" si="8"/>
        <v>1.4856658830688237E-3</v>
      </c>
      <c r="M93" s="748">
        <f>Recovery_OX!C88</f>
        <v>0</v>
      </c>
      <c r="N93" s="703"/>
      <c r="O93" s="749">
        <f>(L93-M93)*(1-Recovery_OX!F88)</f>
        <v>1.4856658830688237E-3</v>
      </c>
      <c r="P93" s="695"/>
      <c r="Q93" s="705"/>
      <c r="S93" s="743">
        <f t="shared" si="7"/>
        <v>2076</v>
      </c>
      <c r="T93" s="744">
        <f>IF(Select2=1,Food!$W95,"")</f>
        <v>5.286080321932325E-12</v>
      </c>
      <c r="U93" s="745">
        <f>IF(Select2=1,Paper!$W95,"")</f>
        <v>2.8564248024773968E-3</v>
      </c>
      <c r="V93" s="736">
        <f>IF(Select2=1,Nappies!$W95,"")</f>
        <v>0</v>
      </c>
      <c r="W93" s="745">
        <f>IF(Select2=1,Garden!$W95,"")</f>
        <v>0</v>
      </c>
      <c r="X93" s="736">
        <f>IF(Select2=1,Wood!$W95,"")</f>
        <v>0</v>
      </c>
      <c r="Y93" s="745">
        <f>IF(Select2=1,Textiles!$W95,"")</f>
        <v>1.0803287579797777E-4</v>
      </c>
      <c r="Z93" s="738">
        <f>Sludge!W95</f>
        <v>0</v>
      </c>
      <c r="AA93" s="738" t="str">
        <f>IF(Select2=2,MSW!$W95,"")</f>
        <v/>
      </c>
      <c r="AB93" s="746">
        <f>Industry!$W95</f>
        <v>0</v>
      </c>
      <c r="AC93" s="747">
        <f t="shared" si="5"/>
        <v>2.9644576835614546E-3</v>
      </c>
      <c r="AD93" s="748">
        <f>Recovery_OX!R88</f>
        <v>0</v>
      </c>
      <c r="AE93" s="703"/>
      <c r="AF93" s="750">
        <f>(AC93-AD93)*(1-Recovery_OX!U88)</f>
        <v>2.9644576835614546E-3</v>
      </c>
    </row>
    <row r="94" spans="2:32">
      <c r="B94" s="743">
        <f t="shared" si="6"/>
        <v>2077</v>
      </c>
      <c r="C94" s="744">
        <f>IF(Select2=1,Food!$K96,"")</f>
        <v>5.2961504572266679E-12</v>
      </c>
      <c r="D94" s="745">
        <f>IF(Select2=1,Paper!$K96,"")</f>
        <v>1.2890434111023006E-3</v>
      </c>
      <c r="E94" s="736">
        <f>IF(Select2=1,Nappies!$K96,"")</f>
        <v>3.8608393427934303E-6</v>
      </c>
      <c r="F94" s="745">
        <f>IF(Select2=1,Garden!$K96,"")</f>
        <v>0</v>
      </c>
      <c r="G94" s="736">
        <f>IF(Select2=1,Wood!$K96,"")</f>
        <v>0</v>
      </c>
      <c r="H94" s="745">
        <f>IF(Select2=1,Textiles!$K96,"")</f>
        <v>9.1915381988389965E-5</v>
      </c>
      <c r="I94" s="746">
        <f>Sludge!K96</f>
        <v>0</v>
      </c>
      <c r="J94" s="746" t="str">
        <f>IF(Select2=2,MSW!$K96,"")</f>
        <v/>
      </c>
      <c r="K94" s="746">
        <f>Industry!$K96</f>
        <v>0</v>
      </c>
      <c r="L94" s="747">
        <f t="shared" si="8"/>
        <v>1.3848196377296345E-3</v>
      </c>
      <c r="M94" s="748">
        <f>Recovery_OX!C89</f>
        <v>0</v>
      </c>
      <c r="N94" s="703"/>
      <c r="O94" s="749">
        <f>(L94-M94)*(1-Recovery_OX!F89)</f>
        <v>1.3848196377296345E-3</v>
      </c>
      <c r="P94" s="695"/>
      <c r="Q94" s="705"/>
      <c r="S94" s="743">
        <f t="shared" si="7"/>
        <v>2077</v>
      </c>
      <c r="T94" s="744">
        <f>IF(Select2=1,Food!$W96,"")</f>
        <v>3.5433656047457629E-12</v>
      </c>
      <c r="U94" s="745">
        <f>IF(Select2=1,Paper!$W96,"")</f>
        <v>2.6633128328559935E-3</v>
      </c>
      <c r="V94" s="736">
        <f>IF(Select2=1,Nappies!$W96,"")</f>
        <v>0</v>
      </c>
      <c r="W94" s="745">
        <f>IF(Select2=1,Garden!$W96,"")</f>
        <v>0</v>
      </c>
      <c r="X94" s="736">
        <f>IF(Select2=1,Wood!$W96,"")</f>
        <v>0</v>
      </c>
      <c r="Y94" s="745">
        <f>IF(Select2=1,Textiles!$W96,"")</f>
        <v>1.0072918574070136E-4</v>
      </c>
      <c r="Z94" s="738">
        <f>Sludge!W96</f>
        <v>0</v>
      </c>
      <c r="AA94" s="738" t="str">
        <f>IF(Select2=2,MSW!$W96,"")</f>
        <v/>
      </c>
      <c r="AB94" s="746">
        <f>Industry!$W96</f>
        <v>0</v>
      </c>
      <c r="AC94" s="747">
        <f t="shared" si="5"/>
        <v>2.7640420221400606E-3</v>
      </c>
      <c r="AD94" s="748">
        <f>Recovery_OX!R89</f>
        <v>0</v>
      </c>
      <c r="AE94" s="703"/>
      <c r="AF94" s="750">
        <f>(AC94-AD94)*(1-Recovery_OX!U89)</f>
        <v>2.7640420221400606E-3</v>
      </c>
    </row>
    <row r="95" spans="2:32">
      <c r="B95" s="743">
        <f t="shared" si="6"/>
        <v>2078</v>
      </c>
      <c r="C95" s="744">
        <f>IF(Select2=1,Food!$K97,"")</f>
        <v>3.550115818299853E-12</v>
      </c>
      <c r="D95" s="745">
        <f>IF(Select2=1,Paper!$K97,"")</f>
        <v>1.2018961101022676E-3</v>
      </c>
      <c r="E95" s="736">
        <f>IF(Select2=1,Nappies!$K97,"")</f>
        <v>3.2572543160459219E-6</v>
      </c>
      <c r="F95" s="745">
        <f>IF(Select2=1,Garden!$K97,"")</f>
        <v>0</v>
      </c>
      <c r="G95" s="736">
        <f>IF(Select2=1,Wood!$K97,"")</f>
        <v>0</v>
      </c>
      <c r="H95" s="745">
        <f>IF(Select2=1,Textiles!$K97,"")</f>
        <v>8.5701334120269319E-5</v>
      </c>
      <c r="I95" s="746">
        <f>Sludge!K97</f>
        <v>0</v>
      </c>
      <c r="J95" s="746" t="str">
        <f>IF(Select2=2,MSW!$K97,"")</f>
        <v/>
      </c>
      <c r="K95" s="746">
        <f>Industry!$K97</f>
        <v>0</v>
      </c>
      <c r="L95" s="747">
        <f t="shared" si="8"/>
        <v>1.2908547020886985E-3</v>
      </c>
      <c r="M95" s="748">
        <f>Recovery_OX!C90</f>
        <v>0</v>
      </c>
      <c r="N95" s="703"/>
      <c r="O95" s="749">
        <f>(L95-M95)*(1-Recovery_OX!F90)</f>
        <v>1.2908547020886985E-3</v>
      </c>
      <c r="P95" s="695"/>
      <c r="Q95" s="705"/>
      <c r="S95" s="743">
        <f t="shared" si="7"/>
        <v>2078</v>
      </c>
      <c r="T95" s="744">
        <f>IF(Select2=1,Food!$W97,"")</f>
        <v>2.3751889952942809E-12</v>
      </c>
      <c r="U95" s="745">
        <f>IF(Select2=1,Paper!$W97,"")</f>
        <v>2.4832564258311322E-3</v>
      </c>
      <c r="V95" s="736">
        <f>IF(Select2=1,Nappies!$W97,"")</f>
        <v>0</v>
      </c>
      <c r="W95" s="745">
        <f>IF(Select2=1,Garden!$W97,"")</f>
        <v>0</v>
      </c>
      <c r="X95" s="736">
        <f>IF(Select2=1,Wood!$W97,"")</f>
        <v>0</v>
      </c>
      <c r="Y95" s="745">
        <f>IF(Select2=1,Textiles!$W97,"")</f>
        <v>9.3919270268788313E-5</v>
      </c>
      <c r="Z95" s="738">
        <f>Sludge!W97</f>
        <v>0</v>
      </c>
      <c r="AA95" s="738" t="str">
        <f>IF(Select2=2,MSW!$W97,"")</f>
        <v/>
      </c>
      <c r="AB95" s="746">
        <f>Industry!$W97</f>
        <v>0</v>
      </c>
      <c r="AC95" s="747">
        <f t="shared" si="5"/>
        <v>2.5771756984751095E-3</v>
      </c>
      <c r="AD95" s="748">
        <f>Recovery_OX!R90</f>
        <v>0</v>
      </c>
      <c r="AE95" s="703"/>
      <c r="AF95" s="750">
        <f>(AC95-AD95)*(1-Recovery_OX!U90)</f>
        <v>2.5771756984751095E-3</v>
      </c>
    </row>
    <row r="96" spans="2:32">
      <c r="B96" s="743">
        <f t="shared" si="6"/>
        <v>2079</v>
      </c>
      <c r="C96" s="744">
        <f>IF(Select2=1,Food!$K98,"")</f>
        <v>2.3797137987546088E-12</v>
      </c>
      <c r="D96" s="745">
        <f>IF(Select2=1,Paper!$K98,"")</f>
        <v>1.1206405052283535E-3</v>
      </c>
      <c r="E96" s="736">
        <f>IF(Select2=1,Nappies!$K98,"")</f>
        <v>2.7480308651546617E-6</v>
      </c>
      <c r="F96" s="745">
        <f>IF(Select2=1,Garden!$K98,"")</f>
        <v>0</v>
      </c>
      <c r="G96" s="736">
        <f>IF(Select2=1,Wood!$K98,"")</f>
        <v>0</v>
      </c>
      <c r="H96" s="745">
        <f>IF(Select2=1,Textiles!$K98,"")</f>
        <v>7.9907394291433886E-5</v>
      </c>
      <c r="I96" s="746">
        <f>Sludge!K98</f>
        <v>0</v>
      </c>
      <c r="J96" s="746" t="str">
        <f>IF(Select2=2,MSW!$K98,"")</f>
        <v/>
      </c>
      <c r="K96" s="746">
        <f>Industry!$K98</f>
        <v>0</v>
      </c>
      <c r="L96" s="747">
        <f t="shared" si="8"/>
        <v>1.2032959327646559E-3</v>
      </c>
      <c r="M96" s="748">
        <f>Recovery_OX!C91</f>
        <v>0</v>
      </c>
      <c r="N96" s="703"/>
      <c r="O96" s="749">
        <f>(L96-M96)*(1-Recovery_OX!F91)</f>
        <v>1.2032959327646559E-3</v>
      </c>
      <c r="P96" s="693"/>
      <c r="S96" s="743">
        <f t="shared" si="7"/>
        <v>2079</v>
      </c>
      <c r="T96" s="744">
        <f>IF(Select2=1,Food!$W98,"")</f>
        <v>1.5921367966690062E-12</v>
      </c>
      <c r="U96" s="745">
        <f>IF(Select2=1,Paper!$W98,"")</f>
        <v>2.3153729446866817E-3</v>
      </c>
      <c r="V96" s="736">
        <f>IF(Select2=1,Nappies!$W98,"")</f>
        <v>0</v>
      </c>
      <c r="W96" s="745">
        <f>IF(Select2=1,Garden!$W98,"")</f>
        <v>0</v>
      </c>
      <c r="X96" s="736">
        <f>IF(Select2=1,Wood!$W98,"")</f>
        <v>0</v>
      </c>
      <c r="Y96" s="745">
        <f>IF(Select2=1,Textiles!$W98,"")</f>
        <v>8.7569747168694714E-5</v>
      </c>
      <c r="Z96" s="738">
        <f>Sludge!W98</f>
        <v>0</v>
      </c>
      <c r="AA96" s="738" t="str">
        <f>IF(Select2=2,MSW!$W98,"")</f>
        <v/>
      </c>
      <c r="AB96" s="746">
        <f>Industry!$W98</f>
        <v>0</v>
      </c>
      <c r="AC96" s="747">
        <f t="shared" si="5"/>
        <v>2.4029426934475133E-3</v>
      </c>
      <c r="AD96" s="748">
        <f>Recovery_OX!R91</f>
        <v>0</v>
      </c>
      <c r="AE96" s="703"/>
      <c r="AF96" s="750">
        <f>(AC96-AD96)*(1-Recovery_OX!U91)</f>
        <v>2.4029426934475133E-3</v>
      </c>
    </row>
    <row r="97" spans="2:32" ht="13.5" thickBot="1">
      <c r="B97" s="751">
        <f t="shared" si="6"/>
        <v>2080</v>
      </c>
      <c r="C97" s="752">
        <f>IF(Select2=1,Food!$K99,"")</f>
        <v>1.5951698631328357E-12</v>
      </c>
      <c r="D97" s="753">
        <f>IF(Select2=1,Paper!$K99,"")</f>
        <v>1.0448782814111964E-3</v>
      </c>
      <c r="E97" s="753">
        <f>IF(Select2=1,Nappies!$K99,"")</f>
        <v>2.3184169558519092E-6</v>
      </c>
      <c r="F97" s="753">
        <f>IF(Select2=1,Garden!$K99,"")</f>
        <v>0</v>
      </c>
      <c r="G97" s="753">
        <f>IF(Select2=1,Wood!$K99,"")</f>
        <v>0</v>
      </c>
      <c r="H97" s="753">
        <f>IF(Select2=1,Textiles!$K99,"")</f>
        <v>7.4505160602120814E-5</v>
      </c>
      <c r="I97" s="754">
        <f>Sludge!K99</f>
        <v>0</v>
      </c>
      <c r="J97" s="754" t="str">
        <f>IF(Select2=2,MSW!$K99,"")</f>
        <v/>
      </c>
      <c r="K97" s="746">
        <f>Industry!$K99</f>
        <v>0</v>
      </c>
      <c r="L97" s="747">
        <f t="shared" si="8"/>
        <v>1.1217018605643391E-3</v>
      </c>
      <c r="M97" s="755">
        <f>Recovery_OX!C92</f>
        <v>0</v>
      </c>
      <c r="N97" s="703"/>
      <c r="O97" s="756">
        <f>(L97-M97)*(1-Recovery_OX!F92)</f>
        <v>1.1217018605643391E-3</v>
      </c>
      <c r="S97" s="751">
        <f t="shared" si="7"/>
        <v>2080</v>
      </c>
      <c r="T97" s="752">
        <f>IF(Select2=1,Food!$W99,"")</f>
        <v>1.0672412108382035E-12</v>
      </c>
      <c r="U97" s="753">
        <f>IF(Select2=1,Paper!$W99,"")</f>
        <v>2.158839424403299E-3</v>
      </c>
      <c r="V97" s="753">
        <f>IF(Select2=1,Nappies!$W99,"")</f>
        <v>0</v>
      </c>
      <c r="W97" s="753">
        <f>IF(Select2=1,Garden!$W99,"")</f>
        <v>0</v>
      </c>
      <c r="X97" s="753">
        <f>IF(Select2=1,Wood!$W99,"")</f>
        <v>0</v>
      </c>
      <c r="Y97" s="753">
        <f>IF(Select2=1,Textiles!$W99,"")</f>
        <v>8.1649491070817355E-5</v>
      </c>
      <c r="Z97" s="754">
        <f>Sludge!W99</f>
        <v>0</v>
      </c>
      <c r="AA97" s="754" t="str">
        <f>IF(Select2=2,MSW!$W99,"")</f>
        <v/>
      </c>
      <c r="AB97" s="746">
        <f>Industry!$W99</f>
        <v>0</v>
      </c>
      <c r="AC97" s="757">
        <f t="shared" si="5"/>
        <v>2.2404889165413577E-3</v>
      </c>
      <c r="AD97" s="755">
        <f>Recovery_OX!R92</f>
        <v>0</v>
      </c>
      <c r="AE97" s="703"/>
      <c r="AF97" s="758">
        <f>(AC97-AD97)*(1-Recovery_OX!U92)</f>
        <v>2.2404889165413577E-3</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70" customWidth="1"/>
    <col min="14" max="14" width="9.85546875" style="470" customWidth="1"/>
    <col min="15" max="15" width="8.7109375" style="470" customWidth="1"/>
    <col min="16" max="16384" width="11.42578125" style="6"/>
  </cols>
  <sheetData>
    <row r="2" spans="2:15" s="468" customFormat="1">
      <c r="B2" s="468" t="s">
        <v>282</v>
      </c>
      <c r="M2" s="469"/>
      <c r="N2" s="469"/>
      <c r="O2" s="469"/>
    </row>
    <row r="4" spans="2:15">
      <c r="B4" s="6" t="s">
        <v>283</v>
      </c>
    </row>
    <row r="7" spans="2:15" ht="13.5" thickBot="1"/>
    <row r="8" spans="2:15" ht="13.5" thickBot="1">
      <c r="B8" s="471"/>
      <c r="C8" s="816" t="s">
        <v>284</v>
      </c>
      <c r="D8" s="817"/>
      <c r="E8" s="818"/>
      <c r="F8" s="816" t="s">
        <v>285</v>
      </c>
      <c r="G8" s="817"/>
      <c r="H8" s="819"/>
      <c r="I8" s="472"/>
      <c r="J8" s="816" t="s">
        <v>286</v>
      </c>
      <c r="K8" s="817"/>
      <c r="L8" s="819"/>
      <c r="M8" s="820" t="s">
        <v>287</v>
      </c>
      <c r="N8" s="821"/>
      <c r="O8" s="822"/>
    </row>
    <row r="9" spans="2:15" ht="26.25" thickBot="1">
      <c r="B9" s="174" t="s">
        <v>1</v>
      </c>
      <c r="C9" s="473" t="s">
        <v>288</v>
      </c>
      <c r="D9" s="474" t="s">
        <v>289</v>
      </c>
      <c r="E9" s="475" t="s">
        <v>290</v>
      </c>
      <c r="F9" s="476" t="s">
        <v>288</v>
      </c>
      <c r="G9" s="477" t="s">
        <v>289</v>
      </c>
      <c r="H9" s="478" t="s">
        <v>290</v>
      </c>
      <c r="I9" s="472"/>
      <c r="J9" s="476" t="s">
        <v>261</v>
      </c>
      <c r="K9" s="477" t="s">
        <v>262</v>
      </c>
      <c r="L9" s="478" t="s">
        <v>2</v>
      </c>
      <c r="M9" s="479" t="s">
        <v>261</v>
      </c>
      <c r="N9" s="480" t="s">
        <v>262</v>
      </c>
      <c r="O9" s="481" t="s">
        <v>2</v>
      </c>
    </row>
    <row r="10" spans="2:15" ht="13.5" thickBot="1">
      <c r="B10" s="143"/>
      <c r="C10" s="482" t="s">
        <v>15</v>
      </c>
      <c r="D10" s="483" t="s">
        <v>15</v>
      </c>
      <c r="E10" s="484" t="s">
        <v>15</v>
      </c>
      <c r="F10" s="485" t="s">
        <v>15</v>
      </c>
      <c r="G10" s="483" t="s">
        <v>15</v>
      </c>
      <c r="H10" s="484" t="s">
        <v>15</v>
      </c>
      <c r="I10" s="486"/>
      <c r="J10" s="485" t="s">
        <v>15</v>
      </c>
      <c r="K10" s="483" t="s">
        <v>15</v>
      </c>
      <c r="L10" s="484" t="s">
        <v>15</v>
      </c>
      <c r="M10" s="485" t="s">
        <v>15</v>
      </c>
      <c r="N10" s="483" t="s">
        <v>15</v>
      </c>
      <c r="O10" s="484" t="s">
        <v>15</v>
      </c>
    </row>
    <row r="11" spans="2:15" ht="13.5" thickBot="1">
      <c r="B11" s="487"/>
      <c r="C11" s="488"/>
      <c r="D11" s="489"/>
      <c r="E11" s="490"/>
      <c r="F11" s="491"/>
      <c r="G11" s="492"/>
      <c r="H11" s="43"/>
      <c r="I11" s="493"/>
      <c r="J11" s="494"/>
      <c r="K11" s="495"/>
      <c r="L11" s="496"/>
      <c r="M11" s="497"/>
      <c r="N11" s="489"/>
      <c r="O11" s="490"/>
    </row>
    <row r="12" spans="2:15">
      <c r="B12" s="498">
        <f>year</f>
        <v>1950</v>
      </c>
      <c r="C12" s="499">
        <f>Stored_C!E18</f>
        <v>0</v>
      </c>
      <c r="D12" s="500">
        <f>Stored_C!F18+Stored_C!L18</f>
        <v>0.66091267914144014</v>
      </c>
      <c r="E12" s="501">
        <f>Stored_C!G18+Stored_C!M18</f>
        <v>0</v>
      </c>
      <c r="F12" s="502">
        <f>F11+HWP!C12</f>
        <v>0</v>
      </c>
      <c r="G12" s="500">
        <f>G11+HWP!D12</f>
        <v>0.66091267914144014</v>
      </c>
      <c r="H12" s="501">
        <f>H11+HWP!E12</f>
        <v>0</v>
      </c>
      <c r="I12" s="493"/>
      <c r="J12" s="503">
        <f>Garden!J19</f>
        <v>0</v>
      </c>
      <c r="K12" s="504">
        <f>Paper!J19</f>
        <v>0</v>
      </c>
      <c r="L12" s="505">
        <f>Wood!J19</f>
        <v>0</v>
      </c>
      <c r="M12" s="506">
        <f>J12*(1-Recovery_OX!E12)*(1-Recovery_OX!F12)</f>
        <v>0</v>
      </c>
      <c r="N12" s="504">
        <f>K12*(1-Recovery_OX!E12)*(1-Recovery_OX!F12)</f>
        <v>0</v>
      </c>
      <c r="O12" s="505">
        <f>L12*(1-Recovery_OX!E12)*(1-Recovery_OX!F12)</f>
        <v>0</v>
      </c>
    </row>
    <row r="13" spans="2:15">
      <c r="B13" s="507">
        <f>B12+1</f>
        <v>1951</v>
      </c>
      <c r="C13" s="508">
        <f>Stored_C!E19</f>
        <v>0</v>
      </c>
      <c r="D13" s="509">
        <f>Stored_C!F19+Stored_C!L19</f>
        <v>0.67414560922368005</v>
      </c>
      <c r="E13" s="510">
        <f>Stored_C!G19+Stored_C!M19</f>
        <v>0</v>
      </c>
      <c r="F13" s="511">
        <f>F12+HWP!C13</f>
        <v>0</v>
      </c>
      <c r="G13" s="509">
        <f>G12+HWP!D13</f>
        <v>1.3350582883651203</v>
      </c>
      <c r="H13" s="510">
        <f>H12+HWP!E13</f>
        <v>0</v>
      </c>
      <c r="I13" s="493"/>
      <c r="J13" s="512">
        <f>Garden!J20</f>
        <v>0</v>
      </c>
      <c r="K13" s="513">
        <f>Paper!J20</f>
        <v>2.1625982300439557E-2</v>
      </c>
      <c r="L13" s="514">
        <f>Wood!J20</f>
        <v>0</v>
      </c>
      <c r="M13" s="515">
        <f>J13*(1-Recovery_OX!E13)*(1-Recovery_OX!F13)</f>
        <v>0</v>
      </c>
      <c r="N13" s="513">
        <f>K13*(1-Recovery_OX!E13)*(1-Recovery_OX!F13)</f>
        <v>2.1625982300439557E-2</v>
      </c>
      <c r="O13" s="514">
        <f>L13*(1-Recovery_OX!E13)*(1-Recovery_OX!F13)</f>
        <v>0</v>
      </c>
    </row>
    <row r="14" spans="2:15">
      <c r="B14" s="507">
        <f t="shared" ref="B14:B77" si="0">B13+1</f>
        <v>1952</v>
      </c>
      <c r="C14" s="508">
        <f>Stored_C!E20</f>
        <v>0</v>
      </c>
      <c r="D14" s="509">
        <f>Stored_C!F20+Stored_C!L20</f>
        <v>0.68952171378816018</v>
      </c>
      <c r="E14" s="510">
        <f>Stored_C!G20+Stored_C!M20</f>
        <v>0</v>
      </c>
      <c r="F14" s="511">
        <f>F13+HWP!C14</f>
        <v>0</v>
      </c>
      <c r="G14" s="509">
        <f>G13+HWP!D14</f>
        <v>2.0245800021532805</v>
      </c>
      <c r="H14" s="510">
        <f>H13+HWP!E14</f>
        <v>0</v>
      </c>
      <c r="I14" s="493"/>
      <c r="J14" s="512">
        <f>Garden!J21</f>
        <v>0</v>
      </c>
      <c r="K14" s="513">
        <f>Paper!J21</f>
        <v>4.2222914428251782E-2</v>
      </c>
      <c r="L14" s="514">
        <f>Wood!J21</f>
        <v>0</v>
      </c>
      <c r="M14" s="515">
        <f>J14*(1-Recovery_OX!E14)*(1-Recovery_OX!F14)</f>
        <v>0</v>
      </c>
      <c r="N14" s="513">
        <f>K14*(1-Recovery_OX!E14)*(1-Recovery_OX!F14)</f>
        <v>4.2222914428251782E-2</v>
      </c>
      <c r="O14" s="514">
        <f>L14*(1-Recovery_OX!E14)*(1-Recovery_OX!F14)</f>
        <v>0</v>
      </c>
    </row>
    <row r="15" spans="2:15">
      <c r="B15" s="507">
        <f t="shared" si="0"/>
        <v>1953</v>
      </c>
      <c r="C15" s="508">
        <f>Stored_C!E21</f>
        <v>0</v>
      </c>
      <c r="D15" s="509">
        <f>Stored_C!F21+Stored_C!L21</f>
        <v>0.71160870474144</v>
      </c>
      <c r="E15" s="510">
        <f>Stored_C!G21+Stored_C!M21</f>
        <v>0</v>
      </c>
      <c r="F15" s="511">
        <f>F14+HWP!C15</f>
        <v>0</v>
      </c>
      <c r="G15" s="509">
        <f>G14+HWP!D15</f>
        <v>2.7361887068947204</v>
      </c>
      <c r="H15" s="510">
        <f>H14+HWP!E15</f>
        <v>0</v>
      </c>
      <c r="I15" s="493"/>
      <c r="J15" s="512">
        <f>Garden!J22</f>
        <v>0</v>
      </c>
      <c r="K15" s="513">
        <f>Paper!J22</f>
        <v>6.1930494185302484E-2</v>
      </c>
      <c r="L15" s="514">
        <f>Wood!J22</f>
        <v>0</v>
      </c>
      <c r="M15" s="515">
        <f>J15*(1-Recovery_OX!E15)*(1-Recovery_OX!F15)</f>
        <v>0</v>
      </c>
      <c r="N15" s="513">
        <f>K15*(1-Recovery_OX!E15)*(1-Recovery_OX!F15)</f>
        <v>6.1930494185302484E-2</v>
      </c>
      <c r="O15" s="514">
        <f>L15*(1-Recovery_OX!E15)*(1-Recovery_OX!F15)</f>
        <v>0</v>
      </c>
    </row>
    <row r="16" spans="2:15">
      <c r="B16" s="507">
        <f t="shared" si="0"/>
        <v>1954</v>
      </c>
      <c r="C16" s="508">
        <f>Stored_C!E22</f>
        <v>0</v>
      </c>
      <c r="D16" s="509">
        <f>Stored_C!F22+Stored_C!L22</f>
        <v>0.71987976131808007</v>
      </c>
      <c r="E16" s="510">
        <f>Stored_C!G22+Stored_C!M22</f>
        <v>0</v>
      </c>
      <c r="F16" s="511">
        <f>F15+HWP!C16</f>
        <v>0</v>
      </c>
      <c r="G16" s="509">
        <f>G15+HWP!D16</f>
        <v>3.4560684682128002</v>
      </c>
      <c r="H16" s="510">
        <f>H15+HWP!E16</f>
        <v>0</v>
      </c>
      <c r="I16" s="493"/>
      <c r="J16" s="512">
        <f>Garden!J23</f>
        <v>0</v>
      </c>
      <c r="K16" s="513">
        <f>Paper!J23</f>
        <v>8.102843682673172E-2</v>
      </c>
      <c r="L16" s="514">
        <f>Wood!J23</f>
        <v>0</v>
      </c>
      <c r="M16" s="515">
        <f>J16*(1-Recovery_OX!E16)*(1-Recovery_OX!F16)</f>
        <v>0</v>
      </c>
      <c r="N16" s="513">
        <f>K16*(1-Recovery_OX!E16)*(1-Recovery_OX!F16)</f>
        <v>8.102843682673172E-2</v>
      </c>
      <c r="O16" s="514">
        <f>L16*(1-Recovery_OX!E16)*(1-Recovery_OX!F16)</f>
        <v>0</v>
      </c>
    </row>
    <row r="17" spans="2:15">
      <c r="B17" s="507">
        <f t="shared" si="0"/>
        <v>1955</v>
      </c>
      <c r="C17" s="508">
        <f>Stored_C!E23</f>
        <v>0</v>
      </c>
      <c r="D17" s="509">
        <f>Stored_C!F23+Stored_C!L23</f>
        <v>0.73989075002304006</v>
      </c>
      <c r="E17" s="510">
        <f>Stored_C!G23+Stored_C!M23</f>
        <v>0</v>
      </c>
      <c r="F17" s="511">
        <f>F16+HWP!C17</f>
        <v>0</v>
      </c>
      <c r="G17" s="509">
        <f>G16+HWP!D17</f>
        <v>4.1959592182358403</v>
      </c>
      <c r="H17" s="510">
        <f>H16+HWP!E17</f>
        <v>0</v>
      </c>
      <c r="I17" s="493"/>
      <c r="J17" s="512">
        <f>Garden!J24</f>
        <v>0</v>
      </c>
      <c r="K17" s="513">
        <f>Paper!J24</f>
        <v>9.9105880996115017E-2</v>
      </c>
      <c r="L17" s="514">
        <f>Wood!J24</f>
        <v>0</v>
      </c>
      <c r="M17" s="515">
        <f>J17*(1-Recovery_OX!E17)*(1-Recovery_OX!F17)</f>
        <v>0</v>
      </c>
      <c r="N17" s="513">
        <f>K17*(1-Recovery_OX!E17)*(1-Recovery_OX!F17)</f>
        <v>9.9105880996115017E-2</v>
      </c>
      <c r="O17" s="514">
        <f>L17*(1-Recovery_OX!E17)*(1-Recovery_OX!F17)</f>
        <v>0</v>
      </c>
    </row>
    <row r="18" spans="2:15">
      <c r="B18" s="507">
        <f t="shared" si="0"/>
        <v>1956</v>
      </c>
      <c r="C18" s="508">
        <f>Stored_C!E24</f>
        <v>0</v>
      </c>
      <c r="D18" s="509">
        <f>Stored_C!F24+Stored_C!L24</f>
        <v>0.74842415853216027</v>
      </c>
      <c r="E18" s="510">
        <f>Stored_C!G24+Stored_C!M24</f>
        <v>0</v>
      </c>
      <c r="F18" s="511">
        <f>F17+HWP!C18</f>
        <v>0</v>
      </c>
      <c r="G18" s="509">
        <f>G17+HWP!D18</f>
        <v>4.9443833767680001</v>
      </c>
      <c r="H18" s="510">
        <f>H17+HWP!E18</f>
        <v>0</v>
      </c>
      <c r="I18" s="493"/>
      <c r="J18" s="512">
        <f>Garden!J25</f>
        <v>0</v>
      </c>
      <c r="K18" s="513">
        <f>Paper!J25</f>
        <v>0.11661596560836664</v>
      </c>
      <c r="L18" s="514">
        <f>Wood!J25</f>
        <v>0</v>
      </c>
      <c r="M18" s="515">
        <f>J18*(1-Recovery_OX!E18)*(1-Recovery_OX!F18)</f>
        <v>0</v>
      </c>
      <c r="N18" s="513">
        <f>K18*(1-Recovery_OX!E18)*(1-Recovery_OX!F18)</f>
        <v>0.11661596560836664</v>
      </c>
      <c r="O18" s="514">
        <f>L18*(1-Recovery_OX!E18)*(1-Recovery_OX!F18)</f>
        <v>0</v>
      </c>
    </row>
    <row r="19" spans="2:15">
      <c r="B19" s="507">
        <f t="shared" si="0"/>
        <v>1957</v>
      </c>
      <c r="C19" s="508">
        <f>Stored_C!E25</f>
        <v>0</v>
      </c>
      <c r="D19" s="509">
        <f>Stored_C!F25+Stored_C!L25</f>
        <v>0.75673323712800022</v>
      </c>
      <c r="E19" s="510">
        <f>Stored_C!G25+Stored_C!M25</f>
        <v>0</v>
      </c>
      <c r="F19" s="511">
        <f>F18+HWP!C19</f>
        <v>0</v>
      </c>
      <c r="G19" s="509">
        <f>G18+HWP!D19</f>
        <v>5.7011166138960006</v>
      </c>
      <c r="H19" s="510">
        <f>H18+HWP!E19</f>
        <v>0</v>
      </c>
      <c r="I19" s="493"/>
      <c r="J19" s="512">
        <f>Garden!J26</f>
        <v>0</v>
      </c>
      <c r="K19" s="513">
        <f>Paper!J26</f>
        <v>0.13322148528466241</v>
      </c>
      <c r="L19" s="514">
        <f>Wood!J26</f>
        <v>0</v>
      </c>
      <c r="M19" s="515">
        <f>J19*(1-Recovery_OX!E19)*(1-Recovery_OX!F19)</f>
        <v>0</v>
      </c>
      <c r="N19" s="513">
        <f>K19*(1-Recovery_OX!E19)*(1-Recovery_OX!F19)</f>
        <v>0.13322148528466241</v>
      </c>
      <c r="O19" s="514">
        <f>L19*(1-Recovery_OX!E19)*(1-Recovery_OX!F19)</f>
        <v>0</v>
      </c>
    </row>
    <row r="20" spans="2:15">
      <c r="B20" s="507">
        <f t="shared" si="0"/>
        <v>1958</v>
      </c>
      <c r="C20" s="508">
        <f>Stored_C!E26</f>
        <v>0</v>
      </c>
      <c r="D20" s="509">
        <f>Stored_C!F26+Stored_C!L26</f>
        <v>0.76473560476896008</v>
      </c>
      <c r="E20" s="510">
        <f>Stored_C!G26+Stored_C!M26</f>
        <v>0</v>
      </c>
      <c r="F20" s="511">
        <f>F19+HWP!C20</f>
        <v>0</v>
      </c>
      <c r="G20" s="509">
        <f>G19+HWP!D20</f>
        <v>6.4658522186649607</v>
      </c>
      <c r="H20" s="510">
        <f>H19+HWP!E20</f>
        <v>0</v>
      </c>
      <c r="I20" s="493"/>
      <c r="J20" s="512">
        <f>Garden!J27</f>
        <v>0</v>
      </c>
      <c r="K20" s="513">
        <f>Paper!J27</f>
        <v>0.14897625381812674</v>
      </c>
      <c r="L20" s="514">
        <f>Wood!J27</f>
        <v>0</v>
      </c>
      <c r="M20" s="515">
        <f>J20*(1-Recovery_OX!E20)*(1-Recovery_OX!F20)</f>
        <v>0</v>
      </c>
      <c r="N20" s="513">
        <f>K20*(1-Recovery_OX!E20)*(1-Recovery_OX!F20)</f>
        <v>0.14897625381812674</v>
      </c>
      <c r="O20" s="514">
        <f>L20*(1-Recovery_OX!E20)*(1-Recovery_OX!F20)</f>
        <v>0</v>
      </c>
    </row>
    <row r="21" spans="2:15">
      <c r="B21" s="507">
        <f t="shared" si="0"/>
        <v>1959</v>
      </c>
      <c r="C21" s="508">
        <f>Stored_C!E27</f>
        <v>0</v>
      </c>
      <c r="D21" s="509">
        <f>Stored_C!F27+Stored_C!L27</f>
        <v>0.77232860200320008</v>
      </c>
      <c r="E21" s="510">
        <f>Stored_C!G27+Stored_C!M27</f>
        <v>0</v>
      </c>
      <c r="F21" s="511">
        <f>F20+HWP!C21</f>
        <v>0</v>
      </c>
      <c r="G21" s="509">
        <f>G20+HWP!D21</f>
        <v>7.2381808206681608</v>
      </c>
      <c r="H21" s="510">
        <f>H20+HWP!E21</f>
        <v>0</v>
      </c>
      <c r="I21" s="493"/>
      <c r="J21" s="512">
        <f>Garden!J28</f>
        <v>0</v>
      </c>
      <c r="K21" s="513">
        <f>Paper!J28</f>
        <v>0.16392775123460773</v>
      </c>
      <c r="L21" s="514">
        <f>Wood!J28</f>
        <v>0</v>
      </c>
      <c r="M21" s="515">
        <f>J21*(1-Recovery_OX!E21)*(1-Recovery_OX!F21)</f>
        <v>0</v>
      </c>
      <c r="N21" s="513">
        <f>K21*(1-Recovery_OX!E21)*(1-Recovery_OX!F21)</f>
        <v>0.16392775123460773</v>
      </c>
      <c r="O21" s="514">
        <f>L21*(1-Recovery_OX!E21)*(1-Recovery_OX!F21)</f>
        <v>0</v>
      </c>
    </row>
    <row r="22" spans="2:15">
      <c r="B22" s="507">
        <f t="shared" si="0"/>
        <v>1960</v>
      </c>
      <c r="C22" s="508">
        <f>Stored_C!E28</f>
        <v>0</v>
      </c>
      <c r="D22" s="509">
        <f>Stored_C!F28+Stored_C!L28</f>
        <v>0.92203396560000028</v>
      </c>
      <c r="E22" s="510">
        <f>Stored_C!G28+Stored_C!M28</f>
        <v>0</v>
      </c>
      <c r="F22" s="511">
        <f>F21+HWP!C22</f>
        <v>0</v>
      </c>
      <c r="G22" s="509">
        <f>G21+HWP!D22</f>
        <v>8.1602147862681615</v>
      </c>
      <c r="H22" s="510">
        <f>H21+HWP!E22</f>
        <v>0</v>
      </c>
      <c r="I22" s="493"/>
      <c r="J22" s="512">
        <f>Garden!J29</f>
        <v>0</v>
      </c>
      <c r="K22" s="513">
        <f>Paper!J29</f>
        <v>0.17811688845669466</v>
      </c>
      <c r="L22" s="514">
        <f>Wood!J29</f>
        <v>0</v>
      </c>
      <c r="M22" s="515">
        <f>J22*(1-Recovery_OX!E22)*(1-Recovery_OX!F22)</f>
        <v>0</v>
      </c>
      <c r="N22" s="513">
        <f>K22*(1-Recovery_OX!E22)*(1-Recovery_OX!F22)</f>
        <v>0.17811688845669466</v>
      </c>
      <c r="O22" s="514">
        <f>L22*(1-Recovery_OX!E22)*(1-Recovery_OX!F22)</f>
        <v>0</v>
      </c>
    </row>
    <row r="23" spans="2:15">
      <c r="B23" s="507">
        <f t="shared" si="0"/>
        <v>1961</v>
      </c>
      <c r="C23" s="508">
        <f>Stored_C!E29</f>
        <v>0</v>
      </c>
      <c r="D23" s="509">
        <f>Stored_C!F29+Stored_C!L29</f>
        <v>0</v>
      </c>
      <c r="E23" s="510">
        <f>Stored_C!G29+Stored_C!M29</f>
        <v>0</v>
      </c>
      <c r="F23" s="511">
        <f>F22+HWP!C23</f>
        <v>0</v>
      </c>
      <c r="G23" s="509">
        <f>G22+HWP!D23</f>
        <v>8.1602147862681615</v>
      </c>
      <c r="H23" s="510">
        <f>H22+HWP!E23</f>
        <v>0</v>
      </c>
      <c r="I23" s="493"/>
      <c r="J23" s="512">
        <f>Garden!J30</f>
        <v>0</v>
      </c>
      <c r="K23" s="513">
        <f>Paper!J30</f>
        <v>0.19624532007419343</v>
      </c>
      <c r="L23" s="514">
        <f>Wood!J30</f>
        <v>0</v>
      </c>
      <c r="M23" s="515">
        <f>J23*(1-Recovery_OX!E23)*(1-Recovery_OX!F23)</f>
        <v>0</v>
      </c>
      <c r="N23" s="513">
        <f>K23*(1-Recovery_OX!E23)*(1-Recovery_OX!F23)</f>
        <v>0.19624532007419343</v>
      </c>
      <c r="O23" s="514">
        <f>L23*(1-Recovery_OX!E23)*(1-Recovery_OX!F23)</f>
        <v>0</v>
      </c>
    </row>
    <row r="24" spans="2:15">
      <c r="B24" s="507">
        <f t="shared" si="0"/>
        <v>1962</v>
      </c>
      <c r="C24" s="508">
        <f>Stored_C!E30</f>
        <v>0</v>
      </c>
      <c r="D24" s="509">
        <f>Stored_C!F30+Stored_C!L30</f>
        <v>0</v>
      </c>
      <c r="E24" s="510">
        <f>Stored_C!G30+Stored_C!M30</f>
        <v>0</v>
      </c>
      <c r="F24" s="511">
        <f>F23+HWP!C24</f>
        <v>0</v>
      </c>
      <c r="G24" s="509">
        <f>G23+HWP!D24</f>
        <v>8.1602147862681615</v>
      </c>
      <c r="H24" s="510">
        <f>H23+HWP!E24</f>
        <v>0</v>
      </c>
      <c r="I24" s="493"/>
      <c r="J24" s="512">
        <f>Garden!J31</f>
        <v>0</v>
      </c>
      <c r="K24" s="513">
        <f>Paper!J31</f>
        <v>0.18297792362264265</v>
      </c>
      <c r="L24" s="514">
        <f>Wood!J31</f>
        <v>0</v>
      </c>
      <c r="M24" s="515">
        <f>J24*(1-Recovery_OX!E24)*(1-Recovery_OX!F24)</f>
        <v>0</v>
      </c>
      <c r="N24" s="513">
        <f>K24*(1-Recovery_OX!E24)*(1-Recovery_OX!F24)</f>
        <v>0.18297792362264265</v>
      </c>
      <c r="O24" s="514">
        <f>L24*(1-Recovery_OX!E24)*(1-Recovery_OX!F24)</f>
        <v>0</v>
      </c>
    </row>
    <row r="25" spans="2:15">
      <c r="B25" s="507">
        <f t="shared" si="0"/>
        <v>1963</v>
      </c>
      <c r="C25" s="508">
        <f>Stored_C!E31</f>
        <v>0</v>
      </c>
      <c r="D25" s="509">
        <f>Stored_C!F31+Stored_C!L31</f>
        <v>0</v>
      </c>
      <c r="E25" s="510">
        <f>Stored_C!G31+Stored_C!M31</f>
        <v>0</v>
      </c>
      <c r="F25" s="511">
        <f>F24+HWP!C25</f>
        <v>0</v>
      </c>
      <c r="G25" s="509">
        <f>G24+HWP!D25</f>
        <v>8.1602147862681615</v>
      </c>
      <c r="H25" s="510">
        <f>H24+HWP!E25</f>
        <v>0</v>
      </c>
      <c r="I25" s="493"/>
      <c r="J25" s="512">
        <f>Garden!J32</f>
        <v>0</v>
      </c>
      <c r="K25" s="513">
        <f>Paper!J32</f>
        <v>0.17060748516497465</v>
      </c>
      <c r="L25" s="514">
        <f>Wood!J32</f>
        <v>0</v>
      </c>
      <c r="M25" s="515">
        <f>J25*(1-Recovery_OX!E25)*(1-Recovery_OX!F25)</f>
        <v>0</v>
      </c>
      <c r="N25" s="513">
        <f>K25*(1-Recovery_OX!E25)*(1-Recovery_OX!F25)</f>
        <v>0.17060748516497465</v>
      </c>
      <c r="O25" s="514">
        <f>L25*(1-Recovery_OX!E25)*(1-Recovery_OX!F25)</f>
        <v>0</v>
      </c>
    </row>
    <row r="26" spans="2:15">
      <c r="B26" s="507">
        <f t="shared" si="0"/>
        <v>1964</v>
      </c>
      <c r="C26" s="508">
        <f>Stored_C!E32</f>
        <v>0</v>
      </c>
      <c r="D26" s="509">
        <f>Stored_C!F32+Stored_C!L32</f>
        <v>0</v>
      </c>
      <c r="E26" s="510">
        <f>Stored_C!G32+Stored_C!M32</f>
        <v>0</v>
      </c>
      <c r="F26" s="511">
        <f>F25+HWP!C26</f>
        <v>0</v>
      </c>
      <c r="G26" s="509">
        <f>G25+HWP!D26</f>
        <v>8.1602147862681615</v>
      </c>
      <c r="H26" s="510">
        <f>H25+HWP!E26</f>
        <v>0</v>
      </c>
      <c r="I26" s="493"/>
      <c r="J26" s="512">
        <f>Garden!J33</f>
        <v>0</v>
      </c>
      <c r="K26" s="513">
        <f>Paper!J33</f>
        <v>0.1590733647975181</v>
      </c>
      <c r="L26" s="514">
        <f>Wood!J33</f>
        <v>0</v>
      </c>
      <c r="M26" s="515">
        <f>J26*(1-Recovery_OX!E26)*(1-Recovery_OX!F26)</f>
        <v>0</v>
      </c>
      <c r="N26" s="513">
        <f>K26*(1-Recovery_OX!E26)*(1-Recovery_OX!F26)</f>
        <v>0.1590733647975181</v>
      </c>
      <c r="O26" s="514">
        <f>L26*(1-Recovery_OX!E26)*(1-Recovery_OX!F26)</f>
        <v>0</v>
      </c>
    </row>
    <row r="27" spans="2:15">
      <c r="B27" s="507">
        <f t="shared" si="0"/>
        <v>1965</v>
      </c>
      <c r="C27" s="508">
        <f>Stored_C!E33</f>
        <v>0</v>
      </c>
      <c r="D27" s="509">
        <f>Stored_C!F33+Stored_C!L33</f>
        <v>0</v>
      </c>
      <c r="E27" s="510">
        <f>Stored_C!G33+Stored_C!M33</f>
        <v>0</v>
      </c>
      <c r="F27" s="511">
        <f>F26+HWP!C27</f>
        <v>0</v>
      </c>
      <c r="G27" s="509">
        <f>G26+HWP!D27</f>
        <v>8.1602147862681615</v>
      </c>
      <c r="H27" s="510">
        <f>H26+HWP!E27</f>
        <v>0</v>
      </c>
      <c r="I27" s="493"/>
      <c r="J27" s="512">
        <f>Garden!J34</f>
        <v>0</v>
      </c>
      <c r="K27" s="513">
        <f>Paper!J34</f>
        <v>0.1483190222488503</v>
      </c>
      <c r="L27" s="514">
        <f>Wood!J34</f>
        <v>0</v>
      </c>
      <c r="M27" s="515">
        <f>J27*(1-Recovery_OX!E27)*(1-Recovery_OX!F27)</f>
        <v>0</v>
      </c>
      <c r="N27" s="513">
        <f>K27*(1-Recovery_OX!E27)*(1-Recovery_OX!F27)</f>
        <v>0.1483190222488503</v>
      </c>
      <c r="O27" s="514">
        <f>L27*(1-Recovery_OX!E27)*(1-Recovery_OX!F27)</f>
        <v>0</v>
      </c>
    </row>
    <row r="28" spans="2:15">
      <c r="B28" s="507">
        <f t="shared" si="0"/>
        <v>1966</v>
      </c>
      <c r="C28" s="508">
        <f>Stored_C!E34</f>
        <v>0</v>
      </c>
      <c r="D28" s="509">
        <f>Stored_C!F34+Stored_C!L34</f>
        <v>0</v>
      </c>
      <c r="E28" s="510">
        <f>Stored_C!G34+Stored_C!M34</f>
        <v>0</v>
      </c>
      <c r="F28" s="511">
        <f>F27+HWP!C28</f>
        <v>0</v>
      </c>
      <c r="G28" s="509">
        <f>G27+HWP!D28</f>
        <v>8.1602147862681615</v>
      </c>
      <c r="H28" s="510">
        <f>H27+HWP!E28</f>
        <v>0</v>
      </c>
      <c r="I28" s="493"/>
      <c r="J28" s="512">
        <f>Garden!J35</f>
        <v>0</v>
      </c>
      <c r="K28" s="513">
        <f>Paper!J35</f>
        <v>0.13829173971932088</v>
      </c>
      <c r="L28" s="514">
        <f>Wood!J35</f>
        <v>0</v>
      </c>
      <c r="M28" s="515">
        <f>J28*(1-Recovery_OX!E28)*(1-Recovery_OX!F28)</f>
        <v>0</v>
      </c>
      <c r="N28" s="513">
        <f>K28*(1-Recovery_OX!E28)*(1-Recovery_OX!F28)</f>
        <v>0.13829173971932088</v>
      </c>
      <c r="O28" s="514">
        <f>L28*(1-Recovery_OX!E28)*(1-Recovery_OX!F28)</f>
        <v>0</v>
      </c>
    </row>
    <row r="29" spans="2:15">
      <c r="B29" s="507">
        <f t="shared" si="0"/>
        <v>1967</v>
      </c>
      <c r="C29" s="508">
        <f>Stored_C!E35</f>
        <v>0</v>
      </c>
      <c r="D29" s="509">
        <f>Stored_C!F35+Stored_C!L35</f>
        <v>0</v>
      </c>
      <c r="E29" s="510">
        <f>Stored_C!G35+Stored_C!M35</f>
        <v>0</v>
      </c>
      <c r="F29" s="511">
        <f>F28+HWP!C29</f>
        <v>0</v>
      </c>
      <c r="G29" s="509">
        <f>G28+HWP!D29</f>
        <v>8.1602147862681615</v>
      </c>
      <c r="H29" s="510">
        <f>H28+HWP!E29</f>
        <v>0</v>
      </c>
      <c r="I29" s="493"/>
      <c r="J29" s="512">
        <f>Garden!J36</f>
        <v>0</v>
      </c>
      <c r="K29" s="513">
        <f>Paper!J36</f>
        <v>0.12894236345833673</v>
      </c>
      <c r="L29" s="514">
        <f>Wood!J36</f>
        <v>0</v>
      </c>
      <c r="M29" s="515">
        <f>J29*(1-Recovery_OX!E29)*(1-Recovery_OX!F29)</f>
        <v>0</v>
      </c>
      <c r="N29" s="513">
        <f>K29*(1-Recovery_OX!E29)*(1-Recovery_OX!F29)</f>
        <v>0.12894236345833673</v>
      </c>
      <c r="O29" s="514">
        <f>L29*(1-Recovery_OX!E29)*(1-Recovery_OX!F29)</f>
        <v>0</v>
      </c>
    </row>
    <row r="30" spans="2:15">
      <c r="B30" s="507">
        <f t="shared" si="0"/>
        <v>1968</v>
      </c>
      <c r="C30" s="508">
        <f>Stored_C!E36</f>
        <v>0</v>
      </c>
      <c r="D30" s="509">
        <f>Stored_C!F36+Stored_C!L36</f>
        <v>0</v>
      </c>
      <c r="E30" s="510">
        <f>Stored_C!G36+Stored_C!M36</f>
        <v>0</v>
      </c>
      <c r="F30" s="511">
        <f>F29+HWP!C30</f>
        <v>0</v>
      </c>
      <c r="G30" s="509">
        <f>G29+HWP!D30</f>
        <v>8.1602147862681615</v>
      </c>
      <c r="H30" s="510">
        <f>H29+HWP!E30</f>
        <v>0</v>
      </c>
      <c r="I30" s="493"/>
      <c r="J30" s="512">
        <f>Garden!J37</f>
        <v>0</v>
      </c>
      <c r="K30" s="513">
        <f>Paper!J37</f>
        <v>0.12022506281261976</v>
      </c>
      <c r="L30" s="514">
        <f>Wood!J37</f>
        <v>0</v>
      </c>
      <c r="M30" s="515">
        <f>J30*(1-Recovery_OX!E30)*(1-Recovery_OX!F30)</f>
        <v>0</v>
      </c>
      <c r="N30" s="513">
        <f>K30*(1-Recovery_OX!E30)*(1-Recovery_OX!F30)</f>
        <v>0.12022506281261976</v>
      </c>
      <c r="O30" s="514">
        <f>L30*(1-Recovery_OX!E30)*(1-Recovery_OX!F30)</f>
        <v>0</v>
      </c>
    </row>
    <row r="31" spans="2:15">
      <c r="B31" s="507">
        <f t="shared" si="0"/>
        <v>1969</v>
      </c>
      <c r="C31" s="508">
        <f>Stored_C!E37</f>
        <v>0</v>
      </c>
      <c r="D31" s="509">
        <f>Stored_C!F37+Stored_C!L37</f>
        <v>0</v>
      </c>
      <c r="E31" s="510">
        <f>Stored_C!G37+Stored_C!M37</f>
        <v>0</v>
      </c>
      <c r="F31" s="511">
        <f>F30+HWP!C31</f>
        <v>0</v>
      </c>
      <c r="G31" s="509">
        <f>G30+HWP!D31</f>
        <v>8.1602147862681615</v>
      </c>
      <c r="H31" s="510">
        <f>H30+HWP!E31</f>
        <v>0</v>
      </c>
      <c r="I31" s="493"/>
      <c r="J31" s="512">
        <f>Garden!J38</f>
        <v>0</v>
      </c>
      <c r="K31" s="513">
        <f>Paper!J38</f>
        <v>0.1120971055642911</v>
      </c>
      <c r="L31" s="514">
        <f>Wood!J38</f>
        <v>0</v>
      </c>
      <c r="M31" s="515">
        <f>J31*(1-Recovery_OX!E31)*(1-Recovery_OX!F31)</f>
        <v>0</v>
      </c>
      <c r="N31" s="513">
        <f>K31*(1-Recovery_OX!E31)*(1-Recovery_OX!F31)</f>
        <v>0.1120971055642911</v>
      </c>
      <c r="O31" s="514">
        <f>L31*(1-Recovery_OX!E31)*(1-Recovery_OX!F31)</f>
        <v>0</v>
      </c>
    </row>
    <row r="32" spans="2:15">
      <c r="B32" s="507">
        <f t="shared" si="0"/>
        <v>1970</v>
      </c>
      <c r="C32" s="508">
        <f>Stored_C!E38</f>
        <v>0</v>
      </c>
      <c r="D32" s="509">
        <f>Stored_C!F38+Stored_C!L38</f>
        <v>0</v>
      </c>
      <c r="E32" s="510">
        <f>Stored_C!G38+Stored_C!M38</f>
        <v>0</v>
      </c>
      <c r="F32" s="511">
        <f>F31+HWP!C32</f>
        <v>0</v>
      </c>
      <c r="G32" s="509">
        <f>G31+HWP!D32</f>
        <v>8.1602147862681615</v>
      </c>
      <c r="H32" s="510">
        <f>H31+HWP!E32</f>
        <v>0</v>
      </c>
      <c r="I32" s="493"/>
      <c r="J32" s="512">
        <f>Garden!J39</f>
        <v>0</v>
      </c>
      <c r="K32" s="513">
        <f>Paper!J39</f>
        <v>0.1045186484574897</v>
      </c>
      <c r="L32" s="514">
        <f>Wood!J39</f>
        <v>0</v>
      </c>
      <c r="M32" s="515">
        <f>J32*(1-Recovery_OX!E32)*(1-Recovery_OX!F32)</f>
        <v>0</v>
      </c>
      <c r="N32" s="513">
        <f>K32*(1-Recovery_OX!E32)*(1-Recovery_OX!F32)</f>
        <v>0.1045186484574897</v>
      </c>
      <c r="O32" s="514">
        <f>L32*(1-Recovery_OX!E32)*(1-Recovery_OX!F32)</f>
        <v>0</v>
      </c>
    </row>
    <row r="33" spans="2:15">
      <c r="B33" s="507">
        <f t="shared" si="0"/>
        <v>1971</v>
      </c>
      <c r="C33" s="508">
        <f>Stored_C!E39</f>
        <v>0</v>
      </c>
      <c r="D33" s="509">
        <f>Stored_C!F39+Stored_C!L39</f>
        <v>0</v>
      </c>
      <c r="E33" s="510">
        <f>Stored_C!G39+Stored_C!M39</f>
        <v>0</v>
      </c>
      <c r="F33" s="511">
        <f>F32+HWP!C33</f>
        <v>0</v>
      </c>
      <c r="G33" s="509">
        <f>G32+HWP!D33</f>
        <v>8.1602147862681615</v>
      </c>
      <c r="H33" s="510">
        <f>H32+HWP!E33</f>
        <v>0</v>
      </c>
      <c r="I33" s="493"/>
      <c r="J33" s="512">
        <f>Garden!J40</f>
        <v>0</v>
      </c>
      <c r="K33" s="513">
        <f>Paper!J40</f>
        <v>9.745254188668577E-2</v>
      </c>
      <c r="L33" s="514">
        <f>Wood!J40</f>
        <v>0</v>
      </c>
      <c r="M33" s="515">
        <f>J33*(1-Recovery_OX!E33)*(1-Recovery_OX!F33)</f>
        <v>0</v>
      </c>
      <c r="N33" s="513">
        <f>K33*(1-Recovery_OX!E33)*(1-Recovery_OX!F33)</f>
        <v>9.745254188668577E-2</v>
      </c>
      <c r="O33" s="514">
        <f>L33*(1-Recovery_OX!E33)*(1-Recovery_OX!F33)</f>
        <v>0</v>
      </c>
    </row>
    <row r="34" spans="2:15">
      <c r="B34" s="507">
        <f t="shared" si="0"/>
        <v>1972</v>
      </c>
      <c r="C34" s="508">
        <f>Stored_C!E40</f>
        <v>0</v>
      </c>
      <c r="D34" s="509">
        <f>Stored_C!F40+Stored_C!L40</f>
        <v>0</v>
      </c>
      <c r="E34" s="510">
        <f>Stored_C!G40+Stored_C!M40</f>
        <v>0</v>
      </c>
      <c r="F34" s="511">
        <f>F33+HWP!C34</f>
        <v>0</v>
      </c>
      <c r="G34" s="509">
        <f>G33+HWP!D34</f>
        <v>8.1602147862681615</v>
      </c>
      <c r="H34" s="510">
        <f>H33+HWP!E34</f>
        <v>0</v>
      </c>
      <c r="I34" s="493"/>
      <c r="J34" s="512">
        <f>Garden!J41</f>
        <v>0</v>
      </c>
      <c r="K34" s="513">
        <f>Paper!J41</f>
        <v>9.0864147789271377E-2</v>
      </c>
      <c r="L34" s="514">
        <f>Wood!J41</f>
        <v>0</v>
      </c>
      <c r="M34" s="515">
        <f>J34*(1-Recovery_OX!E34)*(1-Recovery_OX!F34)</f>
        <v>0</v>
      </c>
      <c r="N34" s="513">
        <f>K34*(1-Recovery_OX!E34)*(1-Recovery_OX!F34)</f>
        <v>9.0864147789271377E-2</v>
      </c>
      <c r="O34" s="514">
        <f>L34*(1-Recovery_OX!E34)*(1-Recovery_OX!F34)</f>
        <v>0</v>
      </c>
    </row>
    <row r="35" spans="2:15">
      <c r="B35" s="507">
        <f t="shared" si="0"/>
        <v>1973</v>
      </c>
      <c r="C35" s="508">
        <f>Stored_C!E41</f>
        <v>0</v>
      </c>
      <c r="D35" s="509">
        <f>Stored_C!F41+Stored_C!L41</f>
        <v>0</v>
      </c>
      <c r="E35" s="510">
        <f>Stored_C!G41+Stored_C!M41</f>
        <v>0</v>
      </c>
      <c r="F35" s="511">
        <f>F34+HWP!C35</f>
        <v>0</v>
      </c>
      <c r="G35" s="509">
        <f>G34+HWP!D35</f>
        <v>8.1602147862681615</v>
      </c>
      <c r="H35" s="510">
        <f>H34+HWP!E35</f>
        <v>0</v>
      </c>
      <c r="I35" s="493"/>
      <c r="J35" s="512">
        <f>Garden!J42</f>
        <v>0</v>
      </c>
      <c r="K35" s="513">
        <f>Paper!J42</f>
        <v>8.4721169849737363E-2</v>
      </c>
      <c r="L35" s="514">
        <f>Wood!J42</f>
        <v>0</v>
      </c>
      <c r="M35" s="515">
        <f>J35*(1-Recovery_OX!E35)*(1-Recovery_OX!F35)</f>
        <v>0</v>
      </c>
      <c r="N35" s="513">
        <f>K35*(1-Recovery_OX!E35)*(1-Recovery_OX!F35)</f>
        <v>8.4721169849737363E-2</v>
      </c>
      <c r="O35" s="514">
        <f>L35*(1-Recovery_OX!E35)*(1-Recovery_OX!F35)</f>
        <v>0</v>
      </c>
    </row>
    <row r="36" spans="2:15">
      <c r="B36" s="507">
        <f t="shared" si="0"/>
        <v>1974</v>
      </c>
      <c r="C36" s="508">
        <f>Stored_C!E42</f>
        <v>0</v>
      </c>
      <c r="D36" s="509">
        <f>Stored_C!F42+Stored_C!L42</f>
        <v>0</v>
      </c>
      <c r="E36" s="510">
        <f>Stored_C!G42+Stored_C!M42</f>
        <v>0</v>
      </c>
      <c r="F36" s="511">
        <f>F35+HWP!C36</f>
        <v>0</v>
      </c>
      <c r="G36" s="509">
        <f>G35+HWP!D36</f>
        <v>8.1602147862681615</v>
      </c>
      <c r="H36" s="510">
        <f>H35+HWP!E36</f>
        <v>0</v>
      </c>
      <c r="I36" s="493"/>
      <c r="J36" s="512">
        <f>Garden!J43</f>
        <v>0</v>
      </c>
      <c r="K36" s="513">
        <f>Paper!J43</f>
        <v>7.899349518309727E-2</v>
      </c>
      <c r="L36" s="514">
        <f>Wood!J43</f>
        <v>0</v>
      </c>
      <c r="M36" s="515">
        <f>J36*(1-Recovery_OX!E36)*(1-Recovery_OX!F36)</f>
        <v>0</v>
      </c>
      <c r="N36" s="513">
        <f>K36*(1-Recovery_OX!E36)*(1-Recovery_OX!F36)</f>
        <v>7.899349518309727E-2</v>
      </c>
      <c r="O36" s="514">
        <f>L36*(1-Recovery_OX!E36)*(1-Recovery_OX!F36)</f>
        <v>0</v>
      </c>
    </row>
    <row r="37" spans="2:15">
      <c r="B37" s="507">
        <f t="shared" si="0"/>
        <v>1975</v>
      </c>
      <c r="C37" s="508">
        <f>Stored_C!E43</f>
        <v>0</v>
      </c>
      <c r="D37" s="509">
        <f>Stored_C!F43+Stored_C!L43</f>
        <v>0</v>
      </c>
      <c r="E37" s="510">
        <f>Stored_C!G43+Stored_C!M43</f>
        <v>0</v>
      </c>
      <c r="F37" s="511">
        <f>F36+HWP!C37</f>
        <v>0</v>
      </c>
      <c r="G37" s="509">
        <f>G36+HWP!D37</f>
        <v>8.1602147862681615</v>
      </c>
      <c r="H37" s="510">
        <f>H36+HWP!E37</f>
        <v>0</v>
      </c>
      <c r="I37" s="493"/>
      <c r="J37" s="512">
        <f>Garden!J44</f>
        <v>0</v>
      </c>
      <c r="K37" s="513">
        <f>Paper!J44</f>
        <v>7.3653046721490187E-2</v>
      </c>
      <c r="L37" s="514">
        <f>Wood!J44</f>
        <v>0</v>
      </c>
      <c r="M37" s="515">
        <f>J37*(1-Recovery_OX!E37)*(1-Recovery_OX!F37)</f>
        <v>0</v>
      </c>
      <c r="N37" s="513">
        <f>K37*(1-Recovery_OX!E37)*(1-Recovery_OX!F37)</f>
        <v>7.3653046721490187E-2</v>
      </c>
      <c r="O37" s="514">
        <f>L37*(1-Recovery_OX!E37)*(1-Recovery_OX!F37)</f>
        <v>0</v>
      </c>
    </row>
    <row r="38" spans="2:15">
      <c r="B38" s="507">
        <f t="shared" si="0"/>
        <v>1976</v>
      </c>
      <c r="C38" s="508">
        <f>Stored_C!E44</f>
        <v>0</v>
      </c>
      <c r="D38" s="509">
        <f>Stored_C!F44+Stored_C!L44</f>
        <v>0</v>
      </c>
      <c r="E38" s="510">
        <f>Stored_C!G44+Stored_C!M44</f>
        <v>0</v>
      </c>
      <c r="F38" s="511">
        <f>F37+HWP!C38</f>
        <v>0</v>
      </c>
      <c r="G38" s="509">
        <f>G37+HWP!D38</f>
        <v>8.1602147862681615</v>
      </c>
      <c r="H38" s="510">
        <f>H37+HWP!E38</f>
        <v>0</v>
      </c>
      <c r="I38" s="493"/>
      <c r="J38" s="512">
        <f>Garden!J45</f>
        <v>0</v>
      </c>
      <c r="K38" s="513">
        <f>Paper!J45</f>
        <v>6.8673645580361514E-2</v>
      </c>
      <c r="L38" s="514">
        <f>Wood!J45</f>
        <v>0</v>
      </c>
      <c r="M38" s="515">
        <f>J38*(1-Recovery_OX!E38)*(1-Recovery_OX!F38)</f>
        <v>0</v>
      </c>
      <c r="N38" s="513">
        <f>K38*(1-Recovery_OX!E38)*(1-Recovery_OX!F38)</f>
        <v>6.8673645580361514E-2</v>
      </c>
      <c r="O38" s="514">
        <f>L38*(1-Recovery_OX!E38)*(1-Recovery_OX!F38)</f>
        <v>0</v>
      </c>
    </row>
    <row r="39" spans="2:15">
      <c r="B39" s="507">
        <f t="shared" si="0"/>
        <v>1977</v>
      </c>
      <c r="C39" s="508">
        <f>Stored_C!E45</f>
        <v>0</v>
      </c>
      <c r="D39" s="509">
        <f>Stored_C!F45+Stored_C!L45</f>
        <v>0</v>
      </c>
      <c r="E39" s="510">
        <f>Stored_C!G45+Stored_C!M45</f>
        <v>0</v>
      </c>
      <c r="F39" s="511">
        <f>F38+HWP!C39</f>
        <v>0</v>
      </c>
      <c r="G39" s="509">
        <f>G38+HWP!D39</f>
        <v>8.1602147862681615</v>
      </c>
      <c r="H39" s="510">
        <f>H38+HWP!E39</f>
        <v>0</v>
      </c>
      <c r="I39" s="493"/>
      <c r="J39" s="512">
        <f>Garden!J46</f>
        <v>0</v>
      </c>
      <c r="K39" s="513">
        <f>Paper!J46</f>
        <v>6.4030882729540523E-2</v>
      </c>
      <c r="L39" s="514">
        <f>Wood!J46</f>
        <v>0</v>
      </c>
      <c r="M39" s="515">
        <f>J39*(1-Recovery_OX!E39)*(1-Recovery_OX!F39)</f>
        <v>0</v>
      </c>
      <c r="N39" s="513">
        <f>K39*(1-Recovery_OX!E39)*(1-Recovery_OX!F39)</f>
        <v>6.4030882729540523E-2</v>
      </c>
      <c r="O39" s="514">
        <f>L39*(1-Recovery_OX!E39)*(1-Recovery_OX!F39)</f>
        <v>0</v>
      </c>
    </row>
    <row r="40" spans="2:15">
      <c r="B40" s="507">
        <f t="shared" si="0"/>
        <v>1978</v>
      </c>
      <c r="C40" s="508">
        <f>Stored_C!E46</f>
        <v>0</v>
      </c>
      <c r="D40" s="509">
        <f>Stored_C!F46+Stored_C!L46</f>
        <v>0</v>
      </c>
      <c r="E40" s="510">
        <f>Stored_C!G46+Stored_C!M46</f>
        <v>0</v>
      </c>
      <c r="F40" s="511">
        <f>F39+HWP!C40</f>
        <v>0</v>
      </c>
      <c r="G40" s="509">
        <f>G39+HWP!D40</f>
        <v>8.1602147862681615</v>
      </c>
      <c r="H40" s="510">
        <f>H39+HWP!E40</f>
        <v>0</v>
      </c>
      <c r="I40" s="493"/>
      <c r="J40" s="512">
        <f>Garden!J47</f>
        <v>0</v>
      </c>
      <c r="K40" s="513">
        <f>Paper!J47</f>
        <v>5.9701999340146097E-2</v>
      </c>
      <c r="L40" s="514">
        <f>Wood!J47</f>
        <v>0</v>
      </c>
      <c r="M40" s="515">
        <f>J40*(1-Recovery_OX!E40)*(1-Recovery_OX!F40)</f>
        <v>0</v>
      </c>
      <c r="N40" s="513">
        <f>K40*(1-Recovery_OX!E40)*(1-Recovery_OX!F40)</f>
        <v>5.9701999340146097E-2</v>
      </c>
      <c r="O40" s="514">
        <f>L40*(1-Recovery_OX!E40)*(1-Recovery_OX!F40)</f>
        <v>0</v>
      </c>
    </row>
    <row r="41" spans="2:15">
      <c r="B41" s="507">
        <f t="shared" si="0"/>
        <v>1979</v>
      </c>
      <c r="C41" s="508">
        <f>Stored_C!E47</f>
        <v>0</v>
      </c>
      <c r="D41" s="509">
        <f>Stored_C!F47+Stored_C!L47</f>
        <v>0</v>
      </c>
      <c r="E41" s="510">
        <f>Stored_C!G47+Stored_C!M47</f>
        <v>0</v>
      </c>
      <c r="F41" s="511">
        <f>F40+HWP!C41</f>
        <v>0</v>
      </c>
      <c r="G41" s="509">
        <f>G40+HWP!D41</f>
        <v>8.1602147862681615</v>
      </c>
      <c r="H41" s="510">
        <f>H40+HWP!E41</f>
        <v>0</v>
      </c>
      <c r="I41" s="493"/>
      <c r="J41" s="512">
        <f>Garden!J48</f>
        <v>0</v>
      </c>
      <c r="K41" s="513">
        <f>Paper!J48</f>
        <v>5.566577522078122E-2</v>
      </c>
      <c r="L41" s="514">
        <f>Wood!J48</f>
        <v>0</v>
      </c>
      <c r="M41" s="515">
        <f>J41*(1-Recovery_OX!E41)*(1-Recovery_OX!F41)</f>
        <v>0</v>
      </c>
      <c r="N41" s="513">
        <f>K41*(1-Recovery_OX!E41)*(1-Recovery_OX!F41)</f>
        <v>5.566577522078122E-2</v>
      </c>
      <c r="O41" s="514">
        <f>L41*(1-Recovery_OX!E41)*(1-Recovery_OX!F41)</f>
        <v>0</v>
      </c>
    </row>
    <row r="42" spans="2:15">
      <c r="B42" s="507">
        <f t="shared" si="0"/>
        <v>1980</v>
      </c>
      <c r="C42" s="508">
        <f>Stored_C!E48</f>
        <v>0</v>
      </c>
      <c r="D42" s="509">
        <f>Stored_C!F48+Stored_C!L48</f>
        <v>0</v>
      </c>
      <c r="E42" s="510">
        <f>Stored_C!G48+Stored_C!M48</f>
        <v>0</v>
      </c>
      <c r="F42" s="511">
        <f>F41+HWP!C42</f>
        <v>0</v>
      </c>
      <c r="G42" s="509">
        <f>G41+HWP!D42</f>
        <v>8.1602147862681615</v>
      </c>
      <c r="H42" s="510">
        <f>H41+HWP!E42</f>
        <v>0</v>
      </c>
      <c r="I42" s="493"/>
      <c r="J42" s="512">
        <f>Garden!J49</f>
        <v>0</v>
      </c>
      <c r="K42" s="513">
        <f>Paper!J49</f>
        <v>5.1902424796130088E-2</v>
      </c>
      <c r="L42" s="514">
        <f>Wood!J49</f>
        <v>0</v>
      </c>
      <c r="M42" s="515">
        <f>J42*(1-Recovery_OX!E42)*(1-Recovery_OX!F42)</f>
        <v>0</v>
      </c>
      <c r="N42" s="513">
        <f>K42*(1-Recovery_OX!E42)*(1-Recovery_OX!F42)</f>
        <v>5.1902424796130088E-2</v>
      </c>
      <c r="O42" s="514">
        <f>L42*(1-Recovery_OX!E42)*(1-Recovery_OX!F42)</f>
        <v>0</v>
      </c>
    </row>
    <row r="43" spans="2:15">
      <c r="B43" s="507">
        <f t="shared" si="0"/>
        <v>1981</v>
      </c>
      <c r="C43" s="508">
        <f>Stored_C!E49</f>
        <v>0</v>
      </c>
      <c r="D43" s="509">
        <f>Stored_C!F49+Stored_C!L49</f>
        <v>0</v>
      </c>
      <c r="E43" s="510">
        <f>Stored_C!G49+Stored_C!M49</f>
        <v>0</v>
      </c>
      <c r="F43" s="511">
        <f>F42+HWP!C43</f>
        <v>0</v>
      </c>
      <c r="G43" s="509">
        <f>G42+HWP!D43</f>
        <v>8.1602147862681615</v>
      </c>
      <c r="H43" s="510">
        <f>H42+HWP!E43</f>
        <v>0</v>
      </c>
      <c r="I43" s="493"/>
      <c r="J43" s="512">
        <f>Garden!J50</f>
        <v>0</v>
      </c>
      <c r="K43" s="513">
        <f>Paper!J50</f>
        <v>4.8393500118044941E-2</v>
      </c>
      <c r="L43" s="514">
        <f>Wood!J50</f>
        <v>0</v>
      </c>
      <c r="M43" s="515">
        <f>J43*(1-Recovery_OX!E43)*(1-Recovery_OX!F43)</f>
        <v>0</v>
      </c>
      <c r="N43" s="513">
        <f>K43*(1-Recovery_OX!E43)*(1-Recovery_OX!F43)</f>
        <v>4.8393500118044941E-2</v>
      </c>
      <c r="O43" s="514">
        <f>L43*(1-Recovery_OX!E43)*(1-Recovery_OX!F43)</f>
        <v>0</v>
      </c>
    </row>
    <row r="44" spans="2:15">
      <c r="B44" s="507">
        <f t="shared" si="0"/>
        <v>1982</v>
      </c>
      <c r="C44" s="508">
        <f>Stored_C!E50</f>
        <v>0</v>
      </c>
      <c r="D44" s="509">
        <f>Stored_C!F50+Stored_C!L50</f>
        <v>0</v>
      </c>
      <c r="E44" s="510">
        <f>Stored_C!G50+Stored_C!M50</f>
        <v>0</v>
      </c>
      <c r="F44" s="511">
        <f>F43+HWP!C44</f>
        <v>0</v>
      </c>
      <c r="G44" s="509">
        <f>G43+HWP!D44</f>
        <v>8.1602147862681615</v>
      </c>
      <c r="H44" s="510">
        <f>H43+HWP!E44</f>
        <v>0</v>
      </c>
      <c r="I44" s="493"/>
      <c r="J44" s="512">
        <f>Garden!J51</f>
        <v>0</v>
      </c>
      <c r="K44" s="513">
        <f>Paper!J51</f>
        <v>4.5121800433682878E-2</v>
      </c>
      <c r="L44" s="514">
        <f>Wood!J51</f>
        <v>0</v>
      </c>
      <c r="M44" s="515">
        <f>J44*(1-Recovery_OX!E44)*(1-Recovery_OX!F44)</f>
        <v>0</v>
      </c>
      <c r="N44" s="513">
        <f>K44*(1-Recovery_OX!E44)*(1-Recovery_OX!F44)</f>
        <v>4.5121800433682878E-2</v>
      </c>
      <c r="O44" s="514">
        <f>L44*(1-Recovery_OX!E44)*(1-Recovery_OX!F44)</f>
        <v>0</v>
      </c>
    </row>
    <row r="45" spans="2:15">
      <c r="B45" s="507">
        <f t="shared" si="0"/>
        <v>1983</v>
      </c>
      <c r="C45" s="508">
        <f>Stored_C!E51</f>
        <v>0</v>
      </c>
      <c r="D45" s="509">
        <f>Stored_C!F51+Stored_C!L51</f>
        <v>0</v>
      </c>
      <c r="E45" s="510">
        <f>Stored_C!G51+Stored_C!M51</f>
        <v>0</v>
      </c>
      <c r="F45" s="511">
        <f>F44+HWP!C45</f>
        <v>0</v>
      </c>
      <c r="G45" s="509">
        <f>G44+HWP!D45</f>
        <v>8.1602147862681615</v>
      </c>
      <c r="H45" s="510">
        <f>H44+HWP!E45</f>
        <v>0</v>
      </c>
      <c r="I45" s="493"/>
      <c r="J45" s="512">
        <f>Garden!J52</f>
        <v>0</v>
      </c>
      <c r="K45" s="513">
        <f>Paper!J52</f>
        <v>4.2071287867395453E-2</v>
      </c>
      <c r="L45" s="514">
        <f>Wood!J52</f>
        <v>0</v>
      </c>
      <c r="M45" s="515">
        <f>J45*(1-Recovery_OX!E45)*(1-Recovery_OX!F45)</f>
        <v>0</v>
      </c>
      <c r="N45" s="513">
        <f>K45*(1-Recovery_OX!E45)*(1-Recovery_OX!F45)</f>
        <v>4.2071287867395453E-2</v>
      </c>
      <c r="O45" s="514">
        <f>L45*(1-Recovery_OX!E45)*(1-Recovery_OX!F45)</f>
        <v>0</v>
      </c>
    </row>
    <row r="46" spans="2:15">
      <c r="B46" s="507">
        <f t="shared" si="0"/>
        <v>1984</v>
      </c>
      <c r="C46" s="508">
        <f>Stored_C!E52</f>
        <v>0</v>
      </c>
      <c r="D46" s="509">
        <f>Stored_C!F52+Stored_C!L52</f>
        <v>0</v>
      </c>
      <c r="E46" s="510">
        <f>Stored_C!G52+Stored_C!M52</f>
        <v>0</v>
      </c>
      <c r="F46" s="511">
        <f>F45+HWP!C46</f>
        <v>0</v>
      </c>
      <c r="G46" s="509">
        <f>G45+HWP!D46</f>
        <v>8.1602147862681615</v>
      </c>
      <c r="H46" s="510">
        <f>H45+HWP!E46</f>
        <v>0</v>
      </c>
      <c r="I46" s="493"/>
      <c r="J46" s="512">
        <f>Garden!J53</f>
        <v>0</v>
      </c>
      <c r="K46" s="513">
        <f>Paper!J53</f>
        <v>3.9227008803043625E-2</v>
      </c>
      <c r="L46" s="514">
        <f>Wood!J53</f>
        <v>0</v>
      </c>
      <c r="M46" s="515">
        <f>J46*(1-Recovery_OX!E46)*(1-Recovery_OX!F46)</f>
        <v>0</v>
      </c>
      <c r="N46" s="513">
        <f>K46*(1-Recovery_OX!E46)*(1-Recovery_OX!F46)</f>
        <v>3.9227008803043625E-2</v>
      </c>
      <c r="O46" s="514">
        <f>L46*(1-Recovery_OX!E46)*(1-Recovery_OX!F46)</f>
        <v>0</v>
      </c>
    </row>
    <row r="47" spans="2:15">
      <c r="B47" s="507">
        <f t="shared" si="0"/>
        <v>1985</v>
      </c>
      <c r="C47" s="508">
        <f>Stored_C!E53</f>
        <v>0</v>
      </c>
      <c r="D47" s="509">
        <f>Stored_C!F53+Stored_C!L53</f>
        <v>0</v>
      </c>
      <c r="E47" s="510">
        <f>Stored_C!G53+Stored_C!M53</f>
        <v>0</v>
      </c>
      <c r="F47" s="511">
        <f>F46+HWP!C47</f>
        <v>0</v>
      </c>
      <c r="G47" s="509">
        <f>G46+HWP!D47</f>
        <v>8.1602147862681615</v>
      </c>
      <c r="H47" s="510">
        <f>H46+HWP!E47</f>
        <v>0</v>
      </c>
      <c r="I47" s="493"/>
      <c r="J47" s="512">
        <f>Garden!J54</f>
        <v>0</v>
      </c>
      <c r="K47" s="513">
        <f>Paper!J54</f>
        <v>3.6575020581354103E-2</v>
      </c>
      <c r="L47" s="514">
        <f>Wood!J54</f>
        <v>0</v>
      </c>
      <c r="M47" s="515">
        <f>J47*(1-Recovery_OX!E47)*(1-Recovery_OX!F47)</f>
        <v>0</v>
      </c>
      <c r="N47" s="513">
        <f>K47*(1-Recovery_OX!E47)*(1-Recovery_OX!F47)</f>
        <v>3.6575020581354103E-2</v>
      </c>
      <c r="O47" s="514">
        <f>L47*(1-Recovery_OX!E47)*(1-Recovery_OX!F47)</f>
        <v>0</v>
      </c>
    </row>
    <row r="48" spans="2:15">
      <c r="B48" s="507">
        <f t="shared" si="0"/>
        <v>1986</v>
      </c>
      <c r="C48" s="508">
        <f>Stored_C!E54</f>
        <v>0</v>
      </c>
      <c r="D48" s="509">
        <f>Stored_C!F54+Stored_C!L54</f>
        <v>0</v>
      </c>
      <c r="E48" s="510">
        <f>Stored_C!G54+Stored_C!M54</f>
        <v>0</v>
      </c>
      <c r="F48" s="511">
        <f>F47+HWP!C48</f>
        <v>0</v>
      </c>
      <c r="G48" s="509">
        <f>G47+HWP!D48</f>
        <v>8.1602147862681615</v>
      </c>
      <c r="H48" s="510">
        <f>H47+HWP!E48</f>
        <v>0</v>
      </c>
      <c r="I48" s="493"/>
      <c r="J48" s="512">
        <f>Garden!J55</f>
        <v>0</v>
      </c>
      <c r="K48" s="513">
        <f>Paper!J55</f>
        <v>3.4102323152987432E-2</v>
      </c>
      <c r="L48" s="514">
        <f>Wood!J55</f>
        <v>0</v>
      </c>
      <c r="M48" s="515">
        <f>J48*(1-Recovery_OX!E48)*(1-Recovery_OX!F48)</f>
        <v>0</v>
      </c>
      <c r="N48" s="513">
        <f>K48*(1-Recovery_OX!E48)*(1-Recovery_OX!F48)</f>
        <v>3.4102323152987432E-2</v>
      </c>
      <c r="O48" s="514">
        <f>L48*(1-Recovery_OX!E48)*(1-Recovery_OX!F48)</f>
        <v>0</v>
      </c>
    </row>
    <row r="49" spans="2:15">
      <c r="B49" s="507">
        <f t="shared" si="0"/>
        <v>1987</v>
      </c>
      <c r="C49" s="508">
        <f>Stored_C!E55</f>
        <v>0</v>
      </c>
      <c r="D49" s="509">
        <f>Stored_C!F55+Stored_C!L55</f>
        <v>0</v>
      </c>
      <c r="E49" s="510">
        <f>Stored_C!G55+Stored_C!M55</f>
        <v>0</v>
      </c>
      <c r="F49" s="511">
        <f>F48+HWP!C49</f>
        <v>0</v>
      </c>
      <c r="G49" s="509">
        <f>G48+HWP!D49</f>
        <v>8.1602147862681615</v>
      </c>
      <c r="H49" s="510">
        <f>H48+HWP!E49</f>
        <v>0</v>
      </c>
      <c r="I49" s="493"/>
      <c r="J49" s="512">
        <f>Garden!J56</f>
        <v>0</v>
      </c>
      <c r="K49" s="513">
        <f>Paper!J56</f>
        <v>3.1796795352281013E-2</v>
      </c>
      <c r="L49" s="514">
        <f>Wood!J56</f>
        <v>0</v>
      </c>
      <c r="M49" s="515">
        <f>J49*(1-Recovery_OX!E49)*(1-Recovery_OX!F49)</f>
        <v>0</v>
      </c>
      <c r="N49" s="513">
        <f>K49*(1-Recovery_OX!E49)*(1-Recovery_OX!F49)</f>
        <v>3.1796795352281013E-2</v>
      </c>
      <c r="O49" s="514">
        <f>L49*(1-Recovery_OX!E49)*(1-Recovery_OX!F49)</f>
        <v>0</v>
      </c>
    </row>
    <row r="50" spans="2:15">
      <c r="B50" s="507">
        <f t="shared" si="0"/>
        <v>1988</v>
      </c>
      <c r="C50" s="508">
        <f>Stored_C!E56</f>
        <v>0</v>
      </c>
      <c r="D50" s="509">
        <f>Stored_C!F56+Stored_C!L56</f>
        <v>0</v>
      </c>
      <c r="E50" s="510">
        <f>Stored_C!G56+Stored_C!M56</f>
        <v>0</v>
      </c>
      <c r="F50" s="511">
        <f>F49+HWP!C50</f>
        <v>0</v>
      </c>
      <c r="G50" s="509">
        <f>G49+HWP!D50</f>
        <v>8.1602147862681615</v>
      </c>
      <c r="H50" s="510">
        <f>H49+HWP!E50</f>
        <v>0</v>
      </c>
      <c r="I50" s="493"/>
      <c r="J50" s="512">
        <f>Garden!J57</f>
        <v>0</v>
      </c>
      <c r="K50" s="513">
        <f>Paper!J57</f>
        <v>2.9647135479280991E-2</v>
      </c>
      <c r="L50" s="514">
        <f>Wood!J57</f>
        <v>0</v>
      </c>
      <c r="M50" s="515">
        <f>J50*(1-Recovery_OX!E50)*(1-Recovery_OX!F50)</f>
        <v>0</v>
      </c>
      <c r="N50" s="513">
        <f>K50*(1-Recovery_OX!E50)*(1-Recovery_OX!F50)</f>
        <v>2.9647135479280991E-2</v>
      </c>
      <c r="O50" s="514">
        <f>L50*(1-Recovery_OX!E50)*(1-Recovery_OX!F50)</f>
        <v>0</v>
      </c>
    </row>
    <row r="51" spans="2:15">
      <c r="B51" s="507">
        <f t="shared" si="0"/>
        <v>1989</v>
      </c>
      <c r="C51" s="508">
        <f>Stored_C!E57</f>
        <v>0</v>
      </c>
      <c r="D51" s="509">
        <f>Stored_C!F57+Stored_C!L57</f>
        <v>0</v>
      </c>
      <c r="E51" s="510">
        <f>Stored_C!G57+Stored_C!M57</f>
        <v>0</v>
      </c>
      <c r="F51" s="511">
        <f>F50+HWP!C51</f>
        <v>0</v>
      </c>
      <c r="G51" s="509">
        <f>G50+HWP!D51</f>
        <v>8.1602147862681615</v>
      </c>
      <c r="H51" s="510">
        <f>H50+HWP!E51</f>
        <v>0</v>
      </c>
      <c r="I51" s="493"/>
      <c r="J51" s="512">
        <f>Garden!J58</f>
        <v>0</v>
      </c>
      <c r="K51" s="513">
        <f>Paper!J58</f>
        <v>2.7642805898795971E-2</v>
      </c>
      <c r="L51" s="514">
        <f>Wood!J58</f>
        <v>0</v>
      </c>
      <c r="M51" s="515">
        <f>J51*(1-Recovery_OX!E51)*(1-Recovery_OX!F51)</f>
        <v>0</v>
      </c>
      <c r="N51" s="513">
        <f>K51*(1-Recovery_OX!E51)*(1-Recovery_OX!F51)</f>
        <v>2.7642805898795971E-2</v>
      </c>
      <c r="O51" s="514">
        <f>L51*(1-Recovery_OX!E51)*(1-Recovery_OX!F51)</f>
        <v>0</v>
      </c>
    </row>
    <row r="52" spans="2:15">
      <c r="B52" s="507">
        <f t="shared" si="0"/>
        <v>1990</v>
      </c>
      <c r="C52" s="508">
        <f>Stored_C!E58</f>
        <v>0</v>
      </c>
      <c r="D52" s="509">
        <f>Stored_C!F58+Stored_C!L58</f>
        <v>0</v>
      </c>
      <c r="E52" s="510">
        <f>Stored_C!G58+Stored_C!M58</f>
        <v>0</v>
      </c>
      <c r="F52" s="511">
        <f>F51+HWP!C52</f>
        <v>0</v>
      </c>
      <c r="G52" s="509">
        <f>G51+HWP!D52</f>
        <v>8.1602147862681615</v>
      </c>
      <c r="H52" s="510">
        <f>H51+HWP!E52</f>
        <v>0</v>
      </c>
      <c r="I52" s="493"/>
      <c r="J52" s="512">
        <f>Garden!J59</f>
        <v>0</v>
      </c>
      <c r="K52" s="513">
        <f>Paper!J59</f>
        <v>2.5773981384897057E-2</v>
      </c>
      <c r="L52" s="514">
        <f>Wood!J59</f>
        <v>0</v>
      </c>
      <c r="M52" s="515">
        <f>J52*(1-Recovery_OX!E52)*(1-Recovery_OX!F52)</f>
        <v>0</v>
      </c>
      <c r="N52" s="513">
        <f>K52*(1-Recovery_OX!E52)*(1-Recovery_OX!F52)</f>
        <v>2.5773981384897057E-2</v>
      </c>
      <c r="O52" s="514">
        <f>L52*(1-Recovery_OX!E52)*(1-Recovery_OX!F52)</f>
        <v>0</v>
      </c>
    </row>
    <row r="53" spans="2:15">
      <c r="B53" s="507">
        <f t="shared" si="0"/>
        <v>1991</v>
      </c>
      <c r="C53" s="508">
        <f>Stored_C!E59</f>
        <v>0</v>
      </c>
      <c r="D53" s="509">
        <f>Stored_C!F59+Stored_C!L59</f>
        <v>0</v>
      </c>
      <c r="E53" s="510">
        <f>Stored_C!G59+Stored_C!M59</f>
        <v>0</v>
      </c>
      <c r="F53" s="511">
        <f>F52+HWP!C53</f>
        <v>0</v>
      </c>
      <c r="G53" s="509">
        <f>G52+HWP!D53</f>
        <v>8.1602147862681615</v>
      </c>
      <c r="H53" s="510">
        <f>H52+HWP!E53</f>
        <v>0</v>
      </c>
      <c r="I53" s="493"/>
      <c r="J53" s="512">
        <f>Garden!J60</f>
        <v>0</v>
      </c>
      <c r="K53" s="513">
        <f>Paper!J60</f>
        <v>2.4031500957648968E-2</v>
      </c>
      <c r="L53" s="514">
        <f>Wood!J60</f>
        <v>0</v>
      </c>
      <c r="M53" s="515">
        <f>J53*(1-Recovery_OX!E53)*(1-Recovery_OX!F53)</f>
        <v>0</v>
      </c>
      <c r="N53" s="513">
        <f>K53*(1-Recovery_OX!E53)*(1-Recovery_OX!F53)</f>
        <v>2.4031500957648968E-2</v>
      </c>
      <c r="O53" s="514">
        <f>L53*(1-Recovery_OX!E53)*(1-Recovery_OX!F53)</f>
        <v>0</v>
      </c>
    </row>
    <row r="54" spans="2:15">
      <c r="B54" s="507">
        <f t="shared" si="0"/>
        <v>1992</v>
      </c>
      <c r="C54" s="508">
        <f>Stored_C!E60</f>
        <v>0</v>
      </c>
      <c r="D54" s="509">
        <f>Stored_C!F60+Stored_C!L60</f>
        <v>0</v>
      </c>
      <c r="E54" s="510">
        <f>Stored_C!G60+Stored_C!M60</f>
        <v>0</v>
      </c>
      <c r="F54" s="511">
        <f>F53+HWP!C54</f>
        <v>0</v>
      </c>
      <c r="G54" s="509">
        <f>G53+HWP!D54</f>
        <v>8.1602147862681615</v>
      </c>
      <c r="H54" s="510">
        <f>H53+HWP!E54</f>
        <v>0</v>
      </c>
      <c r="I54" s="493"/>
      <c r="J54" s="512">
        <f>Garden!J61</f>
        <v>0</v>
      </c>
      <c r="K54" s="513">
        <f>Paper!J61</f>
        <v>2.2406822975975776E-2</v>
      </c>
      <c r="L54" s="514">
        <f>Wood!J61</f>
        <v>0</v>
      </c>
      <c r="M54" s="515">
        <f>J54*(1-Recovery_OX!E54)*(1-Recovery_OX!F54)</f>
        <v>0</v>
      </c>
      <c r="N54" s="513">
        <f>K54*(1-Recovery_OX!E54)*(1-Recovery_OX!F54)</f>
        <v>2.2406822975975776E-2</v>
      </c>
      <c r="O54" s="514">
        <f>L54*(1-Recovery_OX!E54)*(1-Recovery_OX!F54)</f>
        <v>0</v>
      </c>
    </row>
    <row r="55" spans="2:15">
      <c r="B55" s="507">
        <f t="shared" si="0"/>
        <v>1993</v>
      </c>
      <c r="C55" s="508">
        <f>Stored_C!E61</f>
        <v>0</v>
      </c>
      <c r="D55" s="509">
        <f>Stored_C!F61+Stored_C!L61</f>
        <v>0</v>
      </c>
      <c r="E55" s="510">
        <f>Stored_C!G61+Stored_C!M61</f>
        <v>0</v>
      </c>
      <c r="F55" s="511">
        <f>F54+HWP!C55</f>
        <v>0</v>
      </c>
      <c r="G55" s="509">
        <f>G54+HWP!D55</f>
        <v>8.1602147862681615</v>
      </c>
      <c r="H55" s="510">
        <f>H54+HWP!E55</f>
        <v>0</v>
      </c>
      <c r="I55" s="493"/>
      <c r="J55" s="512">
        <f>Garden!J62</f>
        <v>0</v>
      </c>
      <c r="K55" s="513">
        <f>Paper!J62</f>
        <v>2.0891983266526422E-2</v>
      </c>
      <c r="L55" s="514">
        <f>Wood!J62</f>
        <v>0</v>
      </c>
      <c r="M55" s="515">
        <f>J55*(1-Recovery_OX!E55)*(1-Recovery_OX!F55)</f>
        <v>0</v>
      </c>
      <c r="N55" s="513">
        <f>K55*(1-Recovery_OX!E55)*(1-Recovery_OX!F55)</f>
        <v>2.0891983266526422E-2</v>
      </c>
      <c r="O55" s="514">
        <f>L55*(1-Recovery_OX!E55)*(1-Recovery_OX!F55)</f>
        <v>0</v>
      </c>
    </row>
    <row r="56" spans="2:15">
      <c r="B56" s="507">
        <f t="shared" si="0"/>
        <v>1994</v>
      </c>
      <c r="C56" s="508">
        <f>Stored_C!E62</f>
        <v>0</v>
      </c>
      <c r="D56" s="509">
        <f>Stored_C!F62+Stored_C!L62</f>
        <v>0</v>
      </c>
      <c r="E56" s="510">
        <f>Stored_C!G62+Stored_C!M62</f>
        <v>0</v>
      </c>
      <c r="F56" s="511">
        <f>F55+HWP!C56</f>
        <v>0</v>
      </c>
      <c r="G56" s="509">
        <f>G55+HWP!D56</f>
        <v>8.1602147862681615</v>
      </c>
      <c r="H56" s="510">
        <f>H55+HWP!E56</f>
        <v>0</v>
      </c>
      <c r="I56" s="493"/>
      <c r="J56" s="512">
        <f>Garden!J63</f>
        <v>0</v>
      </c>
      <c r="K56" s="513">
        <f>Paper!J63</f>
        <v>1.9479556083287723E-2</v>
      </c>
      <c r="L56" s="514">
        <f>Wood!J63</f>
        <v>0</v>
      </c>
      <c r="M56" s="515">
        <f>J56*(1-Recovery_OX!E56)*(1-Recovery_OX!F56)</f>
        <v>0</v>
      </c>
      <c r="N56" s="513">
        <f>K56*(1-Recovery_OX!E56)*(1-Recovery_OX!F56)</f>
        <v>1.9479556083287723E-2</v>
      </c>
      <c r="O56" s="514">
        <f>L56*(1-Recovery_OX!E56)*(1-Recovery_OX!F56)</f>
        <v>0</v>
      </c>
    </row>
    <row r="57" spans="2:15">
      <c r="B57" s="507">
        <f t="shared" si="0"/>
        <v>1995</v>
      </c>
      <c r="C57" s="508">
        <f>Stored_C!E63</f>
        <v>0</v>
      </c>
      <c r="D57" s="509">
        <f>Stored_C!F63+Stored_C!L63</f>
        <v>0</v>
      </c>
      <c r="E57" s="510">
        <f>Stored_C!G63+Stored_C!M63</f>
        <v>0</v>
      </c>
      <c r="F57" s="511">
        <f>F56+HWP!C57</f>
        <v>0</v>
      </c>
      <c r="G57" s="509">
        <f>G56+HWP!D57</f>
        <v>8.1602147862681615</v>
      </c>
      <c r="H57" s="510">
        <f>H56+HWP!E57</f>
        <v>0</v>
      </c>
      <c r="I57" s="493"/>
      <c r="J57" s="512">
        <f>Garden!J64</f>
        <v>0</v>
      </c>
      <c r="K57" s="513">
        <f>Paper!J64</f>
        <v>1.8162617706568792E-2</v>
      </c>
      <c r="L57" s="514">
        <f>Wood!J64</f>
        <v>0</v>
      </c>
      <c r="M57" s="515">
        <f>J57*(1-Recovery_OX!E57)*(1-Recovery_OX!F57)</f>
        <v>0</v>
      </c>
      <c r="N57" s="513">
        <f>K57*(1-Recovery_OX!E57)*(1-Recovery_OX!F57)</f>
        <v>1.8162617706568792E-2</v>
      </c>
      <c r="O57" s="514">
        <f>L57*(1-Recovery_OX!E57)*(1-Recovery_OX!F57)</f>
        <v>0</v>
      </c>
    </row>
    <row r="58" spans="2:15">
      <c r="B58" s="507">
        <f t="shared" si="0"/>
        <v>1996</v>
      </c>
      <c r="C58" s="508">
        <f>Stored_C!E64</f>
        <v>0</v>
      </c>
      <c r="D58" s="509">
        <f>Stored_C!F64+Stored_C!L64</f>
        <v>0</v>
      </c>
      <c r="E58" s="510">
        <f>Stored_C!G64+Stored_C!M64</f>
        <v>0</v>
      </c>
      <c r="F58" s="511">
        <f>F57+HWP!C58</f>
        <v>0</v>
      </c>
      <c r="G58" s="509">
        <f>G57+HWP!D58</f>
        <v>8.1602147862681615</v>
      </c>
      <c r="H58" s="510">
        <f>H57+HWP!E58</f>
        <v>0</v>
      </c>
      <c r="I58" s="493"/>
      <c r="J58" s="512">
        <f>Garden!J65</f>
        <v>0</v>
      </c>
      <c r="K58" s="513">
        <f>Paper!J65</f>
        <v>1.6934712502919089E-2</v>
      </c>
      <c r="L58" s="514">
        <f>Wood!J65</f>
        <v>0</v>
      </c>
      <c r="M58" s="515">
        <f>J58*(1-Recovery_OX!E58)*(1-Recovery_OX!F58)</f>
        <v>0</v>
      </c>
      <c r="N58" s="513">
        <f>K58*(1-Recovery_OX!E58)*(1-Recovery_OX!F58)</f>
        <v>1.6934712502919089E-2</v>
      </c>
      <c r="O58" s="514">
        <f>L58*(1-Recovery_OX!E58)*(1-Recovery_OX!F58)</f>
        <v>0</v>
      </c>
    </row>
    <row r="59" spans="2:15">
      <c r="B59" s="507">
        <f t="shared" si="0"/>
        <v>1997</v>
      </c>
      <c r="C59" s="508">
        <f>Stored_C!E65</f>
        <v>0</v>
      </c>
      <c r="D59" s="509">
        <f>Stored_C!F65+Stored_C!L65</f>
        <v>0</v>
      </c>
      <c r="E59" s="510">
        <f>Stored_C!G65+Stored_C!M65</f>
        <v>0</v>
      </c>
      <c r="F59" s="511">
        <f>F58+HWP!C59</f>
        <v>0</v>
      </c>
      <c r="G59" s="509">
        <f>G58+HWP!D59</f>
        <v>8.1602147862681615</v>
      </c>
      <c r="H59" s="510">
        <f>H58+HWP!E59</f>
        <v>0</v>
      </c>
      <c r="I59" s="493"/>
      <c r="J59" s="512">
        <f>Garden!J66</f>
        <v>0</v>
      </c>
      <c r="K59" s="513">
        <f>Paper!J66</f>
        <v>1.5789821279605751E-2</v>
      </c>
      <c r="L59" s="514">
        <f>Wood!J66</f>
        <v>0</v>
      </c>
      <c r="M59" s="515">
        <f>J59*(1-Recovery_OX!E59)*(1-Recovery_OX!F59)</f>
        <v>0</v>
      </c>
      <c r="N59" s="513">
        <f>K59*(1-Recovery_OX!E59)*(1-Recovery_OX!F59)</f>
        <v>1.5789821279605751E-2</v>
      </c>
      <c r="O59" s="514">
        <f>L59*(1-Recovery_OX!E59)*(1-Recovery_OX!F59)</f>
        <v>0</v>
      </c>
    </row>
    <row r="60" spans="2:15">
      <c r="B60" s="507">
        <f t="shared" si="0"/>
        <v>1998</v>
      </c>
      <c r="C60" s="508">
        <f>Stored_C!E66</f>
        <v>0</v>
      </c>
      <c r="D60" s="509">
        <f>Stored_C!F66+Stored_C!L66</f>
        <v>0</v>
      </c>
      <c r="E60" s="510">
        <f>Stored_C!G66+Stored_C!M66</f>
        <v>0</v>
      </c>
      <c r="F60" s="511">
        <f>F59+HWP!C60</f>
        <v>0</v>
      </c>
      <c r="G60" s="509">
        <f>G59+HWP!D60</f>
        <v>8.1602147862681615</v>
      </c>
      <c r="H60" s="510">
        <f>H59+HWP!E60</f>
        <v>0</v>
      </c>
      <c r="I60" s="493"/>
      <c r="J60" s="512">
        <f>Garden!J67</f>
        <v>0</v>
      </c>
      <c r="K60" s="513">
        <f>Paper!J67</f>
        <v>1.4722331778523834E-2</v>
      </c>
      <c r="L60" s="514">
        <f>Wood!J67</f>
        <v>0</v>
      </c>
      <c r="M60" s="515">
        <f>J60*(1-Recovery_OX!E60)*(1-Recovery_OX!F60)</f>
        <v>0</v>
      </c>
      <c r="N60" s="513">
        <f>K60*(1-Recovery_OX!E60)*(1-Recovery_OX!F60)</f>
        <v>1.4722331778523834E-2</v>
      </c>
      <c r="O60" s="514">
        <f>L60*(1-Recovery_OX!E60)*(1-Recovery_OX!F60)</f>
        <v>0</v>
      </c>
    </row>
    <row r="61" spans="2:15">
      <c r="B61" s="507">
        <f t="shared" si="0"/>
        <v>1999</v>
      </c>
      <c r="C61" s="508">
        <f>Stored_C!E67</f>
        <v>0</v>
      </c>
      <c r="D61" s="509">
        <f>Stored_C!F67+Stored_C!L67</f>
        <v>0</v>
      </c>
      <c r="E61" s="510">
        <f>Stored_C!G67+Stored_C!M67</f>
        <v>0</v>
      </c>
      <c r="F61" s="511">
        <f>F60+HWP!C61</f>
        <v>0</v>
      </c>
      <c r="G61" s="509">
        <f>G60+HWP!D61</f>
        <v>8.1602147862681615</v>
      </c>
      <c r="H61" s="510">
        <f>H60+HWP!E61</f>
        <v>0</v>
      </c>
      <c r="I61" s="493"/>
      <c r="J61" s="512">
        <f>Garden!J68</f>
        <v>0</v>
      </c>
      <c r="K61" s="513">
        <f>Paper!J68</f>
        <v>1.3727011164900571E-2</v>
      </c>
      <c r="L61" s="514">
        <f>Wood!J68</f>
        <v>0</v>
      </c>
      <c r="M61" s="515">
        <f>J61*(1-Recovery_OX!E61)*(1-Recovery_OX!F61)</f>
        <v>0</v>
      </c>
      <c r="N61" s="513">
        <f>K61*(1-Recovery_OX!E61)*(1-Recovery_OX!F61)</f>
        <v>1.3727011164900571E-2</v>
      </c>
      <c r="O61" s="514">
        <f>L61*(1-Recovery_OX!E61)*(1-Recovery_OX!F61)</f>
        <v>0</v>
      </c>
    </row>
    <row r="62" spans="2:15">
      <c r="B62" s="507">
        <f t="shared" si="0"/>
        <v>2000</v>
      </c>
      <c r="C62" s="508">
        <f>Stored_C!E68</f>
        <v>0</v>
      </c>
      <c r="D62" s="509">
        <f>Stored_C!F68+Stored_C!L68</f>
        <v>0</v>
      </c>
      <c r="E62" s="510">
        <f>Stored_C!G68+Stored_C!M68</f>
        <v>0</v>
      </c>
      <c r="F62" s="511">
        <f>F61+HWP!C62</f>
        <v>0</v>
      </c>
      <c r="G62" s="509">
        <f>G61+HWP!D62</f>
        <v>8.1602147862681615</v>
      </c>
      <c r="H62" s="510">
        <f>H61+HWP!E62</f>
        <v>0</v>
      </c>
      <c r="I62" s="493"/>
      <c r="J62" s="512">
        <f>Garden!J69</f>
        <v>0</v>
      </c>
      <c r="K62" s="513">
        <f>Paper!J69</f>
        <v>1.2798980375933244E-2</v>
      </c>
      <c r="L62" s="514">
        <f>Wood!J69</f>
        <v>0</v>
      </c>
      <c r="M62" s="515">
        <f>J62*(1-Recovery_OX!E62)*(1-Recovery_OX!F62)</f>
        <v>0</v>
      </c>
      <c r="N62" s="513">
        <f>K62*(1-Recovery_OX!E62)*(1-Recovery_OX!F62)</f>
        <v>1.2798980375933244E-2</v>
      </c>
      <c r="O62" s="514">
        <f>L62*(1-Recovery_OX!E62)*(1-Recovery_OX!F62)</f>
        <v>0</v>
      </c>
    </row>
    <row r="63" spans="2:15">
      <c r="B63" s="507">
        <f t="shared" si="0"/>
        <v>2001</v>
      </c>
      <c r="C63" s="508">
        <f>Stored_C!E69</f>
        <v>0</v>
      </c>
      <c r="D63" s="509">
        <f>Stored_C!F69+Stored_C!L69</f>
        <v>0</v>
      </c>
      <c r="E63" s="510">
        <f>Stored_C!G69+Stored_C!M69</f>
        <v>0</v>
      </c>
      <c r="F63" s="511">
        <f>F62+HWP!C63</f>
        <v>0</v>
      </c>
      <c r="G63" s="509">
        <f>G62+HWP!D63</f>
        <v>8.1602147862681615</v>
      </c>
      <c r="H63" s="510">
        <f>H62+HWP!E63</f>
        <v>0</v>
      </c>
      <c r="I63" s="493"/>
      <c r="J63" s="512">
        <f>Garden!J70</f>
        <v>0</v>
      </c>
      <c r="K63" s="513">
        <f>Paper!J70</f>
        <v>1.1933690203617666E-2</v>
      </c>
      <c r="L63" s="514">
        <f>Wood!J70</f>
        <v>0</v>
      </c>
      <c r="M63" s="515">
        <f>J63*(1-Recovery_OX!E63)*(1-Recovery_OX!F63)</f>
        <v>0</v>
      </c>
      <c r="N63" s="513">
        <f>K63*(1-Recovery_OX!E63)*(1-Recovery_OX!F63)</f>
        <v>1.1933690203617666E-2</v>
      </c>
      <c r="O63" s="514">
        <f>L63*(1-Recovery_OX!E63)*(1-Recovery_OX!F63)</f>
        <v>0</v>
      </c>
    </row>
    <row r="64" spans="2:15">
      <c r="B64" s="507">
        <f t="shared" si="0"/>
        <v>2002</v>
      </c>
      <c r="C64" s="508">
        <f>Stored_C!E70</f>
        <v>0</v>
      </c>
      <c r="D64" s="509">
        <f>Stored_C!F70+Stored_C!L70</f>
        <v>0</v>
      </c>
      <c r="E64" s="510">
        <f>Stored_C!G70+Stored_C!M70</f>
        <v>0</v>
      </c>
      <c r="F64" s="511">
        <f>F63+HWP!C64</f>
        <v>0</v>
      </c>
      <c r="G64" s="509">
        <f>G63+HWP!D64</f>
        <v>8.1602147862681615</v>
      </c>
      <c r="H64" s="510">
        <f>H63+HWP!E64</f>
        <v>0</v>
      </c>
      <c r="I64" s="493"/>
      <c r="J64" s="512">
        <f>Garden!J71</f>
        <v>0</v>
      </c>
      <c r="K64" s="513">
        <f>Paper!J71</f>
        <v>1.1126898994525269E-2</v>
      </c>
      <c r="L64" s="514">
        <f>Wood!J71</f>
        <v>0</v>
      </c>
      <c r="M64" s="515">
        <f>J64*(1-Recovery_OX!E64)*(1-Recovery_OX!F64)</f>
        <v>0</v>
      </c>
      <c r="N64" s="513">
        <f>K64*(1-Recovery_OX!E64)*(1-Recovery_OX!F64)</f>
        <v>1.1126898994525269E-2</v>
      </c>
      <c r="O64" s="514">
        <f>L64*(1-Recovery_OX!E64)*(1-Recovery_OX!F64)</f>
        <v>0</v>
      </c>
    </row>
    <row r="65" spans="2:15">
      <c r="B65" s="507">
        <f t="shared" si="0"/>
        <v>2003</v>
      </c>
      <c r="C65" s="508">
        <f>Stored_C!E71</f>
        <v>0</v>
      </c>
      <c r="D65" s="509">
        <f>Stored_C!F71+Stored_C!L71</f>
        <v>0</v>
      </c>
      <c r="E65" s="510">
        <f>Stored_C!G71+Stored_C!M71</f>
        <v>0</v>
      </c>
      <c r="F65" s="511">
        <f>F64+HWP!C65</f>
        <v>0</v>
      </c>
      <c r="G65" s="509">
        <f>G64+HWP!D65</f>
        <v>8.1602147862681615</v>
      </c>
      <c r="H65" s="510">
        <f>H64+HWP!E65</f>
        <v>0</v>
      </c>
      <c r="I65" s="493"/>
      <c r="J65" s="512">
        <f>Garden!J72</f>
        <v>0</v>
      </c>
      <c r="K65" s="513">
        <f>Paper!J72</f>
        <v>1.0374651857213072E-2</v>
      </c>
      <c r="L65" s="514">
        <f>Wood!J72</f>
        <v>0</v>
      </c>
      <c r="M65" s="515">
        <f>J65*(1-Recovery_OX!E65)*(1-Recovery_OX!F65)</f>
        <v>0</v>
      </c>
      <c r="N65" s="513">
        <f>K65*(1-Recovery_OX!E65)*(1-Recovery_OX!F65)</f>
        <v>1.0374651857213072E-2</v>
      </c>
      <c r="O65" s="514">
        <f>L65*(1-Recovery_OX!E65)*(1-Recovery_OX!F65)</f>
        <v>0</v>
      </c>
    </row>
    <row r="66" spans="2:15">
      <c r="B66" s="507">
        <f t="shared" si="0"/>
        <v>2004</v>
      </c>
      <c r="C66" s="508">
        <f>Stored_C!E72</f>
        <v>0</v>
      </c>
      <c r="D66" s="509">
        <f>Stored_C!F72+Stored_C!L72</f>
        <v>0</v>
      </c>
      <c r="E66" s="510">
        <f>Stored_C!G72+Stored_C!M72</f>
        <v>0</v>
      </c>
      <c r="F66" s="511">
        <f>F65+HWP!C66</f>
        <v>0</v>
      </c>
      <c r="G66" s="509">
        <f>G65+HWP!D66</f>
        <v>8.1602147862681615</v>
      </c>
      <c r="H66" s="510">
        <f>H65+HWP!E66</f>
        <v>0</v>
      </c>
      <c r="I66" s="493"/>
      <c r="J66" s="512">
        <f>Garden!J73</f>
        <v>0</v>
      </c>
      <c r="K66" s="513">
        <f>Paper!J73</f>
        <v>9.6732612753412366E-3</v>
      </c>
      <c r="L66" s="514">
        <f>Wood!J73</f>
        <v>0</v>
      </c>
      <c r="M66" s="515">
        <f>J66*(1-Recovery_OX!E66)*(1-Recovery_OX!F66)</f>
        <v>0</v>
      </c>
      <c r="N66" s="513">
        <f>K66*(1-Recovery_OX!E66)*(1-Recovery_OX!F66)</f>
        <v>9.6732612753412366E-3</v>
      </c>
      <c r="O66" s="514">
        <f>L66*(1-Recovery_OX!E66)*(1-Recovery_OX!F66)</f>
        <v>0</v>
      </c>
    </row>
    <row r="67" spans="2:15">
      <c r="B67" s="507">
        <f t="shared" si="0"/>
        <v>2005</v>
      </c>
      <c r="C67" s="508">
        <f>Stored_C!E73</f>
        <v>0</v>
      </c>
      <c r="D67" s="509">
        <f>Stored_C!F73+Stored_C!L73</f>
        <v>0</v>
      </c>
      <c r="E67" s="510">
        <f>Stored_C!G73+Stored_C!M73</f>
        <v>0</v>
      </c>
      <c r="F67" s="511">
        <f>F66+HWP!C67</f>
        <v>0</v>
      </c>
      <c r="G67" s="509">
        <f>G66+HWP!D67</f>
        <v>8.1602147862681615</v>
      </c>
      <c r="H67" s="510">
        <f>H66+HWP!E67</f>
        <v>0</v>
      </c>
      <c r="I67" s="493"/>
      <c r="J67" s="512">
        <f>Garden!J74</f>
        <v>0</v>
      </c>
      <c r="K67" s="513">
        <f>Paper!J74</f>
        <v>9.0192890314637012E-3</v>
      </c>
      <c r="L67" s="514">
        <f>Wood!J74</f>
        <v>0</v>
      </c>
      <c r="M67" s="515">
        <f>J67*(1-Recovery_OX!E67)*(1-Recovery_OX!F67)</f>
        <v>0</v>
      </c>
      <c r="N67" s="513">
        <f>K67*(1-Recovery_OX!E67)*(1-Recovery_OX!F67)</f>
        <v>9.0192890314637012E-3</v>
      </c>
      <c r="O67" s="514">
        <f>L67*(1-Recovery_OX!E67)*(1-Recovery_OX!F67)</f>
        <v>0</v>
      </c>
    </row>
    <row r="68" spans="2:15">
      <c r="B68" s="507">
        <f t="shared" si="0"/>
        <v>2006</v>
      </c>
      <c r="C68" s="508">
        <f>Stored_C!E74</f>
        <v>0</v>
      </c>
      <c r="D68" s="509">
        <f>Stored_C!F74+Stored_C!L74</f>
        <v>0</v>
      </c>
      <c r="E68" s="510">
        <f>Stored_C!G74+Stored_C!M74</f>
        <v>0</v>
      </c>
      <c r="F68" s="511">
        <f>F67+HWP!C68</f>
        <v>0</v>
      </c>
      <c r="G68" s="509">
        <f>G67+HWP!D68</f>
        <v>8.1602147862681615</v>
      </c>
      <c r="H68" s="510">
        <f>H67+HWP!E68</f>
        <v>0</v>
      </c>
      <c r="I68" s="493"/>
      <c r="J68" s="512">
        <f>Garden!J75</f>
        <v>0</v>
      </c>
      <c r="K68" s="513">
        <f>Paper!J75</f>
        <v>8.4095293528822605E-3</v>
      </c>
      <c r="L68" s="514">
        <f>Wood!J75</f>
        <v>0</v>
      </c>
      <c r="M68" s="515">
        <f>J68*(1-Recovery_OX!E68)*(1-Recovery_OX!F68)</f>
        <v>0</v>
      </c>
      <c r="N68" s="513">
        <f>K68*(1-Recovery_OX!E68)*(1-Recovery_OX!F68)</f>
        <v>8.4095293528822605E-3</v>
      </c>
      <c r="O68" s="514">
        <f>L68*(1-Recovery_OX!E68)*(1-Recovery_OX!F68)</f>
        <v>0</v>
      </c>
    </row>
    <row r="69" spans="2:15">
      <c r="B69" s="507">
        <f t="shared" si="0"/>
        <v>2007</v>
      </c>
      <c r="C69" s="508">
        <f>Stored_C!E75</f>
        <v>0</v>
      </c>
      <c r="D69" s="509">
        <f>Stored_C!F75+Stored_C!L75</f>
        <v>0</v>
      </c>
      <c r="E69" s="510">
        <f>Stored_C!G75+Stored_C!M75</f>
        <v>0</v>
      </c>
      <c r="F69" s="511">
        <f>F68+HWP!C69</f>
        <v>0</v>
      </c>
      <c r="G69" s="509">
        <f>G68+HWP!D69</f>
        <v>8.1602147862681615</v>
      </c>
      <c r="H69" s="510">
        <f>H68+HWP!E69</f>
        <v>0</v>
      </c>
      <c r="I69" s="493"/>
      <c r="J69" s="512">
        <f>Garden!J76</f>
        <v>0</v>
      </c>
      <c r="K69" s="513">
        <f>Paper!J76</f>
        <v>7.8409931969450879E-3</v>
      </c>
      <c r="L69" s="514">
        <f>Wood!J76</f>
        <v>0</v>
      </c>
      <c r="M69" s="515">
        <f>J69*(1-Recovery_OX!E69)*(1-Recovery_OX!F69)</f>
        <v>0</v>
      </c>
      <c r="N69" s="513">
        <f>K69*(1-Recovery_OX!E69)*(1-Recovery_OX!F69)</f>
        <v>7.8409931969450879E-3</v>
      </c>
      <c r="O69" s="514">
        <f>L69*(1-Recovery_OX!E69)*(1-Recovery_OX!F69)</f>
        <v>0</v>
      </c>
    </row>
    <row r="70" spans="2:15">
      <c r="B70" s="507">
        <f t="shared" si="0"/>
        <v>2008</v>
      </c>
      <c r="C70" s="508">
        <f>Stored_C!E76</f>
        <v>0</v>
      </c>
      <c r="D70" s="509">
        <f>Stored_C!F76+Stored_C!L76</f>
        <v>0</v>
      </c>
      <c r="E70" s="510">
        <f>Stored_C!G76+Stored_C!M76</f>
        <v>0</v>
      </c>
      <c r="F70" s="511">
        <f>F69+HWP!C70</f>
        <v>0</v>
      </c>
      <c r="G70" s="509">
        <f>G69+HWP!D70</f>
        <v>8.1602147862681615</v>
      </c>
      <c r="H70" s="510">
        <f>H69+HWP!E70</f>
        <v>0</v>
      </c>
      <c r="I70" s="493"/>
      <c r="J70" s="512">
        <f>Garden!J77</f>
        <v>0</v>
      </c>
      <c r="K70" s="513">
        <f>Paper!J77</f>
        <v>7.3108935987561833E-3</v>
      </c>
      <c r="L70" s="514">
        <f>Wood!J77</f>
        <v>0</v>
      </c>
      <c r="M70" s="515">
        <f>J70*(1-Recovery_OX!E70)*(1-Recovery_OX!F70)</f>
        <v>0</v>
      </c>
      <c r="N70" s="513">
        <f>K70*(1-Recovery_OX!E70)*(1-Recovery_OX!F70)</f>
        <v>7.3108935987561833E-3</v>
      </c>
      <c r="O70" s="514">
        <f>L70*(1-Recovery_OX!E70)*(1-Recovery_OX!F70)</f>
        <v>0</v>
      </c>
    </row>
    <row r="71" spans="2:15">
      <c r="B71" s="507">
        <f t="shared" si="0"/>
        <v>2009</v>
      </c>
      <c r="C71" s="508">
        <f>Stored_C!E77</f>
        <v>0</v>
      </c>
      <c r="D71" s="509">
        <f>Stored_C!F77+Stored_C!L77</f>
        <v>0</v>
      </c>
      <c r="E71" s="510">
        <f>Stored_C!G77+Stored_C!M77</f>
        <v>0</v>
      </c>
      <c r="F71" s="511">
        <f>F70+HWP!C71</f>
        <v>0</v>
      </c>
      <c r="G71" s="509">
        <f>G70+HWP!D71</f>
        <v>8.1602147862681615</v>
      </c>
      <c r="H71" s="510">
        <f>H70+HWP!E71</f>
        <v>0</v>
      </c>
      <c r="I71" s="493"/>
      <c r="J71" s="512">
        <f>Garden!J78</f>
        <v>0</v>
      </c>
      <c r="K71" s="513">
        <f>Paper!J78</f>
        <v>6.8166320094702228E-3</v>
      </c>
      <c r="L71" s="514">
        <f>Wood!J78</f>
        <v>0</v>
      </c>
      <c r="M71" s="515">
        <f>J71*(1-Recovery_OX!E71)*(1-Recovery_OX!F71)</f>
        <v>0</v>
      </c>
      <c r="N71" s="513">
        <f>K71*(1-Recovery_OX!E71)*(1-Recovery_OX!F71)</f>
        <v>6.8166320094702228E-3</v>
      </c>
      <c r="O71" s="514">
        <f>L71*(1-Recovery_OX!E71)*(1-Recovery_OX!F71)</f>
        <v>0</v>
      </c>
    </row>
    <row r="72" spans="2:15">
      <c r="B72" s="507">
        <f t="shared" si="0"/>
        <v>2010</v>
      </c>
      <c r="C72" s="508">
        <f>Stored_C!E78</f>
        <v>0</v>
      </c>
      <c r="D72" s="509">
        <f>Stored_C!F78+Stored_C!L78</f>
        <v>0</v>
      </c>
      <c r="E72" s="510">
        <f>Stored_C!G78+Stored_C!M78</f>
        <v>0</v>
      </c>
      <c r="F72" s="511">
        <f>F71+HWP!C72</f>
        <v>0</v>
      </c>
      <c r="G72" s="509">
        <f>G71+HWP!D72</f>
        <v>8.1602147862681615</v>
      </c>
      <c r="H72" s="510">
        <f>H71+HWP!E72</f>
        <v>0</v>
      </c>
      <c r="I72" s="493"/>
      <c r="J72" s="512">
        <f>Garden!J79</f>
        <v>0</v>
      </c>
      <c r="K72" s="513">
        <f>Paper!J79</f>
        <v>6.355785558203101E-3</v>
      </c>
      <c r="L72" s="514">
        <f>Wood!J79</f>
        <v>0</v>
      </c>
      <c r="M72" s="515">
        <f>J72*(1-Recovery_OX!E72)*(1-Recovery_OX!F72)</f>
        <v>0</v>
      </c>
      <c r="N72" s="513">
        <f>K72*(1-Recovery_OX!E72)*(1-Recovery_OX!F72)</f>
        <v>6.355785558203101E-3</v>
      </c>
      <c r="O72" s="514">
        <f>L72*(1-Recovery_OX!E72)*(1-Recovery_OX!F72)</f>
        <v>0</v>
      </c>
    </row>
    <row r="73" spans="2:15">
      <c r="B73" s="507">
        <f t="shared" si="0"/>
        <v>2011</v>
      </c>
      <c r="C73" s="508">
        <f>Stored_C!E79</f>
        <v>0</v>
      </c>
      <c r="D73" s="509">
        <f>Stored_C!F79+Stored_C!L79</f>
        <v>0</v>
      </c>
      <c r="E73" s="510">
        <f>Stored_C!G79+Stored_C!M79</f>
        <v>0</v>
      </c>
      <c r="F73" s="511">
        <f>F72+HWP!C73</f>
        <v>0</v>
      </c>
      <c r="G73" s="509">
        <f>G72+HWP!D73</f>
        <v>8.1602147862681615</v>
      </c>
      <c r="H73" s="510">
        <f>H72+HWP!E73</f>
        <v>0</v>
      </c>
      <c r="I73" s="493"/>
      <c r="J73" s="512">
        <f>Garden!J80</f>
        <v>0</v>
      </c>
      <c r="K73" s="513">
        <f>Paper!J80</f>
        <v>5.9260951751160494E-3</v>
      </c>
      <c r="L73" s="514">
        <f>Wood!J80</f>
        <v>0</v>
      </c>
      <c r="M73" s="515">
        <f>J73*(1-Recovery_OX!E73)*(1-Recovery_OX!F73)</f>
        <v>0</v>
      </c>
      <c r="N73" s="513">
        <f>K73*(1-Recovery_OX!E73)*(1-Recovery_OX!F73)</f>
        <v>5.9260951751160494E-3</v>
      </c>
      <c r="O73" s="514">
        <f>L73*(1-Recovery_OX!E73)*(1-Recovery_OX!F73)</f>
        <v>0</v>
      </c>
    </row>
    <row r="74" spans="2:15">
      <c r="B74" s="507">
        <f t="shared" si="0"/>
        <v>2012</v>
      </c>
      <c r="C74" s="508">
        <f>Stored_C!E80</f>
        <v>0</v>
      </c>
      <c r="D74" s="509">
        <f>Stored_C!F80+Stored_C!L80</f>
        <v>0</v>
      </c>
      <c r="E74" s="510">
        <f>Stored_C!G80+Stored_C!M80</f>
        <v>0</v>
      </c>
      <c r="F74" s="511">
        <f>F73+HWP!C74</f>
        <v>0</v>
      </c>
      <c r="G74" s="509">
        <f>G73+HWP!D74</f>
        <v>8.1602147862681615</v>
      </c>
      <c r="H74" s="510">
        <f>H73+HWP!E74</f>
        <v>0</v>
      </c>
      <c r="I74" s="493"/>
      <c r="J74" s="512">
        <f>Garden!J81</f>
        <v>0</v>
      </c>
      <c r="K74" s="513">
        <f>Paper!J81</f>
        <v>5.5254545174526623E-3</v>
      </c>
      <c r="L74" s="514">
        <f>Wood!J81</f>
        <v>0</v>
      </c>
      <c r="M74" s="515">
        <f>J74*(1-Recovery_OX!E74)*(1-Recovery_OX!F74)</f>
        <v>0</v>
      </c>
      <c r="N74" s="513">
        <f>K74*(1-Recovery_OX!E74)*(1-Recovery_OX!F74)</f>
        <v>5.5254545174526623E-3</v>
      </c>
      <c r="O74" s="514">
        <f>L74*(1-Recovery_OX!E74)*(1-Recovery_OX!F74)</f>
        <v>0</v>
      </c>
    </row>
    <row r="75" spans="2:15">
      <c r="B75" s="507">
        <f t="shared" si="0"/>
        <v>2013</v>
      </c>
      <c r="C75" s="508">
        <f>Stored_C!E81</f>
        <v>0</v>
      </c>
      <c r="D75" s="509">
        <f>Stored_C!F81+Stored_C!L81</f>
        <v>0</v>
      </c>
      <c r="E75" s="510">
        <f>Stored_C!G81+Stored_C!M81</f>
        <v>0</v>
      </c>
      <c r="F75" s="511">
        <f>F74+HWP!C75</f>
        <v>0</v>
      </c>
      <c r="G75" s="509">
        <f>G74+HWP!D75</f>
        <v>8.1602147862681615</v>
      </c>
      <c r="H75" s="510">
        <f>H74+HWP!E75</f>
        <v>0</v>
      </c>
      <c r="I75" s="493"/>
      <c r="J75" s="512">
        <f>Garden!J82</f>
        <v>0</v>
      </c>
      <c r="K75" s="513">
        <f>Paper!J82</f>
        <v>5.1518996442442662E-3</v>
      </c>
      <c r="L75" s="514">
        <f>Wood!J82</f>
        <v>0</v>
      </c>
      <c r="M75" s="515">
        <f>J75*(1-Recovery_OX!E75)*(1-Recovery_OX!F75)</f>
        <v>0</v>
      </c>
      <c r="N75" s="513">
        <f>K75*(1-Recovery_OX!E75)*(1-Recovery_OX!F75)</f>
        <v>5.1518996442442662E-3</v>
      </c>
      <c r="O75" s="514">
        <f>L75*(1-Recovery_OX!E75)*(1-Recovery_OX!F75)</f>
        <v>0</v>
      </c>
    </row>
    <row r="76" spans="2:15">
      <c r="B76" s="507">
        <f t="shared" si="0"/>
        <v>2014</v>
      </c>
      <c r="C76" s="508">
        <f>Stored_C!E82</f>
        <v>0</v>
      </c>
      <c r="D76" s="509">
        <f>Stored_C!F82+Stored_C!L82</f>
        <v>0</v>
      </c>
      <c r="E76" s="510">
        <f>Stored_C!G82+Stored_C!M82</f>
        <v>0</v>
      </c>
      <c r="F76" s="511">
        <f>F75+HWP!C76</f>
        <v>0</v>
      </c>
      <c r="G76" s="509">
        <f>G75+HWP!D76</f>
        <v>8.1602147862681615</v>
      </c>
      <c r="H76" s="510">
        <f>H75+HWP!E76</f>
        <v>0</v>
      </c>
      <c r="I76" s="493"/>
      <c r="J76" s="512">
        <f>Garden!J83</f>
        <v>0</v>
      </c>
      <c r="K76" s="513">
        <f>Paper!J83</f>
        <v>4.8035993890690075E-3</v>
      </c>
      <c r="L76" s="514">
        <f>Wood!J83</f>
        <v>0</v>
      </c>
      <c r="M76" s="515">
        <f>J76*(1-Recovery_OX!E76)*(1-Recovery_OX!F76)</f>
        <v>0</v>
      </c>
      <c r="N76" s="513">
        <f>K76*(1-Recovery_OX!E76)*(1-Recovery_OX!F76)</f>
        <v>4.8035993890690075E-3</v>
      </c>
      <c r="O76" s="514">
        <f>L76*(1-Recovery_OX!E76)*(1-Recovery_OX!F76)</f>
        <v>0</v>
      </c>
    </row>
    <row r="77" spans="2:15">
      <c r="B77" s="507">
        <f t="shared" si="0"/>
        <v>2015</v>
      </c>
      <c r="C77" s="508">
        <f>Stored_C!E83</f>
        <v>0</v>
      </c>
      <c r="D77" s="509">
        <f>Stored_C!F83+Stored_C!L83</f>
        <v>0</v>
      </c>
      <c r="E77" s="510">
        <f>Stored_C!G83+Stored_C!M83</f>
        <v>0</v>
      </c>
      <c r="F77" s="511">
        <f>F76+HWP!C77</f>
        <v>0</v>
      </c>
      <c r="G77" s="509">
        <f>G76+HWP!D77</f>
        <v>8.1602147862681615</v>
      </c>
      <c r="H77" s="510">
        <f>H76+HWP!E77</f>
        <v>0</v>
      </c>
      <c r="I77" s="493"/>
      <c r="J77" s="512">
        <f>Garden!J84</f>
        <v>0</v>
      </c>
      <c r="K77" s="513">
        <f>Paper!J84</f>
        <v>4.4788463836719309E-3</v>
      </c>
      <c r="L77" s="514">
        <f>Wood!J84</f>
        <v>0</v>
      </c>
      <c r="M77" s="515">
        <f>J77*(1-Recovery_OX!E77)*(1-Recovery_OX!F77)</f>
        <v>0</v>
      </c>
      <c r="N77" s="513">
        <f>K77*(1-Recovery_OX!E77)*(1-Recovery_OX!F77)</f>
        <v>4.4788463836719309E-3</v>
      </c>
      <c r="O77" s="514">
        <f>L77*(1-Recovery_OX!E77)*(1-Recovery_OX!F77)</f>
        <v>0</v>
      </c>
    </row>
    <row r="78" spans="2:15">
      <c r="B78" s="507">
        <f t="shared" ref="B78:B92" si="1">B77+1</f>
        <v>2016</v>
      </c>
      <c r="C78" s="508">
        <f>Stored_C!E84</f>
        <v>0</v>
      </c>
      <c r="D78" s="509">
        <f>Stored_C!F84+Stored_C!L84</f>
        <v>0</v>
      </c>
      <c r="E78" s="510">
        <f>Stored_C!G84+Stored_C!M84</f>
        <v>0</v>
      </c>
      <c r="F78" s="511">
        <f>F77+HWP!C78</f>
        <v>0</v>
      </c>
      <c r="G78" s="509">
        <f>G77+HWP!D78</f>
        <v>8.1602147862681615</v>
      </c>
      <c r="H78" s="510">
        <f>H77+HWP!E78</f>
        <v>0</v>
      </c>
      <c r="I78" s="493"/>
      <c r="J78" s="512">
        <f>Garden!J85</f>
        <v>0</v>
      </c>
      <c r="K78" s="513">
        <f>Paper!J85</f>
        <v>4.176048688443814E-3</v>
      </c>
      <c r="L78" s="514">
        <f>Wood!J85</f>
        <v>0</v>
      </c>
      <c r="M78" s="515">
        <f>J78*(1-Recovery_OX!E78)*(1-Recovery_OX!F78)</f>
        <v>0</v>
      </c>
      <c r="N78" s="513">
        <f>K78*(1-Recovery_OX!E78)*(1-Recovery_OX!F78)</f>
        <v>4.176048688443814E-3</v>
      </c>
      <c r="O78" s="514">
        <f>L78*(1-Recovery_OX!E78)*(1-Recovery_OX!F78)</f>
        <v>0</v>
      </c>
    </row>
    <row r="79" spans="2:15">
      <c r="B79" s="507">
        <f t="shared" si="1"/>
        <v>2017</v>
      </c>
      <c r="C79" s="508">
        <f>Stored_C!E85</f>
        <v>0</v>
      </c>
      <c r="D79" s="509">
        <f>Stored_C!F85+Stored_C!L85</f>
        <v>0</v>
      </c>
      <c r="E79" s="510">
        <f>Stored_C!G85+Stored_C!M85</f>
        <v>0</v>
      </c>
      <c r="F79" s="511">
        <f>F78+HWP!C79</f>
        <v>0</v>
      </c>
      <c r="G79" s="509">
        <f>G78+HWP!D79</f>
        <v>8.1602147862681615</v>
      </c>
      <c r="H79" s="510">
        <f>H78+HWP!E79</f>
        <v>0</v>
      </c>
      <c r="I79" s="493"/>
      <c r="J79" s="512">
        <f>Garden!J86</f>
        <v>0</v>
      </c>
      <c r="K79" s="513">
        <f>Paper!J86</f>
        <v>3.893721988731353E-3</v>
      </c>
      <c r="L79" s="514">
        <f>Wood!J86</f>
        <v>0</v>
      </c>
      <c r="M79" s="515">
        <f>J79*(1-Recovery_OX!E79)*(1-Recovery_OX!F79)</f>
        <v>0</v>
      </c>
      <c r="N79" s="513">
        <f>K79*(1-Recovery_OX!E79)*(1-Recovery_OX!F79)</f>
        <v>3.893721988731353E-3</v>
      </c>
      <c r="O79" s="514">
        <f>L79*(1-Recovery_OX!E79)*(1-Recovery_OX!F79)</f>
        <v>0</v>
      </c>
    </row>
    <row r="80" spans="2:15">
      <c r="B80" s="507">
        <f t="shared" si="1"/>
        <v>2018</v>
      </c>
      <c r="C80" s="508">
        <f>Stored_C!E86</f>
        <v>0</v>
      </c>
      <c r="D80" s="509">
        <f>Stored_C!F86+Stored_C!L86</f>
        <v>0</v>
      </c>
      <c r="E80" s="510">
        <f>Stored_C!G86+Stored_C!M86</f>
        <v>0</v>
      </c>
      <c r="F80" s="511">
        <f>F79+HWP!C80</f>
        <v>0</v>
      </c>
      <c r="G80" s="509">
        <f>G79+HWP!D80</f>
        <v>8.1602147862681615</v>
      </c>
      <c r="H80" s="510">
        <f>H79+HWP!E80</f>
        <v>0</v>
      </c>
      <c r="I80" s="493"/>
      <c r="J80" s="512">
        <f>Garden!J87</f>
        <v>0</v>
      </c>
      <c r="K80" s="513">
        <f>Paper!J87</f>
        <v>3.6304823187250116E-3</v>
      </c>
      <c r="L80" s="514">
        <f>Wood!J87</f>
        <v>0</v>
      </c>
      <c r="M80" s="515">
        <f>J80*(1-Recovery_OX!E80)*(1-Recovery_OX!F80)</f>
        <v>0</v>
      </c>
      <c r="N80" s="513">
        <f>K80*(1-Recovery_OX!E80)*(1-Recovery_OX!F80)</f>
        <v>3.6304823187250116E-3</v>
      </c>
      <c r="O80" s="514">
        <f>L80*(1-Recovery_OX!E80)*(1-Recovery_OX!F80)</f>
        <v>0</v>
      </c>
    </row>
    <row r="81" spans="2:15">
      <c r="B81" s="507">
        <f t="shared" si="1"/>
        <v>2019</v>
      </c>
      <c r="C81" s="508">
        <f>Stored_C!E87</f>
        <v>0</v>
      </c>
      <c r="D81" s="509">
        <f>Stored_C!F87+Stored_C!L87</f>
        <v>0</v>
      </c>
      <c r="E81" s="510">
        <f>Stored_C!G87+Stored_C!M87</f>
        <v>0</v>
      </c>
      <c r="F81" s="511">
        <f>F80+HWP!C81</f>
        <v>0</v>
      </c>
      <c r="G81" s="509">
        <f>G80+HWP!D81</f>
        <v>8.1602147862681615</v>
      </c>
      <c r="H81" s="510">
        <f>H80+HWP!E81</f>
        <v>0</v>
      </c>
      <c r="I81" s="493"/>
      <c r="J81" s="512">
        <f>Garden!J88</f>
        <v>0</v>
      </c>
      <c r="K81" s="513">
        <f>Paper!J88</f>
        <v>3.3850392772570184E-3</v>
      </c>
      <c r="L81" s="514">
        <f>Wood!J88</f>
        <v>0</v>
      </c>
      <c r="M81" s="515">
        <f>J81*(1-Recovery_OX!E81)*(1-Recovery_OX!F81)</f>
        <v>0</v>
      </c>
      <c r="N81" s="513">
        <f>K81*(1-Recovery_OX!E81)*(1-Recovery_OX!F81)</f>
        <v>3.3850392772570184E-3</v>
      </c>
      <c r="O81" s="514">
        <f>L81*(1-Recovery_OX!E81)*(1-Recovery_OX!F81)</f>
        <v>0</v>
      </c>
    </row>
    <row r="82" spans="2:15">
      <c r="B82" s="507">
        <f t="shared" si="1"/>
        <v>2020</v>
      </c>
      <c r="C82" s="508">
        <f>Stored_C!E88</f>
        <v>0</v>
      </c>
      <c r="D82" s="509">
        <f>Stored_C!F88+Stored_C!L88</f>
        <v>0</v>
      </c>
      <c r="E82" s="510">
        <f>Stored_C!G88+Stored_C!M88</f>
        <v>0</v>
      </c>
      <c r="F82" s="511">
        <f>F81+HWP!C82</f>
        <v>0</v>
      </c>
      <c r="G82" s="509">
        <f>G81+HWP!D82</f>
        <v>8.1602147862681615</v>
      </c>
      <c r="H82" s="510">
        <f>H81+HWP!E82</f>
        <v>0</v>
      </c>
      <c r="I82" s="493"/>
      <c r="J82" s="512">
        <f>Garden!J89</f>
        <v>0</v>
      </c>
      <c r="K82" s="513">
        <f>Paper!J89</f>
        <v>3.1561897022533416E-3</v>
      </c>
      <c r="L82" s="514">
        <f>Wood!J89</f>
        <v>0</v>
      </c>
      <c r="M82" s="515">
        <f>J82*(1-Recovery_OX!E82)*(1-Recovery_OX!F82)</f>
        <v>0</v>
      </c>
      <c r="N82" s="513">
        <f>K82*(1-Recovery_OX!E82)*(1-Recovery_OX!F82)</f>
        <v>3.1561897022533416E-3</v>
      </c>
      <c r="O82" s="514">
        <f>L82*(1-Recovery_OX!E82)*(1-Recovery_OX!F82)</f>
        <v>0</v>
      </c>
    </row>
    <row r="83" spans="2:15">
      <c r="B83" s="507">
        <f t="shared" si="1"/>
        <v>2021</v>
      </c>
      <c r="C83" s="508">
        <f>Stored_C!E89</f>
        <v>0</v>
      </c>
      <c r="D83" s="509">
        <f>Stored_C!F89+Stored_C!L89</f>
        <v>0</v>
      </c>
      <c r="E83" s="510">
        <f>Stored_C!G89+Stored_C!M89</f>
        <v>0</v>
      </c>
      <c r="F83" s="511">
        <f>F82+HWP!C83</f>
        <v>0</v>
      </c>
      <c r="G83" s="509">
        <f>G82+HWP!D83</f>
        <v>8.1602147862681615</v>
      </c>
      <c r="H83" s="510">
        <f>H82+HWP!E83</f>
        <v>0</v>
      </c>
      <c r="I83" s="493"/>
      <c r="J83" s="512">
        <f>Garden!J90</f>
        <v>0</v>
      </c>
      <c r="K83" s="513">
        <f>Paper!J90</f>
        <v>2.9428117728318107E-3</v>
      </c>
      <c r="L83" s="514">
        <f>Wood!J90</f>
        <v>0</v>
      </c>
      <c r="M83" s="515">
        <f>J83*(1-Recovery_OX!E83)*(1-Recovery_OX!F83)</f>
        <v>0</v>
      </c>
      <c r="N83" s="513">
        <f>K83*(1-Recovery_OX!E83)*(1-Recovery_OX!F83)</f>
        <v>2.9428117728318107E-3</v>
      </c>
      <c r="O83" s="514">
        <f>L83*(1-Recovery_OX!E83)*(1-Recovery_OX!F83)</f>
        <v>0</v>
      </c>
    </row>
    <row r="84" spans="2:15">
      <c r="B84" s="507">
        <f t="shared" si="1"/>
        <v>2022</v>
      </c>
      <c r="C84" s="508">
        <f>Stored_C!E90</f>
        <v>0</v>
      </c>
      <c r="D84" s="509">
        <f>Stored_C!F90+Stored_C!L90</f>
        <v>0</v>
      </c>
      <c r="E84" s="510">
        <f>Stored_C!G90+Stored_C!M90</f>
        <v>0</v>
      </c>
      <c r="F84" s="511">
        <f>F83+HWP!C84</f>
        <v>0</v>
      </c>
      <c r="G84" s="509">
        <f>G83+HWP!D84</f>
        <v>8.1602147862681615</v>
      </c>
      <c r="H84" s="510">
        <f>H83+HWP!E84</f>
        <v>0</v>
      </c>
      <c r="I84" s="493"/>
      <c r="J84" s="512">
        <f>Garden!J91</f>
        <v>0</v>
      </c>
      <c r="K84" s="513">
        <f>Paper!J91</f>
        <v>2.743859510134848E-3</v>
      </c>
      <c r="L84" s="514">
        <f>Wood!J91</f>
        <v>0</v>
      </c>
      <c r="M84" s="515">
        <f>J84*(1-Recovery_OX!E84)*(1-Recovery_OX!F84)</f>
        <v>0</v>
      </c>
      <c r="N84" s="513">
        <f>K84*(1-Recovery_OX!E84)*(1-Recovery_OX!F84)</f>
        <v>2.743859510134848E-3</v>
      </c>
      <c r="O84" s="514">
        <f>L84*(1-Recovery_OX!E84)*(1-Recovery_OX!F84)</f>
        <v>0</v>
      </c>
    </row>
    <row r="85" spans="2:15">
      <c r="B85" s="507">
        <f t="shared" si="1"/>
        <v>2023</v>
      </c>
      <c r="C85" s="508">
        <f>Stored_C!E91</f>
        <v>0</v>
      </c>
      <c r="D85" s="509">
        <f>Stored_C!F91+Stored_C!L91</f>
        <v>0</v>
      </c>
      <c r="E85" s="510">
        <f>Stored_C!G91+Stored_C!M91</f>
        <v>0</v>
      </c>
      <c r="F85" s="511">
        <f>F84+HWP!C85</f>
        <v>0</v>
      </c>
      <c r="G85" s="509">
        <f>G84+HWP!D85</f>
        <v>8.1602147862681615</v>
      </c>
      <c r="H85" s="510">
        <f>H84+HWP!E85</f>
        <v>0</v>
      </c>
      <c r="I85" s="493"/>
      <c r="J85" s="512">
        <f>Garden!J92</f>
        <v>0</v>
      </c>
      <c r="K85" s="513">
        <f>Paper!J92</f>
        <v>2.5583576499398951E-3</v>
      </c>
      <c r="L85" s="514">
        <f>Wood!J92</f>
        <v>0</v>
      </c>
      <c r="M85" s="515">
        <f>J85*(1-Recovery_OX!E85)*(1-Recovery_OX!F85)</f>
        <v>0</v>
      </c>
      <c r="N85" s="513">
        <f>K85*(1-Recovery_OX!E85)*(1-Recovery_OX!F85)</f>
        <v>2.5583576499398951E-3</v>
      </c>
      <c r="O85" s="514">
        <f>L85*(1-Recovery_OX!E85)*(1-Recovery_OX!F85)</f>
        <v>0</v>
      </c>
    </row>
    <row r="86" spans="2:15">
      <c r="B86" s="507">
        <f t="shared" si="1"/>
        <v>2024</v>
      </c>
      <c r="C86" s="508">
        <f>Stored_C!E92</f>
        <v>0</v>
      </c>
      <c r="D86" s="509">
        <f>Stored_C!F92+Stored_C!L92</f>
        <v>0</v>
      </c>
      <c r="E86" s="510">
        <f>Stored_C!G92+Stored_C!M92</f>
        <v>0</v>
      </c>
      <c r="F86" s="511">
        <f>F85+HWP!C86</f>
        <v>0</v>
      </c>
      <c r="G86" s="509">
        <f>G85+HWP!D86</f>
        <v>8.1602147862681615</v>
      </c>
      <c r="H86" s="510">
        <f>H85+HWP!E86</f>
        <v>0</v>
      </c>
      <c r="I86" s="493"/>
      <c r="J86" s="512">
        <f>Garden!J93</f>
        <v>0</v>
      </c>
      <c r="K86" s="513">
        <f>Paper!J93</f>
        <v>2.3853968619130632E-3</v>
      </c>
      <c r="L86" s="514">
        <f>Wood!J93</f>
        <v>0</v>
      </c>
      <c r="M86" s="515">
        <f>J86*(1-Recovery_OX!E86)*(1-Recovery_OX!F86)</f>
        <v>0</v>
      </c>
      <c r="N86" s="513">
        <f>K86*(1-Recovery_OX!E86)*(1-Recovery_OX!F86)</f>
        <v>2.3853968619130632E-3</v>
      </c>
      <c r="O86" s="514">
        <f>L86*(1-Recovery_OX!E86)*(1-Recovery_OX!F86)</f>
        <v>0</v>
      </c>
    </row>
    <row r="87" spans="2:15">
      <c r="B87" s="507">
        <f t="shared" si="1"/>
        <v>2025</v>
      </c>
      <c r="C87" s="508">
        <f>Stored_C!E93</f>
        <v>0</v>
      </c>
      <c r="D87" s="509">
        <f>Stored_C!F93+Stored_C!L93</f>
        <v>0</v>
      </c>
      <c r="E87" s="510">
        <f>Stored_C!G93+Stored_C!M93</f>
        <v>0</v>
      </c>
      <c r="F87" s="511">
        <f>F86+HWP!C87</f>
        <v>0</v>
      </c>
      <c r="G87" s="509">
        <f>G86+HWP!D87</f>
        <v>8.1602147862681615</v>
      </c>
      <c r="H87" s="510">
        <f>H86+HWP!E87</f>
        <v>0</v>
      </c>
      <c r="I87" s="493"/>
      <c r="J87" s="512">
        <f>Garden!J94</f>
        <v>0</v>
      </c>
      <c r="K87" s="513">
        <f>Paper!J94</f>
        <v>2.224129292070783E-3</v>
      </c>
      <c r="L87" s="514">
        <f>Wood!J94</f>
        <v>0</v>
      </c>
      <c r="M87" s="515">
        <f>J87*(1-Recovery_OX!E87)*(1-Recovery_OX!F87)</f>
        <v>0</v>
      </c>
      <c r="N87" s="513">
        <f>K87*(1-Recovery_OX!E87)*(1-Recovery_OX!F87)</f>
        <v>2.224129292070783E-3</v>
      </c>
      <c r="O87" s="514">
        <f>L87*(1-Recovery_OX!E87)*(1-Recovery_OX!F87)</f>
        <v>0</v>
      </c>
    </row>
    <row r="88" spans="2:15">
      <c r="B88" s="507">
        <f t="shared" si="1"/>
        <v>2026</v>
      </c>
      <c r="C88" s="508">
        <f>Stored_C!E94</f>
        <v>0</v>
      </c>
      <c r="D88" s="509">
        <f>Stored_C!F94+Stored_C!L94</f>
        <v>0</v>
      </c>
      <c r="E88" s="510">
        <f>Stored_C!G94+Stored_C!M94</f>
        <v>0</v>
      </c>
      <c r="F88" s="511">
        <f>F87+HWP!C88</f>
        <v>0</v>
      </c>
      <c r="G88" s="509">
        <f>G87+HWP!D88</f>
        <v>8.1602147862681615</v>
      </c>
      <c r="H88" s="510">
        <f>H87+HWP!E88</f>
        <v>0</v>
      </c>
      <c r="I88" s="493"/>
      <c r="J88" s="512">
        <f>Garden!J95</f>
        <v>0</v>
      </c>
      <c r="K88" s="513">
        <f>Paper!J95</f>
        <v>2.0737644065985895E-3</v>
      </c>
      <c r="L88" s="514">
        <f>Wood!J95</f>
        <v>0</v>
      </c>
      <c r="M88" s="515">
        <f>J88*(1-Recovery_OX!E88)*(1-Recovery_OX!F88)</f>
        <v>0</v>
      </c>
      <c r="N88" s="513">
        <f>K88*(1-Recovery_OX!E88)*(1-Recovery_OX!F88)</f>
        <v>2.0737644065985895E-3</v>
      </c>
      <c r="O88" s="514">
        <f>L88*(1-Recovery_OX!E88)*(1-Recovery_OX!F88)</f>
        <v>0</v>
      </c>
    </row>
    <row r="89" spans="2:15">
      <c r="B89" s="507">
        <f t="shared" si="1"/>
        <v>2027</v>
      </c>
      <c r="C89" s="508">
        <f>Stored_C!E95</f>
        <v>0</v>
      </c>
      <c r="D89" s="509">
        <f>Stored_C!F95+Stored_C!L95</f>
        <v>0</v>
      </c>
      <c r="E89" s="510">
        <f>Stored_C!G95+Stored_C!M95</f>
        <v>0</v>
      </c>
      <c r="F89" s="511">
        <f>F88+HWP!C89</f>
        <v>0</v>
      </c>
      <c r="G89" s="509">
        <f>G88+HWP!D89</f>
        <v>8.1602147862681615</v>
      </c>
      <c r="H89" s="510">
        <f>H88+HWP!E89</f>
        <v>0</v>
      </c>
      <c r="I89" s="493"/>
      <c r="J89" s="512">
        <f>Garden!J96</f>
        <v>0</v>
      </c>
      <c r="K89" s="513">
        <f>Paper!J96</f>
        <v>1.9335651166534509E-3</v>
      </c>
      <c r="L89" s="514">
        <f>Wood!J96</f>
        <v>0</v>
      </c>
      <c r="M89" s="515">
        <f>J89*(1-Recovery_OX!E89)*(1-Recovery_OX!F89)</f>
        <v>0</v>
      </c>
      <c r="N89" s="513">
        <f>K89*(1-Recovery_OX!E89)*(1-Recovery_OX!F89)</f>
        <v>1.9335651166534509E-3</v>
      </c>
      <c r="O89" s="514">
        <f>L89*(1-Recovery_OX!E89)*(1-Recovery_OX!F89)</f>
        <v>0</v>
      </c>
    </row>
    <row r="90" spans="2:15">
      <c r="B90" s="507">
        <f t="shared" si="1"/>
        <v>2028</v>
      </c>
      <c r="C90" s="508">
        <f>Stored_C!E96</f>
        <v>0</v>
      </c>
      <c r="D90" s="509">
        <f>Stored_C!F96+Stored_C!L96</f>
        <v>0</v>
      </c>
      <c r="E90" s="510">
        <f>Stored_C!G96+Stored_C!M96</f>
        <v>0</v>
      </c>
      <c r="F90" s="511">
        <f>F89+HWP!C90</f>
        <v>0</v>
      </c>
      <c r="G90" s="509">
        <f>G89+HWP!D90</f>
        <v>8.1602147862681615</v>
      </c>
      <c r="H90" s="510">
        <f>H89+HWP!E90</f>
        <v>0</v>
      </c>
      <c r="I90" s="493"/>
      <c r="J90" s="512">
        <f>Garden!J97</f>
        <v>0</v>
      </c>
      <c r="K90" s="513">
        <f>Paper!J97</f>
        <v>1.8028441651534016E-3</v>
      </c>
      <c r="L90" s="514">
        <f>Wood!J97</f>
        <v>0</v>
      </c>
      <c r="M90" s="515">
        <f>J90*(1-Recovery_OX!E90)*(1-Recovery_OX!F90)</f>
        <v>0</v>
      </c>
      <c r="N90" s="513">
        <f>K90*(1-Recovery_OX!E90)*(1-Recovery_OX!F90)</f>
        <v>1.8028441651534016E-3</v>
      </c>
      <c r="O90" s="514">
        <f>L90*(1-Recovery_OX!E90)*(1-Recovery_OX!F90)</f>
        <v>0</v>
      </c>
    </row>
    <row r="91" spans="2:15">
      <c r="B91" s="507">
        <f t="shared" si="1"/>
        <v>2029</v>
      </c>
      <c r="C91" s="508">
        <f>Stored_C!E97</f>
        <v>0</v>
      </c>
      <c r="D91" s="509">
        <f>Stored_C!F97+Stored_C!L97</f>
        <v>0</v>
      </c>
      <c r="E91" s="510">
        <f>Stored_C!G97+Stored_C!M97</f>
        <v>0</v>
      </c>
      <c r="F91" s="511">
        <f>F90+HWP!C91</f>
        <v>0</v>
      </c>
      <c r="G91" s="509">
        <f>G90+HWP!D91</f>
        <v>8.1602147862681615</v>
      </c>
      <c r="H91" s="510">
        <f>H90+HWP!E91</f>
        <v>0</v>
      </c>
      <c r="I91" s="493"/>
      <c r="J91" s="512">
        <f>Garden!J98</f>
        <v>0</v>
      </c>
      <c r="K91" s="513">
        <f>Paper!J98</f>
        <v>1.6809607578425303E-3</v>
      </c>
      <c r="L91" s="514">
        <f>Wood!J98</f>
        <v>0</v>
      </c>
      <c r="M91" s="515">
        <f>J91*(1-Recovery_OX!E91)*(1-Recovery_OX!F91)</f>
        <v>0</v>
      </c>
      <c r="N91" s="513">
        <f>K91*(1-Recovery_OX!E91)*(1-Recovery_OX!F91)</f>
        <v>1.6809607578425303E-3</v>
      </c>
      <c r="O91" s="514">
        <f>L91*(1-Recovery_OX!E91)*(1-Recovery_OX!F91)</f>
        <v>0</v>
      </c>
    </row>
    <row r="92" spans="2:15" ht="13.5" thickBot="1">
      <c r="B92" s="516">
        <f t="shared" si="1"/>
        <v>2030</v>
      </c>
      <c r="C92" s="517">
        <f>Stored_C!E98</f>
        <v>0</v>
      </c>
      <c r="D92" s="518">
        <f>Stored_C!F98+Stored_C!L98</f>
        <v>0</v>
      </c>
      <c r="E92" s="519">
        <f>Stored_C!G98+Stored_C!M98</f>
        <v>0</v>
      </c>
      <c r="F92" s="520">
        <f>F91+HWP!C92</f>
        <v>0</v>
      </c>
      <c r="G92" s="518">
        <f>G91+HWP!D92</f>
        <v>8.1602147862681615</v>
      </c>
      <c r="H92" s="519">
        <f>H91+HWP!E92</f>
        <v>0</v>
      </c>
      <c r="I92" s="493"/>
      <c r="J92" s="521">
        <f>Garden!J99</f>
        <v>0</v>
      </c>
      <c r="K92" s="522">
        <f>Paper!J99</f>
        <v>1.5673174221167946E-3</v>
      </c>
      <c r="L92" s="523">
        <f>Wood!J99</f>
        <v>0</v>
      </c>
      <c r="M92" s="524">
        <f>J92*(1-Recovery_OX!E92)*(1-Recovery_OX!F92)</f>
        <v>0</v>
      </c>
      <c r="N92" s="522">
        <f>K92*(1-Recovery_OX!E92)*(1-Recovery_OX!F92)</f>
        <v>1.5673174221167946E-3</v>
      </c>
      <c r="O92" s="523">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2017-09-14T06:26:02Z</dcterms:modified>
</cp:coreProperties>
</file>