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2_Kaltim\"/>
    </mc:Choice>
  </mc:AlternateContent>
  <bookViews>
    <workbookView xWindow="0" yWindow="0" windowWidth="20490" windowHeight="7755" tabRatio="820" activeTab="3"/>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25" i="6" l="1"/>
  <c r="C26" i="6"/>
  <c r="C27" i="6"/>
  <c r="C28" i="6"/>
  <c r="C29" i="6"/>
  <c r="C30" i="6"/>
  <c r="C31" i="6"/>
  <c r="C32" i="6"/>
  <c r="C33" i="6"/>
  <c r="C34" i="6"/>
  <c r="C35" i="6"/>
  <c r="C36" i="6"/>
  <c r="C37" i="6"/>
  <c r="C38" i="6"/>
  <c r="C39" i="6"/>
  <c r="C40" i="6"/>
  <c r="C41" i="6"/>
  <c r="C42" i="6"/>
  <c r="C43" i="6"/>
  <c r="C24" i="6"/>
  <c r="R19" i="8" l="1"/>
  <c r="R18" i="8"/>
  <c r="E25" i="4" l="1"/>
  <c r="E24" i="4"/>
  <c r="E23" i="4"/>
  <c r="E22" i="4"/>
  <c r="E21" i="4"/>
  <c r="E20" i="4"/>
  <c r="E19" i="4"/>
  <c r="E18" i="4"/>
  <c r="E17" i="4"/>
  <c r="E16" i="4"/>
  <c r="E15" i="4"/>
  <c r="O8" i="6" l="1"/>
  <c r="N8" i="6"/>
  <c r="M8" i="6"/>
  <c r="L8" i="6"/>
  <c r="K8" i="6"/>
  <c r="J8" i="6"/>
  <c r="I8" i="6"/>
  <c r="F8" i="6"/>
  <c r="E8"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G48" i="7" s="1"/>
  <c r="P53" i="34" s="1"/>
  <c r="I46" i="6"/>
  <c r="I45" i="6"/>
  <c r="I44" i="6"/>
  <c r="I43" i="6"/>
  <c r="I42" i="6"/>
  <c r="G43" i="7" s="1"/>
  <c r="P48" i="34" s="1"/>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L57" i="7" s="1"/>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L74" i="7" s="1"/>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I50" i="7"/>
  <c r="K38" i="6"/>
  <c r="K28" i="6"/>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I47" i="7" s="1"/>
  <c r="F53" i="6"/>
  <c r="L86" i="6"/>
  <c r="K92" i="6"/>
  <c r="F59" i="6"/>
  <c r="K48" i="6"/>
  <c r="I49" i="7" s="1"/>
  <c r="L46" i="6"/>
  <c r="O68" i="7"/>
  <c r="K63" i="7"/>
  <c r="F19" i="6"/>
  <c r="L68" i="6"/>
  <c r="L39" i="6"/>
  <c r="L29" i="6"/>
  <c r="J30" i="7" s="1"/>
  <c r="K77" i="6"/>
  <c r="K55" i="6"/>
  <c r="I56" i="7" s="1"/>
  <c r="K81" i="6"/>
  <c r="K59" i="6"/>
  <c r="K74" i="6"/>
  <c r="L64" i="7"/>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D26" i="7" s="1"/>
  <c r="C31" i="31" s="1"/>
  <c r="F76" i="6"/>
  <c r="E19" i="6"/>
  <c r="E56" i="6"/>
  <c r="E24" i="6"/>
  <c r="E40" i="6"/>
  <c r="E49" i="6"/>
  <c r="E32" i="6"/>
  <c r="E31" i="6"/>
  <c r="E71" i="6"/>
  <c r="E92" i="6"/>
  <c r="H69" i="6"/>
  <c r="J89" i="6"/>
  <c r="J48" i="6"/>
  <c r="J23" i="6"/>
  <c r="J81" i="6"/>
  <c r="J69" i="6"/>
  <c r="J36" i="6"/>
  <c r="O81" i="7"/>
  <c r="C86" i="37" s="1"/>
  <c r="L89" i="7"/>
  <c r="L45" i="7"/>
  <c r="C47" i="7"/>
  <c r="P52" i="18" s="1"/>
  <c r="O43" i="7"/>
  <c r="P48" i="37" s="1"/>
  <c r="F29" i="7"/>
  <c r="P34" i="32" s="1"/>
  <c r="F48" i="28"/>
  <c r="F68" i="28"/>
  <c r="F34" i="28"/>
  <c r="F86" i="28"/>
  <c r="F32" i="28"/>
  <c r="F89" i="28"/>
  <c r="F67" i="28"/>
  <c r="F63" i="28"/>
  <c r="F23" i="28"/>
  <c r="F91" i="28"/>
  <c r="K7" i="18"/>
  <c r="W7" i="18"/>
  <c r="F60" i="28"/>
  <c r="K7" i="31"/>
  <c r="W7" i="31"/>
  <c r="K13" i="31"/>
  <c r="K7" i="32"/>
  <c r="W7" i="32"/>
  <c r="K13" i="32"/>
  <c r="K7" i="33"/>
  <c r="E81" i="7"/>
  <c r="P86" i="35" s="1"/>
  <c r="E74" i="7"/>
  <c r="P79" i="35" s="1"/>
  <c r="E54" i="7"/>
  <c r="P59" i="35" s="1"/>
  <c r="E46" i="7"/>
  <c r="P51" i="35" s="1"/>
  <c r="E28" i="7"/>
  <c r="P33" i="35" s="1"/>
  <c r="O46" i="4"/>
  <c r="K7" i="34"/>
  <c r="W7" i="34"/>
  <c r="K13" i="34"/>
  <c r="K7" i="35"/>
  <c r="O73" i="7"/>
  <c r="D73" i="7"/>
  <c r="C78" i="35" s="1"/>
  <c r="K47" i="7"/>
  <c r="L17" i="7"/>
  <c r="J48" i="7"/>
  <c r="D24" i="7"/>
  <c r="O52" i="7"/>
  <c r="C57" i="37" s="1"/>
  <c r="G22" i="7"/>
  <c r="P27" i="34" s="1"/>
  <c r="I29" i="7"/>
  <c r="L93" i="7"/>
  <c r="K89" i="7"/>
  <c r="O89" i="7"/>
  <c r="P94" i="37" s="1"/>
  <c r="O79" i="7"/>
  <c r="C84" i="37" s="1"/>
  <c r="G16" i="7"/>
  <c r="P21" i="34" s="1"/>
  <c r="J16" i="7"/>
  <c r="J17" i="7"/>
  <c r="I46" i="7"/>
  <c r="O46" i="7"/>
  <c r="C51" i="37" s="1"/>
  <c r="G88" i="7"/>
  <c r="P93" i="34" s="1"/>
  <c r="O21" i="7"/>
  <c r="C26" i="37" s="1"/>
  <c r="G30" i="7"/>
  <c r="P35" i="34" s="1"/>
  <c r="I30" i="7"/>
  <c r="K44" i="7"/>
  <c r="G28" i="7"/>
  <c r="P33" i="34" s="1"/>
  <c r="K28" i="7"/>
  <c r="O28" i="7"/>
  <c r="P33" i="37" s="1"/>
  <c r="F28" i="7"/>
  <c r="F65" i="7"/>
  <c r="P70" i="32" s="1"/>
  <c r="C75" i="7"/>
  <c r="C80" i="18" s="1"/>
  <c r="G33" i="7"/>
  <c r="P38" i="34" s="1"/>
  <c r="O45" i="7"/>
  <c r="L72" i="7"/>
  <c r="I85" i="7"/>
  <c r="J92" i="7"/>
  <c r="K92" i="7"/>
  <c r="O92" i="7"/>
  <c r="P97" i="37" s="1"/>
  <c r="L49" i="7"/>
  <c r="F81" i="7"/>
  <c r="H81" i="7"/>
  <c r="D78" i="7"/>
  <c r="C83" i="35" s="1"/>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P97" i="31" l="1"/>
  <c r="B19" i="40"/>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C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G81" i="7"/>
  <c r="P86" i="34" s="1"/>
  <c r="G89" i="7"/>
  <c r="P94" i="34" s="1"/>
  <c r="G26" i="7"/>
  <c r="P31" i="34" s="1"/>
  <c r="O24" i="7"/>
  <c r="P29" i="37" s="1"/>
  <c r="H56" i="7"/>
  <c r="P61" i="33" s="1"/>
  <c r="C74" i="7"/>
  <c r="P79" i="18" s="1"/>
  <c r="C62" i="7"/>
  <c r="C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1" s="1"/>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P52" i="31" s="1"/>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E20" i="31"/>
  <c r="H23" i="8"/>
  <c r="R68" i="8"/>
  <c r="E69" i="36" s="1"/>
  <c r="R83" i="8"/>
  <c r="E84" i="31" s="1"/>
  <c r="H91" i="8"/>
  <c r="E19" i="35"/>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E82" i="18"/>
  <c r="Q82" i="33"/>
  <c r="E82" i="34"/>
  <c r="Q82" i="37"/>
  <c r="Q82" i="32"/>
  <c r="Q20" i="40"/>
  <c r="E82" i="32"/>
  <c r="H77" i="8"/>
  <c r="R77" i="8"/>
  <c r="R93" i="8"/>
  <c r="Q94" i="35" s="1"/>
  <c r="H93" i="8"/>
  <c r="Q82" i="34"/>
  <c r="E82" i="37"/>
  <c r="Q5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Q76" i="18"/>
  <c r="E58" i="31"/>
  <c r="E35" i="18"/>
  <c r="E35" i="34"/>
  <c r="E35" i="33"/>
  <c r="E35" i="32"/>
  <c r="R85" i="8"/>
  <c r="H85" i="8"/>
  <c r="E35" i="40"/>
  <c r="F35" i="40" s="1"/>
  <c r="Q96" i="40"/>
  <c r="Q96" i="34"/>
  <c r="E96" i="36"/>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C61" i="33"/>
  <c r="P82" i="33"/>
  <c r="C82" i="33"/>
  <c r="F82" i="33" s="1"/>
  <c r="P88" i="33"/>
  <c r="O89" i="6"/>
  <c r="M90" i="7" s="1"/>
  <c r="O76" i="6"/>
  <c r="M77" i="7" s="1"/>
  <c r="O82" i="6"/>
  <c r="M83" i="7" s="1"/>
  <c r="O30" i="6"/>
  <c r="M31" i="7" s="1"/>
  <c r="O24" i="6"/>
  <c r="M25" i="7" s="1"/>
  <c r="H15" i="7"/>
  <c r="C20" i="33" s="1"/>
  <c r="C79" i="33"/>
  <c r="O83" i="6"/>
  <c r="P83" i="6" s="1"/>
  <c r="O42" i="6"/>
  <c r="M43" i="7" s="1"/>
  <c r="O72" i="6"/>
  <c r="M73" i="7" s="1"/>
  <c r="D49" i="7"/>
  <c r="P54" i="31" s="1"/>
  <c r="P21" i="6"/>
  <c r="C52" i="35"/>
  <c r="C88" i="31"/>
  <c r="P88" i="31"/>
  <c r="C88" i="35"/>
  <c r="D65" i="7"/>
  <c r="C70" i="31" s="1"/>
  <c r="O88" i="6"/>
  <c r="M89" i="7" s="1"/>
  <c r="O50" i="6"/>
  <c r="P50" i="6" s="1"/>
  <c r="O20" i="6"/>
  <c r="M21" i="7" s="1"/>
  <c r="O14" i="6"/>
  <c r="M15" i="7" s="1"/>
  <c r="C97" i="31"/>
  <c r="O64" i="6"/>
  <c r="M65" i="7" s="1"/>
  <c r="O31" i="6"/>
  <c r="M32" i="7" s="1"/>
  <c r="O49" i="6"/>
  <c r="M50" i="7" s="1"/>
  <c r="P62" i="18"/>
  <c r="P78" i="18"/>
  <c r="C78" i="18"/>
  <c r="P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5"/>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9" i="33"/>
  <c r="P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80" i="32"/>
  <c r="P80" i="18"/>
  <c r="C21" i="31"/>
  <c r="P21" i="31"/>
  <c r="C55" i="33"/>
  <c r="P55" i="33"/>
  <c r="P55" i="18"/>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W12" i="33"/>
  <c r="W10" i="33"/>
  <c r="D12" i="39"/>
  <c r="W6" i="34"/>
  <c r="K9" i="18"/>
  <c r="C31" i="35"/>
  <c r="C29" i="32"/>
  <c r="P51" i="18"/>
  <c r="P93" i="32"/>
  <c r="P33" i="31"/>
  <c r="P86" i="31"/>
  <c r="C88" i="32"/>
  <c r="C83" i="32"/>
  <c r="P76" i="33"/>
  <c r="P88" i="18"/>
  <c r="C86" i="35"/>
  <c r="C97" i="18"/>
  <c r="C33" i="31"/>
  <c r="C93" i="34"/>
  <c r="C68" i="18"/>
  <c r="P82" i="18"/>
  <c r="P31" i="31"/>
  <c r="P90" i="32"/>
  <c r="C58" i="33"/>
  <c r="C94" i="31"/>
  <c r="P85" i="32"/>
  <c r="C63" i="37"/>
  <c r="P78" i="31"/>
  <c r="P68" i="32"/>
  <c r="C82" i="35"/>
  <c r="P94" i="31"/>
  <c r="C90" i="34"/>
  <c r="P41" i="31"/>
  <c r="C41" i="35"/>
  <c r="P63" i="32"/>
  <c r="C63" i="32"/>
  <c r="P23" i="6" l="1"/>
  <c r="C89" i="33"/>
  <c r="P51" i="33"/>
  <c r="C84" i="35"/>
  <c r="P84" i="31"/>
  <c r="P55" i="31"/>
  <c r="C52" i="31"/>
  <c r="C82" i="31"/>
  <c r="F82" i="31" s="1"/>
  <c r="G82" i="31" s="1"/>
  <c r="P42" i="31"/>
  <c r="P54" i="18"/>
  <c r="P77" i="18"/>
  <c r="C76" i="18"/>
  <c r="F76" i="18" s="1"/>
  <c r="R76" i="18"/>
  <c r="C42" i="31"/>
  <c r="P48" i="18"/>
  <c r="C45" i="31"/>
  <c r="C41" i="32"/>
  <c r="C39"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C31" i="18"/>
  <c r="P31" i="37"/>
  <c r="C32" i="35"/>
  <c r="C28" i="33"/>
  <c r="C48" i="35"/>
  <c r="C31" i="34"/>
  <c r="C32" i="31"/>
  <c r="C45" i="33"/>
  <c r="P42" i="18"/>
  <c r="C41" i="34"/>
  <c r="P41" i="33"/>
  <c r="C31" i="33"/>
  <c r="P31" i="32"/>
  <c r="C50" i="32"/>
  <c r="P88" i="32"/>
  <c r="C62" i="34"/>
  <c r="C73" i="18"/>
  <c r="P78" i="33"/>
  <c r="C50" i="34"/>
  <c r="C64" i="33"/>
  <c r="C95" i="32"/>
  <c r="C79" i="18"/>
  <c r="P62" i="32"/>
  <c r="P32" i="37"/>
  <c r="C30" i="32"/>
  <c r="P28" i="18"/>
  <c r="P22" i="37"/>
  <c r="E32" i="36"/>
  <c r="P45" i="31"/>
  <c r="P38" i="32"/>
  <c r="C39" i="35"/>
  <c r="C38" i="31"/>
  <c r="C48" i="33"/>
  <c r="P38" i="18"/>
  <c r="C38" i="32"/>
  <c r="P34" i="33"/>
  <c r="P44" i="33"/>
  <c r="C35" i="35"/>
  <c r="F35" i="35" s="1"/>
  <c r="C34" i="31"/>
  <c r="P28" i="32"/>
  <c r="C45" i="34"/>
  <c r="C28" i="32"/>
  <c r="C44" i="18"/>
  <c r="B20" i="33"/>
  <c r="B16" i="7"/>
  <c r="O20" i="33"/>
  <c r="O20" i="31"/>
  <c r="F88" i="31"/>
  <c r="G88" i="31" s="1"/>
  <c r="C53" i="34"/>
  <c r="P53" i="32"/>
  <c r="C53" i="32"/>
  <c r="C61" i="37"/>
  <c r="P61" i="37"/>
  <c r="M76" i="7"/>
  <c r="P82" i="6"/>
  <c r="R82" i="31"/>
  <c r="Q58" i="35"/>
  <c r="E76" i="31"/>
  <c r="Q20" i="31"/>
  <c r="E83" i="40"/>
  <c r="F83" i="40" s="1"/>
  <c r="Q34" i="40"/>
  <c r="P79" i="37"/>
  <c r="C79" i="37"/>
  <c r="P76" i="6"/>
  <c r="Q58" i="37"/>
  <c r="M94" i="7"/>
  <c r="E83" i="31"/>
  <c r="E68" i="36"/>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52" i="34"/>
  <c r="H52" i="34" s="1"/>
  <c r="P57" i="31"/>
  <c r="P44" i="37"/>
  <c r="P20" i="33"/>
  <c r="P59" i="31"/>
  <c r="C44" i="35"/>
  <c r="C92" i="34"/>
  <c r="C82" i="32"/>
  <c r="F82" i="32" s="1"/>
  <c r="C39" i="31"/>
  <c r="C29" i="18"/>
  <c r="C37" i="33"/>
  <c r="C77" i="31"/>
  <c r="C55" i="32"/>
  <c r="C83" i="37"/>
  <c r="P83" i="37"/>
  <c r="C28" i="31"/>
  <c r="C28" i="35"/>
  <c r="R82" i="37"/>
  <c r="P98" i="32"/>
  <c r="P49" i="33"/>
  <c r="F68" i="34"/>
  <c r="G68" i="34" s="1"/>
  <c r="C45" i="37"/>
  <c r="C76" i="37"/>
  <c r="F76" i="37" s="1"/>
  <c r="H76" i="37" s="1"/>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R35" i="18" s="1"/>
  <c r="Q35" i="35"/>
  <c r="E68" i="31"/>
  <c r="E35" i="35"/>
  <c r="Q96" i="36"/>
  <c r="R96" i="36" s="1"/>
  <c r="Q35" i="31"/>
  <c r="R35" i="31" s="1"/>
  <c r="Q96" i="18"/>
  <c r="E96" i="40"/>
  <c r="F96" i="40" s="1"/>
  <c r="E35" i="36"/>
  <c r="Q76" i="36"/>
  <c r="R76" i="36" s="1"/>
  <c r="E96" i="35"/>
  <c r="Q20" i="33"/>
  <c r="E96" i="37"/>
  <c r="E61" i="18"/>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R76" i="33"/>
  <c r="T76" i="33" s="1"/>
  <c r="Q61" i="18"/>
  <c r="Q61" i="34"/>
  <c r="Q61" i="37"/>
  <c r="R61" i="37" s="1"/>
  <c r="S61" i="37" s="1"/>
  <c r="E52" i="40"/>
  <c r="F52" i="40" s="1"/>
  <c r="Q32" i="32"/>
  <c r="E61" i="35"/>
  <c r="E32" i="18"/>
  <c r="E61" i="34"/>
  <c r="F61" i="34" s="1"/>
  <c r="G61" i="34" s="1"/>
  <c r="Q32" i="18"/>
  <c r="E68" i="40"/>
  <c r="E32" i="37"/>
  <c r="Q32" i="40"/>
  <c r="R32" i="40" s="1"/>
  <c r="Q76" i="40"/>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T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F34" i="32" s="1"/>
  <c r="Q34" i="31"/>
  <c r="E34" i="18"/>
  <c r="Q34" i="33"/>
  <c r="E34" i="36"/>
  <c r="Q34" i="32"/>
  <c r="F83" i="37"/>
  <c r="H83" i="37" s="1"/>
  <c r="Q69" i="33"/>
  <c r="Q53" i="37"/>
  <c r="R53" i="37" s="1"/>
  <c r="S53" i="37" s="1"/>
  <c r="Q83" i="18"/>
  <c r="R83" i="18" s="1"/>
  <c r="E83" i="18"/>
  <c r="F61" i="33"/>
  <c r="H61" i="33" s="1"/>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F50" i="32" s="1"/>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E26" i="37"/>
  <c r="E26" i="40"/>
  <c r="F26" i="40" s="1"/>
  <c r="Q26" i="34"/>
  <c r="Q26" i="40"/>
  <c r="R26" i="40" s="1"/>
  <c r="E26" i="31"/>
  <c r="Q26" i="18"/>
  <c r="R26" i="18" s="1"/>
  <c r="Q26" i="32"/>
  <c r="Q26" i="31"/>
  <c r="E26" i="18"/>
  <c r="Q80" i="35"/>
  <c r="Q80" i="18"/>
  <c r="R80" i="18" s="1"/>
  <c r="E80" i="40"/>
  <c r="E80" i="33"/>
  <c r="Q80" i="32"/>
  <c r="E80" i="31"/>
  <c r="Q80" i="37"/>
  <c r="E80" i="36"/>
  <c r="E80" i="37"/>
  <c r="Q80" i="36"/>
  <c r="R80" i="36" s="1"/>
  <c r="E80" i="35"/>
  <c r="Q80" i="40"/>
  <c r="R80" i="40" s="1"/>
  <c r="E80" i="32"/>
  <c r="F80" i="32" s="1"/>
  <c r="E80" i="34"/>
  <c r="E50" i="35"/>
  <c r="E50" i="34"/>
  <c r="F50" i="34" s="1"/>
  <c r="H50" i="34" s="1"/>
  <c r="E50" i="33"/>
  <c r="E66" i="40"/>
  <c r="F66" i="40" s="1"/>
  <c r="E66" i="18"/>
  <c r="Q66" i="31"/>
  <c r="E66" i="31"/>
  <c r="E66" i="32"/>
  <c r="E66" i="35"/>
  <c r="E84" i="32"/>
  <c r="Q84" i="34"/>
  <c r="R84" i="34" s="1"/>
  <c r="E84" i="34"/>
  <c r="E84" i="33"/>
  <c r="Q84" i="35"/>
  <c r="R84" i="35" s="1"/>
  <c r="Q84" i="31"/>
  <c r="R84" i="31" s="1"/>
  <c r="Q84" i="18"/>
  <c r="E98" i="35"/>
  <c r="Q98" i="33"/>
  <c r="E98" i="32"/>
  <c r="F98" i="32" s="1"/>
  <c r="E98" i="37"/>
  <c r="E98" i="36"/>
  <c r="E98" i="40"/>
  <c r="Q98" i="37"/>
  <c r="E98" i="33"/>
  <c r="Q27" i="37"/>
  <c r="Q27" i="34"/>
  <c r="R27" i="34" s="1"/>
  <c r="E27" i="37"/>
  <c r="E27" i="31"/>
  <c r="Q27" i="33"/>
  <c r="Q27" i="36"/>
  <c r="R27" i="36" s="1"/>
  <c r="Q27" i="18"/>
  <c r="E27" i="36"/>
  <c r="F82" i="35"/>
  <c r="H82" i="35" s="1"/>
  <c r="Q69" i="31"/>
  <c r="Q69" i="35"/>
  <c r="R69" i="35" s="1"/>
  <c r="S69" i="35" s="1"/>
  <c r="Q69" i="37"/>
  <c r="Q99" i="31"/>
  <c r="Q99" i="35"/>
  <c r="R99" i="35" s="1"/>
  <c r="S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E19" i="36"/>
  <c r="Q19" i="33"/>
  <c r="E38" i="35"/>
  <c r="F38" i="35" s="1"/>
  <c r="E38" i="18"/>
  <c r="Q38" i="34"/>
  <c r="E38" i="31"/>
  <c r="E38" i="34"/>
  <c r="F38" i="34" s="1"/>
  <c r="G38" i="34" s="1"/>
  <c r="Q38" i="37"/>
  <c r="Q38" i="33"/>
  <c r="Q38" i="31"/>
  <c r="E38" i="37"/>
  <c r="E38" i="33"/>
  <c r="E38" i="36"/>
  <c r="Q38" i="32"/>
  <c r="E38" i="32"/>
  <c r="Q38" i="35"/>
  <c r="R38" i="35" s="1"/>
  <c r="Q38" i="18"/>
  <c r="Q38" i="36"/>
  <c r="R38" i="36" s="1"/>
  <c r="R19" i="35"/>
  <c r="S19" i="35" s="1"/>
  <c r="U19" i="35" s="1"/>
  <c r="Q19" i="36"/>
  <c r="R19" i="36" s="1"/>
  <c r="Q66" i="35"/>
  <c r="R66" i="35" s="1"/>
  <c r="E66" i="37"/>
  <c r="E98" i="34"/>
  <c r="F98" i="34" s="1"/>
  <c r="Q98" i="18"/>
  <c r="E27" i="33"/>
  <c r="Q27" i="40"/>
  <c r="R27" i="40" s="1"/>
  <c r="E27" i="32"/>
  <c r="E27" i="40"/>
  <c r="F27" i="40" s="1"/>
  <c r="Q27" i="31"/>
  <c r="Q27" i="35"/>
  <c r="R27" i="35" s="1"/>
  <c r="R80" i="31"/>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F52" i="33"/>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R62" i="33" s="1"/>
  <c r="T62" i="33" s="1"/>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R94" i="31"/>
  <c r="F72" i="34"/>
  <c r="G72" i="34"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Q45" i="34"/>
  <c r="R45" i="34" s="1"/>
  <c r="Q45" i="33"/>
  <c r="R45" i="33" s="1"/>
  <c r="S45" i="33" s="1"/>
  <c r="Q45" i="32"/>
  <c r="Q45" i="31"/>
  <c r="Q45" i="18"/>
  <c r="Q45" i="37"/>
  <c r="R45" i="37" s="1"/>
  <c r="T45" i="37" s="1"/>
  <c r="E45" i="34"/>
  <c r="E45" i="32"/>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R91" i="18" s="1"/>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R20" i="31" s="1"/>
  <c r="C37" i="31"/>
  <c r="C37" i="35"/>
  <c r="P37" i="31"/>
  <c r="P37" i="18"/>
  <c r="C37" i="18"/>
  <c r="C63" i="35"/>
  <c r="P63" i="31"/>
  <c r="C63" i="31"/>
  <c r="P85" i="33"/>
  <c r="C85" i="33"/>
  <c r="C87" i="35"/>
  <c r="F87" i="35" s="1"/>
  <c r="P87" i="31"/>
  <c r="C87" i="31"/>
  <c r="F87" i="31" s="1"/>
  <c r="G87" i="31" s="1"/>
  <c r="P87" i="18"/>
  <c r="R87" i="18" s="1"/>
  <c r="C87" i="18"/>
  <c r="C99" i="37"/>
  <c r="F99" i="37" s="1"/>
  <c r="H99" i="37" s="1"/>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R51" i="18" s="1"/>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P58" i="32"/>
  <c r="C58" i="34"/>
  <c r="F58" i="34" s="1"/>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Q73" i="32"/>
  <c r="Q73" i="31"/>
  <c r="Q73" i="18"/>
  <c r="R73" i="18" s="1"/>
  <c r="E73" i="18"/>
  <c r="E73" i="35"/>
  <c r="E73" i="33"/>
  <c r="E73" i="31"/>
  <c r="E73" i="36"/>
  <c r="E73" i="34"/>
  <c r="F73" i="34" s="1"/>
  <c r="E73" i="32"/>
  <c r="E73" i="40"/>
  <c r="Q73" i="40"/>
  <c r="R73" i="40" s="1"/>
  <c r="E63" i="35"/>
  <c r="E63" i="34"/>
  <c r="F63" i="34" s="1"/>
  <c r="E63" i="33"/>
  <c r="E63" i="32"/>
  <c r="F63" i="32" s="1"/>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R57" i="33" s="1"/>
  <c r="T57" i="33" s="1"/>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F75" i="31" s="1"/>
  <c r="G75" i="31" s="1"/>
  <c r="E75" i="37"/>
  <c r="E75" i="40"/>
  <c r="Q75" i="40"/>
  <c r="R75" i="40" s="1"/>
  <c r="E79" i="35"/>
  <c r="E79" i="34"/>
  <c r="F79" i="34" s="1"/>
  <c r="E79" i="33"/>
  <c r="E79" i="32"/>
  <c r="F79" i="32" s="1"/>
  <c r="E79" i="31"/>
  <c r="E79" i="18"/>
  <c r="E79" i="37"/>
  <c r="E79" i="36"/>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24" i="18"/>
  <c r="F82" i="18"/>
  <c r="W8" i="32"/>
  <c r="K8" i="32"/>
  <c r="K10" i="18"/>
  <c r="K12" i="18"/>
  <c r="R47" i="40"/>
  <c r="R40" i="40"/>
  <c r="R60" i="40"/>
  <c r="R84" i="40"/>
  <c r="R34" i="40"/>
  <c r="R38" i="40"/>
  <c r="R92" i="40"/>
  <c r="R61" i="40"/>
  <c r="R76" i="40"/>
  <c r="R96" i="40"/>
  <c r="R82" i="40"/>
  <c r="R20" i="40"/>
  <c r="R56" i="40"/>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W12" i="31"/>
  <c r="W9" i="31"/>
  <c r="W10" i="31"/>
  <c r="T61" i="37"/>
  <c r="R32" i="31"/>
  <c r="R78" i="35"/>
  <c r="S78" i="35" s="1"/>
  <c r="R45" i="35"/>
  <c r="S45" i="35" s="1"/>
  <c r="R80" i="35"/>
  <c r="S80" i="35" s="1"/>
  <c r="R58" i="35"/>
  <c r="S58" i="35" s="1"/>
  <c r="F82" i="37"/>
  <c r="G82" i="37" s="1"/>
  <c r="F68" i="37"/>
  <c r="F84" i="31"/>
  <c r="G84" i="31" s="1"/>
  <c r="T69" i="36"/>
  <c r="S69" i="36"/>
  <c r="T64" i="35"/>
  <c r="H82" i="33"/>
  <c r="G82" i="33"/>
  <c r="T62" i="18"/>
  <c r="T99" i="35"/>
  <c r="R76" i="34"/>
  <c r="R58" i="34"/>
  <c r="R98" i="34"/>
  <c r="R32" i="34"/>
  <c r="R52" i="34"/>
  <c r="R38" i="34"/>
  <c r="R36" i="34"/>
  <c r="R26" i="34"/>
  <c r="R96" i="34"/>
  <c r="R82" i="34"/>
  <c r="R35" i="34"/>
  <c r="R34" i="34"/>
  <c r="R61" i="34"/>
  <c r="R83" i="34"/>
  <c r="R92" i="34"/>
  <c r="S41" i="36"/>
  <c r="R42" i="31" l="1"/>
  <c r="T42" i="31" s="1"/>
  <c r="G52" i="34"/>
  <c r="H68" i="34"/>
  <c r="F42" i="31"/>
  <c r="H42" i="31" s="1"/>
  <c r="F41" i="32"/>
  <c r="F48" i="32"/>
  <c r="F45" i="32"/>
  <c r="R73" i="33"/>
  <c r="S73" i="33" s="1"/>
  <c r="R93" i="33"/>
  <c r="S93" i="33" s="1"/>
  <c r="R78" i="33"/>
  <c r="T78" i="33" s="1"/>
  <c r="S64" i="33"/>
  <c r="R84" i="18"/>
  <c r="R48" i="18"/>
  <c r="T48" i="18" s="1"/>
  <c r="R47" i="33"/>
  <c r="S47" i="33" s="1"/>
  <c r="F39" i="32"/>
  <c r="R49" i="33"/>
  <c r="S49" i="33" s="1"/>
  <c r="R45" i="31"/>
  <c r="S45" i="31" s="1"/>
  <c r="R21" i="37"/>
  <c r="S21" i="37" s="1"/>
  <c r="R22" i="31"/>
  <c r="T22" i="31" s="1"/>
  <c r="R31" i="37"/>
  <c r="S31" i="37" s="1"/>
  <c r="R42" i="18"/>
  <c r="S42" i="18" s="1"/>
  <c r="R41" i="33"/>
  <c r="S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G25" i="34" s="1"/>
  <c r="F21" i="34"/>
  <c r="H21" i="34" s="1"/>
  <c r="F28" i="32"/>
  <c r="F48" i="34"/>
  <c r="G48" i="34" s="1"/>
  <c r="R42" i="33"/>
  <c r="T42" i="33" s="1"/>
  <c r="R34" i="33"/>
  <c r="S34" i="33" s="1"/>
  <c r="F48" i="35"/>
  <c r="H48" i="35" s="1"/>
  <c r="R28" i="18"/>
  <c r="S28" i="18" s="1"/>
  <c r="R34" i="31"/>
  <c r="S34" i="31" s="1"/>
  <c r="F32" i="35"/>
  <c r="H32" i="35" s="1"/>
  <c r="S36" i="35"/>
  <c r="R44" i="33"/>
  <c r="S44" i="33" s="1"/>
  <c r="F45" i="34"/>
  <c r="H45" i="34" s="1"/>
  <c r="F31" i="34"/>
  <c r="H31" i="34" s="1"/>
  <c r="H88" i="31"/>
  <c r="R59" i="31"/>
  <c r="R81" i="37"/>
  <c r="T81" i="37" s="1"/>
  <c r="F57" i="35"/>
  <c r="H57" i="35" s="1"/>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S90" i="31" s="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R79" i="31"/>
  <c r="S79" i="31" s="1"/>
  <c r="F57" i="32"/>
  <c r="R46" i="31"/>
  <c r="T46" i="31" s="1"/>
  <c r="R65" i="37"/>
  <c r="T65" i="37" s="1"/>
  <c r="F58" i="18"/>
  <c r="G58" i="18" s="1"/>
  <c r="R81" i="32"/>
  <c r="R55" i="37"/>
  <c r="T55" i="37" s="1"/>
  <c r="F56" i="32"/>
  <c r="R27" i="31"/>
  <c r="S27" i="31" s="1"/>
  <c r="G83" i="37"/>
  <c r="F22" i="36"/>
  <c r="H22" i="36" s="1"/>
  <c r="T76" i="37"/>
  <c r="F20" i="34"/>
  <c r="H20" i="34" s="1"/>
  <c r="R36" i="33"/>
  <c r="S36" i="33" s="1"/>
  <c r="F69" i="34"/>
  <c r="H69" i="34" s="1"/>
  <c r="S22" i="33"/>
  <c r="G68" i="18"/>
  <c r="F69" i="18"/>
  <c r="G69" i="18" s="1"/>
  <c r="F34" i="18"/>
  <c r="G34" i="18" s="1"/>
  <c r="R32" i="18"/>
  <c r="T32" i="18" s="1"/>
  <c r="F36" i="31"/>
  <c r="G36" i="31" s="1"/>
  <c r="F66" i="35"/>
  <c r="H66" i="35" s="1"/>
  <c r="F64" i="35"/>
  <c r="H64" i="35" s="1"/>
  <c r="T88" i="33"/>
  <c r="D33" i="38"/>
  <c r="G34" i="34"/>
  <c r="F61" i="18"/>
  <c r="G61" i="18" s="1"/>
  <c r="H36" i="33"/>
  <c r="G36" i="33"/>
  <c r="T84" i="33"/>
  <c r="S84" i="33"/>
  <c r="T40" i="33"/>
  <c r="F32" i="18"/>
  <c r="G32" i="18" s="1"/>
  <c r="F20" i="35"/>
  <c r="G20" i="35" s="1"/>
  <c r="I20" i="35" s="1"/>
  <c r="F26" i="32"/>
  <c r="F92" i="32"/>
  <c r="R27" i="18"/>
  <c r="S27" i="18" s="1"/>
  <c r="F83" i="34"/>
  <c r="G83" i="34" s="1"/>
  <c r="F19" i="34"/>
  <c r="H19" i="34" s="1"/>
  <c r="J19" i="34" s="1"/>
  <c r="K19" i="34" s="1"/>
  <c r="G17" i="17" s="1"/>
  <c r="S80" i="31"/>
  <c r="G76" i="37"/>
  <c r="E62" i="38"/>
  <c r="F34" i="31"/>
  <c r="H34" i="31" s="1"/>
  <c r="F43" i="34"/>
  <c r="G43" i="34" s="1"/>
  <c r="R99" i="18"/>
  <c r="S99" i="18" s="1"/>
  <c r="T54" i="36"/>
  <c r="E46" i="38"/>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T20" i="31"/>
  <c r="G68"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E63" i="38"/>
  <c r="T72" i="33"/>
  <c r="F97" i="31"/>
  <c r="H97" i="31" s="1"/>
  <c r="F19" i="36"/>
  <c r="G19" i="36" s="1"/>
  <c r="I19" i="36" s="1"/>
  <c r="F84" i="18"/>
  <c r="G84" i="18" s="1"/>
  <c r="F74" i="36"/>
  <c r="H74" i="36" s="1"/>
  <c r="S54" i="37"/>
  <c r="D26" i="38"/>
  <c r="T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F44" i="40"/>
  <c r="D37" i="38"/>
  <c r="F26" i="37"/>
  <c r="G26" i="37" s="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E83" i="38"/>
  <c r="S53" i="35"/>
  <c r="H51" i="31"/>
  <c r="F45" i="18"/>
  <c r="G45" i="18" s="1"/>
  <c r="S55" i="37"/>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H83" i="34"/>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H38" i="35"/>
  <c r="G38" i="35"/>
  <c r="F52" i="31"/>
  <c r="G52" i="31" s="1"/>
  <c r="F84" i="35"/>
  <c r="F66" i="36"/>
  <c r="F40" i="36"/>
  <c r="H40" i="36" s="1"/>
  <c r="S83" i="33"/>
  <c r="T50" i="37"/>
  <c r="S36" i="31"/>
  <c r="T36" i="31"/>
  <c r="F55" i="18"/>
  <c r="H55" i="18" s="1"/>
  <c r="F77" i="18"/>
  <c r="G77" i="18" s="1"/>
  <c r="F93" i="18"/>
  <c r="G93" i="18" s="1"/>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H94"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F55" i="31"/>
  <c r="G55" i="31" s="1"/>
  <c r="D48" i="38"/>
  <c r="F71" i="40"/>
  <c r="D64" i="38"/>
  <c r="F77" i="35"/>
  <c r="G77" i="35" s="1"/>
  <c r="F77" i="36"/>
  <c r="G77" i="36" s="1"/>
  <c r="F88" i="18"/>
  <c r="F94" i="34"/>
  <c r="F30" i="33"/>
  <c r="F70" i="36"/>
  <c r="H70" i="36" s="1"/>
  <c r="F74" i="40"/>
  <c r="D67" i="38"/>
  <c r="F60" i="31"/>
  <c r="H60" i="31" s="1"/>
  <c r="D53" i="38"/>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H66" i="31"/>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H53" i="37"/>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G66" i="35"/>
  <c r="H84" i="31"/>
  <c r="F49" i="31"/>
  <c r="F89" i="31"/>
  <c r="F23" i="35"/>
  <c r="H23" i="35" s="1"/>
  <c r="F95" i="35"/>
  <c r="G95" i="35" s="1"/>
  <c r="G76" i="18"/>
  <c r="R25" i="18"/>
  <c r="S25" i="18" s="1"/>
  <c r="T28" i="35"/>
  <c r="T24" i="35"/>
  <c r="H21" i="35"/>
  <c r="T48" i="33"/>
  <c r="S48" i="33"/>
  <c r="S29" i="33"/>
  <c r="T29" i="33"/>
  <c r="G69" i="34"/>
  <c r="T45" i="33"/>
  <c r="T73" i="33"/>
  <c r="G33" i="35"/>
  <c r="T79" i="37"/>
  <c r="R46" i="18"/>
  <c r="T46" i="18" s="1"/>
  <c r="T81" i="33"/>
  <c r="S70" i="34"/>
  <c r="T67" i="35"/>
  <c r="H68" i="37"/>
  <c r="G68" i="37"/>
  <c r="T97" i="37"/>
  <c r="S41" i="37"/>
  <c r="G56" i="31"/>
  <c r="H56" i="31"/>
  <c r="G27" i="34"/>
  <c r="H27" i="34"/>
  <c r="T43" i="33"/>
  <c r="G53" i="31"/>
  <c r="G42" i="31"/>
  <c r="T67" i="37"/>
  <c r="R75" i="18"/>
  <c r="S75" i="18" s="1"/>
  <c r="S41" i="35"/>
  <c r="T78" i="35"/>
  <c r="G96" i="31"/>
  <c r="T37" i="33"/>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T59" i="31"/>
  <c r="S59" i="31"/>
  <c r="H81" i="34"/>
  <c r="S81" i="31"/>
  <c r="T81" i="31"/>
  <c r="H85" i="34"/>
  <c r="G85" i="34"/>
  <c r="S41" i="31"/>
  <c r="T41" i="31"/>
  <c r="S86" i="31"/>
  <c r="T78" i="31"/>
  <c r="R63" i="32"/>
  <c r="R93" i="32"/>
  <c r="R74" i="32"/>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G73" i="34"/>
  <c r="H73" i="34"/>
  <c r="F97" i="18"/>
  <c r="R97" i="33"/>
  <c r="G58" i="34"/>
  <c r="H58" i="34"/>
  <c r="F75" i="35"/>
  <c r="R75" i="33"/>
  <c r="R67" i="33"/>
  <c r="R57" i="18"/>
  <c r="G33" i="34"/>
  <c r="H33" i="34"/>
  <c r="F51" i="33"/>
  <c r="F51" i="18"/>
  <c r="H51" i="18" s="1"/>
  <c r="R85" i="33"/>
  <c r="F49" i="33"/>
  <c r="F45" i="33"/>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T63" i="31"/>
  <c r="S63" i="31"/>
  <c r="H87" i="36"/>
  <c r="G8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T86" i="18"/>
  <c r="S97" i="18"/>
  <c r="S55" i="18"/>
  <c r="G48" i="36"/>
  <c r="G59" i="36"/>
  <c r="G86" i="36"/>
  <c r="H86" i="36"/>
  <c r="H19" i="36"/>
  <c r="J19" i="36" s="1"/>
  <c r="K19" i="36" s="1"/>
  <c r="I17" i="17" s="1"/>
  <c r="S43" i="35"/>
  <c r="T43" i="35"/>
  <c r="T97" i="35"/>
  <c r="S97" i="35"/>
  <c r="T40" i="35"/>
  <c r="S40" i="35"/>
  <c r="G52" i="18"/>
  <c r="H52"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T31" i="35"/>
  <c r="S31" i="35"/>
  <c r="S26" i="35"/>
  <c r="T26" i="35"/>
  <c r="S55" i="35"/>
  <c r="T55" i="35"/>
  <c r="S98" i="40"/>
  <c r="T86" i="35"/>
  <c r="S86" i="35"/>
  <c r="S34" i="35"/>
  <c r="T34" i="35"/>
  <c r="S70" i="31"/>
  <c r="T70" i="31"/>
  <c r="S48" i="31"/>
  <c r="T48" i="31"/>
  <c r="T39" i="31"/>
  <c r="S39" i="31"/>
  <c r="S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37" i="40"/>
  <c r="T42" i="40"/>
  <c r="W12" i="32"/>
  <c r="W9" i="32"/>
  <c r="W10" i="32"/>
  <c r="H96" i="18"/>
  <c r="G96" i="18"/>
  <c r="H24" i="18"/>
  <c r="G24" i="18"/>
  <c r="H99" i="18"/>
  <c r="G99" i="18"/>
  <c r="K9" i="40"/>
  <c r="K12" i="40"/>
  <c r="K10" i="40"/>
  <c r="G72" i="31"/>
  <c r="D87" i="38"/>
  <c r="S89" i="18"/>
  <c r="T79" i="18"/>
  <c r="S67" i="18"/>
  <c r="S73" i="18"/>
  <c r="S87" i="18"/>
  <c r="T76" i="18"/>
  <c r="S53" i="18"/>
  <c r="S26" i="18"/>
  <c r="T54" i="18"/>
  <c r="S52" i="18"/>
  <c r="T35" i="18"/>
  <c r="S77" i="18"/>
  <c r="S80"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57" i="35" l="1"/>
  <c r="G45" i="34"/>
  <c r="H37" i="36"/>
  <c r="G84" i="36"/>
  <c r="H44" i="36"/>
  <c r="H69" i="31"/>
  <c r="H24" i="36"/>
  <c r="H94" i="36"/>
  <c r="H51" i="36"/>
  <c r="G53" i="36"/>
  <c r="G86" i="18"/>
  <c r="G58" i="37"/>
  <c r="H58" i="18"/>
  <c r="H92" i="37"/>
  <c r="G83" i="18"/>
  <c r="T47" i="37"/>
  <c r="T49" i="33"/>
  <c r="E41" i="38"/>
  <c r="T94" i="33"/>
  <c r="T90" i="31"/>
  <c r="T45" i="31"/>
  <c r="T68" i="31"/>
  <c r="D59" i="38"/>
  <c r="G63" i="18"/>
  <c r="H61" i="18"/>
  <c r="G98" i="18"/>
  <c r="S98" i="18"/>
  <c r="G55" i="18"/>
  <c r="G60" i="18"/>
  <c r="T31" i="37"/>
  <c r="S22" i="31"/>
  <c r="H25" i="34"/>
  <c r="S48" i="18"/>
  <c r="S22" i="37"/>
  <c r="G45" i="35"/>
  <c r="T42" i="18"/>
  <c r="T47" i="33"/>
  <c r="S33" i="33"/>
  <c r="H22" i="31"/>
  <c r="T41" i="33"/>
  <c r="T44" i="33"/>
  <c r="H40" i="34"/>
  <c r="H48" i="34"/>
  <c r="T21" i="37"/>
  <c r="T38" i="18"/>
  <c r="S44" i="37"/>
  <c r="S40" i="37"/>
  <c r="S38" i="31"/>
  <c r="H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2" i="31" l="1"/>
  <c r="K15" i="38" s="1"/>
  <c r="K19" i="18"/>
  <c r="C17" i="17" s="1"/>
  <c r="I20" i="40"/>
  <c r="I20" i="34"/>
  <c r="J21" i="34" s="1"/>
  <c r="L14" i="38"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I21" i="34" l="1"/>
  <c r="I22" i="34" s="1"/>
  <c r="K21" i="34"/>
  <c r="G19" i="17" s="1"/>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J22" i="34" l="1"/>
  <c r="K22" i="34" s="1"/>
  <c r="G20" i="17" s="1"/>
  <c r="E12" i="28"/>
  <c r="M12" i="38" s="1"/>
  <c r="V24" i="35"/>
  <c r="W24" i="35" s="1"/>
  <c r="V22" i="17" s="1"/>
  <c r="L19" i="17"/>
  <c r="O19" i="17" s="1"/>
  <c r="J23" i="34"/>
  <c r="I23" i="34"/>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L15" i="38" l="1"/>
  <c r="N12" i="38"/>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I25" i="18" s="1"/>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7" i="18" s="1"/>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l="1"/>
  <c r="K29" i="36" s="1"/>
  <c r="I27" i="17" s="1"/>
  <c r="J27" i="34"/>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K27" i="18"/>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9" i="18" s="1"/>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K29" i="18"/>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<sst xmlns="http://schemas.openxmlformats.org/spreadsheetml/2006/main" count="1446" uniqueCount="342">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</sst>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rgb="FFFFC000"/>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8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10" fontId="1" fillId="14" borderId="0" xfId="2" applyNumberFormat="1" applyFont="1" applyFill="1" applyAlignment="1">
      <alignment vertical="center"/>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2" fontId="0" fillId="0" borderId="20" xfId="0" applyNumberFormat="1" applyFill="1" applyBorder="1" applyAlignment="1">
      <alignment vertical="center"/>
    </xf>
    <xf numFmtId="0" fontId="0" fillId="0" borderId="0" xfId="0" applyFill="1" applyAlignment="1">
      <alignment vertical="center"/>
    </xf>
    <xf numFmtId="4" fontId="0" fillId="0" borderId="33" xfId="0" applyNumberFormat="1" applyBorder="1" applyProtection="1"/>
    <xf numFmtId="4" fontId="0" fillId="0" borderId="9" xfId="0" applyNumberFormat="1" applyBorder="1" applyProtection="1"/>
    <xf numFmtId="4" fontId="0" fillId="0" borderId="56" xfId="0" applyNumberFormat="1" applyFill="1" applyBorder="1"/>
    <xf numFmtId="4" fontId="0" fillId="0" borderId="51" xfId="0" applyNumberFormat="1" applyFill="1" applyBorder="1"/>
    <xf numFmtId="4" fontId="0" fillId="0" borderId="25" xfId="0" applyNumberFormat="1" applyFill="1" applyBorder="1"/>
    <xf numFmtId="4" fontId="0" fillId="0" borderId="3" xfId="0" applyNumberFormat="1" applyFill="1" applyBorder="1"/>
    <xf numFmtId="4" fontId="0" fillId="0" borderId="47" xfId="0" applyNumberFormat="1" applyFill="1" applyBorder="1"/>
    <xf numFmtId="4" fontId="0" fillId="0" borderId="25" xfId="0" applyNumberFormat="1" applyFill="1" applyBorder="1" applyProtection="1"/>
    <xf numFmtId="4" fontId="0" fillId="0" borderId="43" xfId="0" applyNumberFormat="1" applyFill="1" applyBorder="1"/>
    <xf numFmtId="4" fontId="0" fillId="0" borderId="30" xfId="0" applyNumberFormat="1" applyFill="1" applyBorder="1"/>
    <xf numFmtId="4" fontId="0" fillId="0" borderId="1" xfId="0" applyNumberFormat="1" applyFill="1" applyBorder="1"/>
    <xf numFmtId="4" fontId="0" fillId="0" borderId="48" xfId="0" applyNumberFormat="1" applyFill="1" applyBorder="1"/>
    <xf numFmtId="4" fontId="0" fillId="0" borderId="1" xfId="0" applyNumberFormat="1" applyFill="1" applyBorder="1" applyProtection="1"/>
    <xf numFmtId="9" fontId="1" fillId="24" borderId="29" xfId="2" applyFont="1" applyFill="1" applyBorder="1" applyAlignment="1" applyProtection="1">
      <alignment horizontal="center" vertical="center" wrapText="1"/>
      <protection locked="0"/>
    </xf>
    <xf numFmtId="9" fontId="0" fillId="24" borderId="30" xfId="2" applyFont="1" applyFill="1" applyBorder="1" applyAlignment="1" applyProtection="1">
      <alignment horizontal="center" vertical="center" wrapText="1"/>
      <protection locked="0"/>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ALTIM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82" t="s">
        <v>212</v>
      </c>
      <c r="C7" s="782"/>
      <c r="D7" s="782"/>
      <c r="E7" s="782"/>
      <c r="F7" s="782"/>
      <c r="G7" s="782"/>
      <c r="H7" s="782"/>
      <c r="I7" s="782"/>
      <c r="J7" s="414"/>
      <c r="K7" s="414"/>
    </row>
    <row r="8" spans="2:11" s="9" customFormat="1">
      <c r="B8" s="10"/>
      <c r="C8" s="10"/>
      <c r="D8" s="10"/>
      <c r="E8" s="10"/>
      <c r="F8" s="10"/>
      <c r="G8" s="10"/>
      <c r="H8" s="10"/>
      <c r="I8" s="10"/>
      <c r="J8" s="10"/>
      <c r="K8" s="10"/>
    </row>
    <row r="9" spans="2:11" ht="44.1" customHeight="1">
      <c r="B9" s="783" t="s">
        <v>227</v>
      </c>
      <c r="C9" s="783"/>
      <c r="D9" s="783"/>
      <c r="E9" s="783"/>
      <c r="F9" s="783"/>
      <c r="G9" s="783"/>
      <c r="H9" s="783"/>
      <c r="I9" s="783"/>
      <c r="J9" s="415"/>
      <c r="K9" s="415"/>
    </row>
    <row r="10" spans="2:11" ht="14.45" customHeight="1">
      <c r="I10" s="416" t="s">
        <v>213</v>
      </c>
    </row>
    <row r="11" spans="2:11" ht="6.75" customHeight="1"/>
    <row r="135" spans="9:9">
      <c r="I135" s="416"/>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53" customWidth="1"/>
    <col min="3" max="3" width="8.85546875" style="498" customWidth="1"/>
    <col min="4" max="4" width="8.28515625" style="498" customWidth="1"/>
    <col min="5" max="5" width="9.85546875" style="498" customWidth="1"/>
    <col min="6" max="6" width="9.140625" style="498" customWidth="1"/>
    <col min="7" max="9" width="8.42578125" style="498" customWidth="1"/>
    <col min="10" max="10" width="8.140625" style="498" customWidth="1"/>
    <col min="11" max="11" width="9.140625" style="498" customWidth="1"/>
    <col min="12" max="13" width="8.85546875" style="6" customWidth="1"/>
    <col min="14" max="14" width="12.28515625" style="498" customWidth="1"/>
    <col min="15" max="15" width="13.85546875" style="6" customWidth="1"/>
    <col min="16" max="16384" width="11.42578125" style="6"/>
  </cols>
  <sheetData>
    <row r="1" spans="2:15" ht="13.5" thickBot="1"/>
    <row r="2" spans="2:15" ht="13.5" thickBot="1">
      <c r="C2" s="555" t="s">
        <v>265</v>
      </c>
      <c r="D2" s="846" t="str">
        <f>city</f>
        <v>Kalimantan Timur</v>
      </c>
      <c r="E2" s="847"/>
      <c r="F2" s="848"/>
    </row>
    <row r="3" spans="2:15" ht="13.5" thickBot="1">
      <c r="C3" s="555" t="s">
        <v>276</v>
      </c>
      <c r="D3" s="846" t="str">
        <f>province</f>
        <v>Kalimantan Timur</v>
      </c>
      <c r="E3" s="847"/>
      <c r="F3" s="848"/>
    </row>
    <row r="4" spans="2:15" ht="13.5" thickBot="1">
      <c r="B4" s="554"/>
      <c r="C4" s="555" t="s">
        <v>30</v>
      </c>
      <c r="D4" s="846">
        <v>0</v>
      </c>
      <c r="E4" s="847"/>
      <c r="F4" s="848"/>
      <c r="H4" s="849"/>
      <c r="I4" s="849"/>
      <c r="J4" s="849"/>
      <c r="K4" s="849"/>
    </row>
    <row r="5" spans="2:15">
      <c r="B5" s="554"/>
      <c r="H5" s="850"/>
      <c r="I5" s="850"/>
      <c r="J5" s="850"/>
      <c r="K5" s="850"/>
    </row>
    <row r="6" spans="2:15" s="39" customFormat="1" ht="15.75">
      <c r="C6" s="556" t="s">
        <v>291</v>
      </c>
      <c r="D6" s="556"/>
      <c r="E6" s="556"/>
      <c r="F6" s="557"/>
      <c r="G6" s="557"/>
      <c r="H6" s="557"/>
      <c r="I6" s="557"/>
      <c r="J6" s="557"/>
      <c r="K6" s="557"/>
      <c r="N6" s="557"/>
    </row>
    <row r="7" spans="2:15">
      <c r="C7" s="558" t="s">
        <v>292</v>
      </c>
      <c r="D7" s="558"/>
      <c r="E7" s="558"/>
    </row>
    <row r="8" spans="2:15" ht="13.5" thickBot="1">
      <c r="B8" s="558"/>
    </row>
    <row r="9" spans="2:15" ht="13.5" thickBot="1">
      <c r="B9" s="558"/>
      <c r="C9" s="559" t="s">
        <v>293</v>
      </c>
      <c r="D9" s="558"/>
    </row>
    <row r="10" spans="2:15">
      <c r="B10" s="558"/>
      <c r="C10" s="560" t="s">
        <v>95</v>
      </c>
      <c r="D10" s="561">
        <f>Parameters!R26</f>
        <v>0</v>
      </c>
      <c r="E10" s="562" t="s">
        <v>6</v>
      </c>
      <c r="F10" s="561">
        <f>Parameters!R15</f>
        <v>0.15</v>
      </c>
      <c r="G10" s="563" t="s">
        <v>267</v>
      </c>
      <c r="H10" s="564">
        <f>Parameters!R21</f>
        <v>0.24</v>
      </c>
      <c r="I10" s="565"/>
      <c r="J10" s="565"/>
      <c r="K10" s="565"/>
      <c r="L10" s="566"/>
    </row>
    <row r="11" spans="2:15">
      <c r="B11" s="558"/>
      <c r="C11" s="567" t="s">
        <v>262</v>
      </c>
      <c r="D11" s="568">
        <f>Parameters!R16</f>
        <v>0.4</v>
      </c>
      <c r="E11" s="569" t="s">
        <v>261</v>
      </c>
      <c r="F11" s="568">
        <f>Parameters!R17</f>
        <v>0.2</v>
      </c>
      <c r="G11" s="570" t="s">
        <v>146</v>
      </c>
      <c r="H11" s="571">
        <f>Parameters!R27</f>
        <v>0.05</v>
      </c>
      <c r="I11" s="565"/>
      <c r="J11" s="565"/>
      <c r="K11" s="565"/>
      <c r="L11" s="566"/>
    </row>
    <row r="12" spans="2:15" ht="13.5" thickBot="1">
      <c r="B12" s="558"/>
      <c r="C12" s="572" t="s">
        <v>2</v>
      </c>
      <c r="D12" s="573">
        <f>Parameters!R20</f>
        <v>0.43</v>
      </c>
      <c r="E12" s="574" t="s">
        <v>16</v>
      </c>
      <c r="F12" s="573">
        <f>Parameters!R18</f>
        <v>0.24</v>
      </c>
      <c r="G12" s="574" t="s">
        <v>294</v>
      </c>
      <c r="H12" s="575">
        <f>Parameters!R28</f>
        <v>0.15</v>
      </c>
      <c r="I12" s="565"/>
      <c r="J12" s="565"/>
      <c r="K12" s="565"/>
      <c r="L12" s="266"/>
    </row>
    <row r="13" spans="2:15">
      <c r="B13" s="558"/>
    </row>
    <row r="14" spans="2:15" ht="13.5" thickBot="1">
      <c r="B14" s="576"/>
    </row>
    <row r="15" spans="2:15" s="583" customFormat="1" ht="39" thickBot="1">
      <c r="B15" s="577" t="s">
        <v>1</v>
      </c>
      <c r="C15" s="577" t="s">
        <v>95</v>
      </c>
      <c r="D15" s="504" t="s">
        <v>295</v>
      </c>
      <c r="E15" s="505" t="s">
        <v>261</v>
      </c>
      <c r="F15" s="505" t="s">
        <v>262</v>
      </c>
      <c r="G15" s="505" t="s">
        <v>2</v>
      </c>
      <c r="H15" s="505" t="s">
        <v>16</v>
      </c>
      <c r="I15" s="578" t="s">
        <v>267</v>
      </c>
      <c r="J15" s="579" t="s">
        <v>146</v>
      </c>
      <c r="K15" s="580" t="s">
        <v>296</v>
      </c>
      <c r="L15" s="505" t="s">
        <v>297</v>
      </c>
      <c r="M15" s="506" t="s">
        <v>298</v>
      </c>
      <c r="N15" s="581" t="s">
        <v>284</v>
      </c>
      <c r="O15" s="582" t="s">
        <v>299</v>
      </c>
    </row>
    <row r="16" spans="2:15" s="583" customFormat="1" ht="13.5" thickBot="1">
      <c r="B16" s="584"/>
      <c r="C16" s="33" t="s">
        <v>15</v>
      </c>
      <c r="D16" s="513" t="s">
        <v>15</v>
      </c>
      <c r="E16" s="511" t="s">
        <v>15</v>
      </c>
      <c r="F16" s="511" t="s">
        <v>15</v>
      </c>
      <c r="G16" s="511" t="s">
        <v>15</v>
      </c>
      <c r="H16" s="511" t="s">
        <v>15</v>
      </c>
      <c r="I16" s="585" t="s">
        <v>15</v>
      </c>
      <c r="J16" s="586" t="s">
        <v>15</v>
      </c>
      <c r="K16" s="587" t="s">
        <v>15</v>
      </c>
      <c r="L16" s="511" t="s">
        <v>15</v>
      </c>
      <c r="M16" s="512" t="s">
        <v>15</v>
      </c>
      <c r="N16" s="588" t="s">
        <v>15</v>
      </c>
      <c r="O16" s="512" t="s">
        <v>15</v>
      </c>
    </row>
    <row r="17" spans="2:15">
      <c r="B17" s="526"/>
      <c r="C17" s="589"/>
      <c r="D17" s="590"/>
      <c r="E17" s="591"/>
      <c r="F17" s="591"/>
      <c r="G17" s="591"/>
      <c r="H17" s="591"/>
      <c r="I17" s="592"/>
      <c r="J17" s="593"/>
      <c r="K17" s="594"/>
      <c r="L17" s="595"/>
      <c r="M17" s="596"/>
      <c r="N17" s="590"/>
      <c r="O17" s="597"/>
    </row>
    <row r="18" spans="2:15">
      <c r="B18" s="535">
        <v>1950</v>
      </c>
      <c r="C18" s="598">
        <v>0</v>
      </c>
      <c r="D18" s="599">
        <v>0.10920964027049998</v>
      </c>
      <c r="E18" s="600">
        <v>0</v>
      </c>
      <c r="F18" s="600">
        <v>8.6363485639199988E-2</v>
      </c>
      <c r="G18" s="600">
        <v>7.1249875652340006E-2</v>
      </c>
      <c r="H18" s="600">
        <v>1.084564703376E-2</v>
      </c>
      <c r="I18" s="601">
        <v>0</v>
      </c>
      <c r="J18" s="602">
        <v>0</v>
      </c>
      <c r="K18" s="603">
        <v>0</v>
      </c>
      <c r="L18" s="600">
        <v>0</v>
      </c>
      <c r="M18" s="601">
        <v>0</v>
      </c>
      <c r="N18" s="536">
        <v>0.27766864859579998</v>
      </c>
      <c r="O18" s="538">
        <f t="shared" ref="O18:O81" si="0">O17+N18</f>
        <v>0.27766864859579998</v>
      </c>
    </row>
    <row r="19" spans="2:15">
      <c r="B19" s="535">
        <f>B18+1</f>
        <v>1951</v>
      </c>
      <c r="C19" s="598">
        <v>0</v>
      </c>
      <c r="D19" s="599">
        <v>0.1106087417325</v>
      </c>
      <c r="E19" s="600">
        <v>0</v>
      </c>
      <c r="F19" s="600">
        <v>8.7469901508000006E-2</v>
      </c>
      <c r="G19" s="600">
        <v>7.2162668744100003E-2</v>
      </c>
      <c r="H19" s="600">
        <v>1.0984592282400001E-2</v>
      </c>
      <c r="I19" s="601">
        <v>0</v>
      </c>
      <c r="J19" s="602">
        <v>0</v>
      </c>
      <c r="K19" s="603">
        <v>0</v>
      </c>
      <c r="L19" s="600">
        <v>0</v>
      </c>
      <c r="M19" s="601">
        <v>0</v>
      </c>
      <c r="N19" s="536">
        <v>0.281225904267</v>
      </c>
      <c r="O19" s="538">
        <f t="shared" si="0"/>
        <v>0.55889455286279999</v>
      </c>
    </row>
    <row r="20" spans="2:15">
      <c r="B20" s="535">
        <f t="shared" ref="B20:B83" si="1">B19+1</f>
        <v>1952</v>
      </c>
      <c r="C20" s="598">
        <v>0</v>
      </c>
      <c r="D20" s="599">
        <v>0.11310119320499999</v>
      </c>
      <c r="E20" s="600">
        <v>0</v>
      </c>
      <c r="F20" s="600">
        <v>8.9440943592E-2</v>
      </c>
      <c r="G20" s="600">
        <v>7.3788778463399998E-2</v>
      </c>
      <c r="H20" s="600">
        <v>1.1232118497599999E-2</v>
      </c>
      <c r="I20" s="601">
        <v>0</v>
      </c>
      <c r="J20" s="602">
        <v>0</v>
      </c>
      <c r="K20" s="603">
        <v>0</v>
      </c>
      <c r="L20" s="600">
        <v>0</v>
      </c>
      <c r="M20" s="601">
        <v>0</v>
      </c>
      <c r="N20" s="536">
        <v>0.28756303375799996</v>
      </c>
      <c r="O20" s="538">
        <f t="shared" si="0"/>
        <v>0.84645758662079995</v>
      </c>
    </row>
    <row r="21" spans="2:15">
      <c r="B21" s="535">
        <f t="shared" si="1"/>
        <v>1953</v>
      </c>
      <c r="C21" s="598">
        <v>0</v>
      </c>
      <c r="D21" s="599">
        <v>0.11511152913150001</v>
      </c>
      <c r="E21" s="600">
        <v>0</v>
      </c>
      <c r="F21" s="600">
        <v>9.1030726485600025E-2</v>
      </c>
      <c r="G21" s="600">
        <v>7.5100349350620016E-2</v>
      </c>
      <c r="H21" s="600">
        <v>1.1431765651680002E-2</v>
      </c>
      <c r="I21" s="601">
        <v>0</v>
      </c>
      <c r="J21" s="602">
        <v>0</v>
      </c>
      <c r="K21" s="603">
        <v>0</v>
      </c>
      <c r="L21" s="600">
        <v>0</v>
      </c>
      <c r="M21" s="601">
        <v>0</v>
      </c>
      <c r="N21" s="536">
        <v>0.29267437061940005</v>
      </c>
      <c r="O21" s="538">
        <f t="shared" si="0"/>
        <v>1.1391319572401999</v>
      </c>
    </row>
    <row r="22" spans="2:15">
      <c r="B22" s="535">
        <f t="shared" si="1"/>
        <v>1954</v>
      </c>
      <c r="C22" s="598">
        <v>0</v>
      </c>
      <c r="D22" s="599">
        <v>0.1157273270505</v>
      </c>
      <c r="E22" s="600">
        <v>0</v>
      </c>
      <c r="F22" s="600">
        <v>9.1517702311200017E-2</v>
      </c>
      <c r="G22" s="600">
        <v>7.5502104406740003E-2</v>
      </c>
      <c r="H22" s="600">
        <v>1.149292075536E-2</v>
      </c>
      <c r="I22" s="601">
        <v>0</v>
      </c>
      <c r="J22" s="602">
        <v>0</v>
      </c>
      <c r="K22" s="603">
        <v>0</v>
      </c>
      <c r="L22" s="600">
        <v>0</v>
      </c>
      <c r="M22" s="601">
        <v>0</v>
      </c>
      <c r="N22" s="536">
        <v>0.29424005452380003</v>
      </c>
      <c r="O22" s="538">
        <f t="shared" si="0"/>
        <v>1.4333720117639999</v>
      </c>
    </row>
    <row r="23" spans="2:15">
      <c r="B23" s="535">
        <f t="shared" si="1"/>
        <v>1955</v>
      </c>
      <c r="C23" s="598">
        <v>0</v>
      </c>
      <c r="D23" s="599">
        <v>0.12818743690500001</v>
      </c>
      <c r="E23" s="600">
        <v>0</v>
      </c>
      <c r="F23" s="600">
        <v>0.10137121447200002</v>
      </c>
      <c r="G23" s="600">
        <v>8.363125193940002E-2</v>
      </c>
      <c r="H23" s="600">
        <v>1.27303385616E-2</v>
      </c>
      <c r="I23" s="601">
        <v>0</v>
      </c>
      <c r="J23" s="602">
        <v>0</v>
      </c>
      <c r="K23" s="603">
        <v>0</v>
      </c>
      <c r="L23" s="600">
        <v>0</v>
      </c>
      <c r="M23" s="601">
        <v>0</v>
      </c>
      <c r="N23" s="536">
        <v>0.32592024187800006</v>
      </c>
      <c r="O23" s="538">
        <f t="shared" si="0"/>
        <v>1.7592922536419999</v>
      </c>
    </row>
    <row r="24" spans="2:15">
      <c r="B24" s="535">
        <f t="shared" si="1"/>
        <v>1956</v>
      </c>
      <c r="C24" s="598">
        <v>0</v>
      </c>
      <c r="D24" s="599">
        <v>0.13082430829050001</v>
      </c>
      <c r="E24" s="600">
        <v>0</v>
      </c>
      <c r="F24" s="600">
        <v>0.10345646448720003</v>
      </c>
      <c r="G24" s="600">
        <v>8.5351583201940015E-2</v>
      </c>
      <c r="H24" s="600">
        <v>1.2992207168160004E-2</v>
      </c>
      <c r="I24" s="601">
        <v>0</v>
      </c>
      <c r="J24" s="602">
        <v>0</v>
      </c>
      <c r="K24" s="603">
        <v>0</v>
      </c>
      <c r="L24" s="600">
        <v>0</v>
      </c>
      <c r="M24" s="601">
        <v>0</v>
      </c>
      <c r="N24" s="536">
        <v>0.33262456314780009</v>
      </c>
      <c r="O24" s="538">
        <f t="shared" si="0"/>
        <v>2.0919168167898001</v>
      </c>
    </row>
    <row r="25" spans="2:15">
      <c r="B25" s="535">
        <f t="shared" si="1"/>
        <v>1957</v>
      </c>
      <c r="C25" s="598">
        <v>0</v>
      </c>
      <c r="D25" s="599">
        <v>0.13345903216800001</v>
      </c>
      <c r="E25" s="600">
        <v>0</v>
      </c>
      <c r="F25" s="600">
        <v>0.10554001624320003</v>
      </c>
      <c r="G25" s="600">
        <v>8.7070513400640023E-2</v>
      </c>
      <c r="H25" s="600">
        <v>1.3253862504960003E-2</v>
      </c>
      <c r="I25" s="601">
        <v>0</v>
      </c>
      <c r="J25" s="602">
        <v>0</v>
      </c>
      <c r="K25" s="603">
        <v>0</v>
      </c>
      <c r="L25" s="600">
        <v>0</v>
      </c>
      <c r="M25" s="601">
        <v>0</v>
      </c>
      <c r="N25" s="536">
        <v>0.33932342431680007</v>
      </c>
      <c r="O25" s="538">
        <f t="shared" si="0"/>
        <v>2.4312402411066003</v>
      </c>
    </row>
    <row r="26" spans="2:15">
      <c r="B26" s="535">
        <f t="shared" si="1"/>
        <v>1958</v>
      </c>
      <c r="C26" s="598">
        <v>0</v>
      </c>
      <c r="D26" s="599">
        <v>0.13607550222750001</v>
      </c>
      <c r="E26" s="600">
        <v>0</v>
      </c>
      <c r="F26" s="600">
        <v>0.10760913279600003</v>
      </c>
      <c r="G26" s="600">
        <v>8.8777534556700011E-2</v>
      </c>
      <c r="H26" s="600">
        <v>1.35137050488E-2</v>
      </c>
      <c r="I26" s="601">
        <v>0</v>
      </c>
      <c r="J26" s="602">
        <v>0</v>
      </c>
      <c r="K26" s="603">
        <v>0</v>
      </c>
      <c r="L26" s="600">
        <v>0</v>
      </c>
      <c r="M26" s="601">
        <v>0</v>
      </c>
      <c r="N26" s="536">
        <v>0.34597587462900004</v>
      </c>
      <c r="O26" s="538">
        <f t="shared" si="0"/>
        <v>2.7772161157356003</v>
      </c>
    </row>
    <row r="27" spans="2:15">
      <c r="B27" s="535">
        <f t="shared" si="1"/>
        <v>1959</v>
      </c>
      <c r="C27" s="598">
        <v>0</v>
      </c>
      <c r="D27" s="599">
        <v>0.13865439089699999</v>
      </c>
      <c r="E27" s="600">
        <v>0</v>
      </c>
      <c r="F27" s="600">
        <v>0.1096485298128</v>
      </c>
      <c r="G27" s="600">
        <v>9.0460037095559997E-2</v>
      </c>
      <c r="H27" s="600">
        <v>1.3769815371840001E-2</v>
      </c>
      <c r="I27" s="601">
        <v>0</v>
      </c>
      <c r="J27" s="602">
        <v>0</v>
      </c>
      <c r="K27" s="603">
        <v>0</v>
      </c>
      <c r="L27" s="600">
        <v>0</v>
      </c>
      <c r="M27" s="601">
        <v>0</v>
      </c>
      <c r="N27" s="536">
        <v>0.3525327731772</v>
      </c>
      <c r="O27" s="538">
        <f t="shared" si="0"/>
        <v>3.1297488889128005</v>
      </c>
    </row>
    <row r="28" spans="2:15">
      <c r="B28" s="535">
        <f t="shared" si="1"/>
        <v>1960</v>
      </c>
      <c r="C28" s="598">
        <v>0</v>
      </c>
      <c r="D28" s="599">
        <v>0.14967567039150004</v>
      </c>
      <c r="E28" s="600">
        <v>0</v>
      </c>
      <c r="F28" s="600">
        <v>0.11836420830960002</v>
      </c>
      <c r="G28" s="600">
        <v>9.7650471855420015E-2</v>
      </c>
      <c r="H28" s="600">
        <v>1.4864342438879999E-2</v>
      </c>
      <c r="I28" s="601">
        <v>0</v>
      </c>
      <c r="J28" s="602">
        <v>0</v>
      </c>
      <c r="K28" s="603">
        <v>0</v>
      </c>
      <c r="L28" s="600">
        <v>0</v>
      </c>
      <c r="M28" s="601">
        <v>0</v>
      </c>
      <c r="N28" s="536">
        <v>0.38055469299540012</v>
      </c>
      <c r="O28" s="538">
        <f t="shared" si="0"/>
        <v>3.5103035819082007</v>
      </c>
    </row>
    <row r="29" spans="2:15">
      <c r="B29" s="535">
        <f t="shared" si="1"/>
        <v>1961</v>
      </c>
      <c r="C29" s="598">
        <v>0</v>
      </c>
      <c r="D29" s="599">
        <v>0.153596214684</v>
      </c>
      <c r="E29" s="600">
        <v>0</v>
      </c>
      <c r="F29" s="600">
        <v>0.1214645927616</v>
      </c>
      <c r="G29" s="600">
        <v>0.10020828902832001</v>
      </c>
      <c r="H29" s="600">
        <v>1.525369304448E-2</v>
      </c>
      <c r="I29" s="601">
        <v>0</v>
      </c>
      <c r="J29" s="602">
        <v>0</v>
      </c>
      <c r="K29" s="603">
        <v>0</v>
      </c>
      <c r="L29" s="600">
        <v>0</v>
      </c>
      <c r="M29" s="601">
        <v>0</v>
      </c>
      <c r="N29" s="536">
        <v>0.39052278951840003</v>
      </c>
      <c r="O29" s="538">
        <f t="shared" si="0"/>
        <v>3.9008263714266009</v>
      </c>
    </row>
    <row r="30" spans="2:15">
      <c r="B30" s="535">
        <f t="shared" si="1"/>
        <v>1962</v>
      </c>
      <c r="C30" s="598">
        <v>0</v>
      </c>
      <c r="D30" s="599">
        <v>0.15657266077199999</v>
      </c>
      <c r="E30" s="600">
        <v>0</v>
      </c>
      <c r="F30" s="600">
        <v>0.12381838001280002</v>
      </c>
      <c r="G30" s="600">
        <v>0.10215016351056</v>
      </c>
      <c r="H30" s="600">
        <v>1.5549284931839999E-2</v>
      </c>
      <c r="I30" s="601">
        <v>0</v>
      </c>
      <c r="J30" s="602">
        <v>0</v>
      </c>
      <c r="K30" s="603">
        <v>0</v>
      </c>
      <c r="L30" s="600">
        <v>0</v>
      </c>
      <c r="M30" s="601">
        <v>0</v>
      </c>
      <c r="N30" s="536">
        <v>0.39809048922720003</v>
      </c>
      <c r="O30" s="538">
        <f t="shared" si="0"/>
        <v>4.2989168606538009</v>
      </c>
    </row>
    <row r="31" spans="2:15">
      <c r="B31" s="535">
        <f t="shared" si="1"/>
        <v>1963</v>
      </c>
      <c r="C31" s="598">
        <v>0</v>
      </c>
      <c r="D31" s="599">
        <v>0.15953890619699998</v>
      </c>
      <c r="E31" s="600">
        <v>0</v>
      </c>
      <c r="F31" s="600">
        <v>0.1261641005328</v>
      </c>
      <c r="G31" s="600">
        <v>0.10408538293956</v>
      </c>
      <c r="H31" s="600">
        <v>1.5843863787839998E-2</v>
      </c>
      <c r="I31" s="601">
        <v>0</v>
      </c>
      <c r="J31" s="602">
        <v>0</v>
      </c>
      <c r="K31" s="603">
        <v>0</v>
      </c>
      <c r="L31" s="600">
        <v>0</v>
      </c>
      <c r="M31" s="601">
        <v>0</v>
      </c>
      <c r="N31" s="536">
        <v>0.40563225345719994</v>
      </c>
      <c r="O31" s="538">
        <f t="shared" si="0"/>
        <v>4.7045491141110007</v>
      </c>
    </row>
    <row r="32" spans="2:15">
      <c r="B32" s="535">
        <f t="shared" si="1"/>
        <v>1964</v>
      </c>
      <c r="C32" s="598">
        <v>0</v>
      </c>
      <c r="D32" s="599">
        <v>0.16243106259600001</v>
      </c>
      <c r="E32" s="600">
        <v>0</v>
      </c>
      <c r="F32" s="600">
        <v>0.12845123111039999</v>
      </c>
      <c r="G32" s="600">
        <v>0.10597226566608001</v>
      </c>
      <c r="H32" s="600">
        <v>1.6131084837119999E-2</v>
      </c>
      <c r="I32" s="601">
        <v>0</v>
      </c>
      <c r="J32" s="602">
        <v>0</v>
      </c>
      <c r="K32" s="603">
        <v>0</v>
      </c>
      <c r="L32" s="600">
        <v>0</v>
      </c>
      <c r="M32" s="601">
        <v>0</v>
      </c>
      <c r="N32" s="536">
        <v>0.41298564420960004</v>
      </c>
      <c r="O32" s="538">
        <f t="shared" si="0"/>
        <v>5.117534758320601</v>
      </c>
    </row>
    <row r="33" spans="2:15">
      <c r="B33" s="535">
        <f t="shared" si="1"/>
        <v>1965</v>
      </c>
      <c r="C33" s="598">
        <v>0</v>
      </c>
      <c r="D33" s="599">
        <v>0.16524376119899997</v>
      </c>
      <c r="E33" s="600">
        <v>0</v>
      </c>
      <c r="F33" s="600">
        <v>0.1306755260976</v>
      </c>
      <c r="G33" s="600">
        <v>0.10780730903051999</v>
      </c>
      <c r="H33" s="600">
        <v>1.6410414905279998E-2</v>
      </c>
      <c r="I33" s="601">
        <v>0</v>
      </c>
      <c r="J33" s="602">
        <v>0</v>
      </c>
      <c r="K33" s="603">
        <v>0</v>
      </c>
      <c r="L33" s="600">
        <v>0</v>
      </c>
      <c r="M33" s="601">
        <v>0</v>
      </c>
      <c r="N33" s="536">
        <v>0.42013701123239999</v>
      </c>
      <c r="O33" s="538">
        <f t="shared" si="0"/>
        <v>5.5376717695530013</v>
      </c>
    </row>
    <row r="34" spans="2:15">
      <c r="B34" s="535">
        <f t="shared" si="1"/>
        <v>1966</v>
      </c>
      <c r="C34" s="598">
        <v>0</v>
      </c>
      <c r="D34" s="599">
        <v>0.16803391096799999</v>
      </c>
      <c r="E34" s="600">
        <v>0</v>
      </c>
      <c r="F34" s="600">
        <v>0.1328819893632</v>
      </c>
      <c r="G34" s="600">
        <v>0.10962764122464</v>
      </c>
      <c r="H34" s="600">
        <v>1.6687505640959995E-2</v>
      </c>
      <c r="I34" s="601">
        <v>0</v>
      </c>
      <c r="J34" s="602">
        <v>0</v>
      </c>
      <c r="K34" s="603">
        <v>0</v>
      </c>
      <c r="L34" s="600">
        <v>0</v>
      </c>
      <c r="M34" s="601">
        <v>0</v>
      </c>
      <c r="N34" s="536">
        <v>0.42723104719679994</v>
      </c>
      <c r="O34" s="538">
        <f t="shared" si="0"/>
        <v>5.9649028167498015</v>
      </c>
    </row>
    <row r="35" spans="2:15">
      <c r="B35" s="535">
        <f t="shared" si="1"/>
        <v>1967</v>
      </c>
      <c r="C35" s="598">
        <v>0</v>
      </c>
      <c r="D35" s="599">
        <v>0.16685720562238698</v>
      </c>
      <c r="E35" s="600">
        <v>0</v>
      </c>
      <c r="F35" s="600">
        <v>0.13195144536574974</v>
      </c>
      <c r="G35" s="600">
        <v>0.10885994242674352</v>
      </c>
      <c r="H35" s="600">
        <v>1.6570646627326706E-2</v>
      </c>
      <c r="I35" s="601">
        <v>0</v>
      </c>
      <c r="J35" s="602">
        <v>0</v>
      </c>
      <c r="K35" s="603">
        <v>0</v>
      </c>
      <c r="L35" s="600">
        <v>0</v>
      </c>
      <c r="M35" s="601">
        <v>0</v>
      </c>
      <c r="N35" s="536">
        <v>0.42423924004220692</v>
      </c>
      <c r="O35" s="538">
        <f t="shared" si="0"/>
        <v>6.3891420567920081</v>
      </c>
    </row>
    <row r="36" spans="2:15">
      <c r="B36" s="535">
        <f t="shared" si="1"/>
        <v>1968</v>
      </c>
      <c r="C36" s="598">
        <v>0</v>
      </c>
      <c r="D36" s="599">
        <v>0.16327219334930718</v>
      </c>
      <c r="E36" s="600">
        <v>0</v>
      </c>
      <c r="F36" s="600">
        <v>0.12911640117738316</v>
      </c>
      <c r="G36" s="600">
        <v>0.10652103097134108</v>
      </c>
      <c r="H36" s="600">
        <v>1.6214617822276022E-2</v>
      </c>
      <c r="I36" s="601">
        <v>0</v>
      </c>
      <c r="J36" s="602">
        <v>0</v>
      </c>
      <c r="K36" s="603">
        <v>0</v>
      </c>
      <c r="L36" s="600">
        <v>0</v>
      </c>
      <c r="M36" s="601">
        <v>0</v>
      </c>
      <c r="N36" s="536">
        <v>0.4151242433203074</v>
      </c>
      <c r="O36" s="538">
        <f t="shared" si="0"/>
        <v>6.8042663001123156</v>
      </c>
    </row>
    <row r="37" spans="2:15">
      <c r="B37" s="535">
        <f t="shared" si="1"/>
        <v>1969</v>
      </c>
      <c r="C37" s="598">
        <v>0</v>
      </c>
      <c r="D37" s="599">
        <v>0.15968186561188949</v>
      </c>
      <c r="E37" s="600">
        <v>0</v>
      </c>
      <c r="F37" s="600">
        <v>0.12627715349537927</v>
      </c>
      <c r="G37" s="600">
        <v>0.10417865163368789</v>
      </c>
      <c r="H37" s="600">
        <v>1.585806113662902E-2</v>
      </c>
      <c r="I37" s="601">
        <v>0</v>
      </c>
      <c r="J37" s="602">
        <v>0</v>
      </c>
      <c r="K37" s="603">
        <v>0</v>
      </c>
      <c r="L37" s="600">
        <v>0</v>
      </c>
      <c r="M37" s="601">
        <v>0</v>
      </c>
      <c r="N37" s="536">
        <v>0.40599573187758564</v>
      </c>
      <c r="O37" s="538">
        <f t="shared" si="0"/>
        <v>7.2102620319899016</v>
      </c>
    </row>
    <row r="38" spans="2:15">
      <c r="B38" s="535">
        <f t="shared" si="1"/>
        <v>1970</v>
      </c>
      <c r="C38" s="598">
        <v>0</v>
      </c>
      <c r="D38" s="599">
        <v>0.15609353324380487</v>
      </c>
      <c r="E38" s="600">
        <v>0</v>
      </c>
      <c r="F38" s="600">
        <v>0.12343948376061811</v>
      </c>
      <c r="G38" s="600">
        <v>0.10183757410250993</v>
      </c>
      <c r="H38" s="600">
        <v>1.5501702611798552E-2</v>
      </c>
      <c r="I38" s="601">
        <v>0</v>
      </c>
      <c r="J38" s="602">
        <v>0</v>
      </c>
      <c r="K38" s="603">
        <v>0</v>
      </c>
      <c r="L38" s="600">
        <v>0</v>
      </c>
      <c r="M38" s="601">
        <v>0</v>
      </c>
      <c r="N38" s="536">
        <v>0.39687229371873151</v>
      </c>
      <c r="O38" s="538">
        <f t="shared" si="0"/>
        <v>7.6071343257086328</v>
      </c>
    </row>
    <row r="39" spans="2:15">
      <c r="B39" s="535">
        <f t="shared" si="1"/>
        <v>1971</v>
      </c>
      <c r="C39" s="598">
        <v>0</v>
      </c>
      <c r="D39" s="599">
        <v>0.15251387826275048</v>
      </c>
      <c r="E39" s="600">
        <v>0</v>
      </c>
      <c r="F39" s="600">
        <v>0.12060867614341647</v>
      </c>
      <c r="G39" s="600">
        <v>9.9502157818318587E-2</v>
      </c>
      <c r="H39" s="600">
        <v>1.5146205841266254E-2</v>
      </c>
      <c r="I39" s="601">
        <v>0</v>
      </c>
      <c r="J39" s="602">
        <v>0</v>
      </c>
      <c r="K39" s="603">
        <v>0</v>
      </c>
      <c r="L39" s="600">
        <v>0</v>
      </c>
      <c r="M39" s="601">
        <v>0</v>
      </c>
      <c r="N39" s="536">
        <v>0.38777091806575181</v>
      </c>
      <c r="O39" s="538">
        <f t="shared" si="0"/>
        <v>7.9949052437743848</v>
      </c>
    </row>
    <row r="40" spans="2:15">
      <c r="B40" s="535">
        <f t="shared" si="1"/>
        <v>1972</v>
      </c>
      <c r="C40" s="598">
        <v>0</v>
      </c>
      <c r="D40" s="599">
        <v>0.14894899486753987</v>
      </c>
      <c r="E40" s="600">
        <v>0</v>
      </c>
      <c r="F40" s="600">
        <v>0.11778954996421545</v>
      </c>
      <c r="G40" s="600">
        <v>9.7176378720477741E-2</v>
      </c>
      <c r="H40" s="600">
        <v>1.4792176042017753E-2</v>
      </c>
      <c r="I40" s="601">
        <v>0</v>
      </c>
      <c r="J40" s="602">
        <v>0</v>
      </c>
      <c r="K40" s="603">
        <v>0</v>
      </c>
      <c r="L40" s="600">
        <v>0</v>
      </c>
      <c r="M40" s="601">
        <v>0</v>
      </c>
      <c r="N40" s="536">
        <v>0.37870709959425081</v>
      </c>
      <c r="O40" s="538">
        <f t="shared" si="0"/>
        <v>8.3736123433686362</v>
      </c>
    </row>
    <row r="41" spans="2:15">
      <c r="B41" s="535">
        <f t="shared" si="1"/>
        <v>1973</v>
      </c>
      <c r="C41" s="598">
        <v>0</v>
      </c>
      <c r="D41" s="599">
        <v>0.14540442805289108</v>
      </c>
      <c r="E41" s="600">
        <v>0</v>
      </c>
      <c r="F41" s="600">
        <v>0.11498649023033228</v>
      </c>
      <c r="G41" s="600">
        <v>9.4863854440024126E-2</v>
      </c>
      <c r="H41" s="600">
        <v>1.4440163889390562E-2</v>
      </c>
      <c r="I41" s="601">
        <v>0</v>
      </c>
      <c r="J41" s="602">
        <v>0</v>
      </c>
      <c r="K41" s="603">
        <v>0</v>
      </c>
      <c r="L41" s="600">
        <v>0</v>
      </c>
      <c r="M41" s="601">
        <v>0</v>
      </c>
      <c r="N41" s="536">
        <v>0.36969493661263803</v>
      </c>
      <c r="O41" s="538">
        <f t="shared" si="0"/>
        <v>8.7433072799812734</v>
      </c>
    </row>
    <row r="42" spans="2:15">
      <c r="B42" s="535">
        <f t="shared" si="1"/>
        <v>1974</v>
      </c>
      <c r="C42" s="598">
        <v>0</v>
      </c>
      <c r="D42" s="599">
        <v>0.14188520997183404</v>
      </c>
      <c r="E42" s="600">
        <v>0</v>
      </c>
      <c r="F42" s="600">
        <v>0.11220347639151934</v>
      </c>
      <c r="G42" s="600">
        <v>9.256786802300343E-2</v>
      </c>
      <c r="H42" s="600">
        <v>1.409066912823731E-2</v>
      </c>
      <c r="I42" s="601">
        <v>0</v>
      </c>
      <c r="J42" s="602">
        <v>0</v>
      </c>
      <c r="K42" s="603">
        <v>0</v>
      </c>
      <c r="L42" s="600">
        <v>0</v>
      </c>
      <c r="M42" s="601">
        <v>0</v>
      </c>
      <c r="N42" s="536">
        <v>0.3607472235145941</v>
      </c>
      <c r="O42" s="538">
        <f t="shared" si="0"/>
        <v>9.1040545034958669</v>
      </c>
    </row>
    <row r="43" spans="2:15">
      <c r="B43" s="535">
        <f t="shared" si="1"/>
        <v>1975</v>
      </c>
      <c r="C43" s="598">
        <v>0</v>
      </c>
      <c r="D43" s="599">
        <v>0.13839589416885301</v>
      </c>
      <c r="E43" s="600">
        <v>0</v>
      </c>
      <c r="F43" s="600">
        <v>0.10944410941169068</v>
      </c>
      <c r="G43" s="600">
        <v>9.0291390264644791E-2</v>
      </c>
      <c r="H43" s="600">
        <v>1.3744143972630919E-2</v>
      </c>
      <c r="I43" s="601">
        <v>0</v>
      </c>
      <c r="J43" s="602">
        <v>0</v>
      </c>
      <c r="K43" s="603">
        <v>0</v>
      </c>
      <c r="L43" s="600">
        <v>0</v>
      </c>
      <c r="M43" s="601">
        <v>0</v>
      </c>
      <c r="N43" s="536">
        <v>0.35187553781781938</v>
      </c>
      <c r="O43" s="538">
        <f t="shared" si="0"/>
        <v>9.4559300413136871</v>
      </c>
    </row>
    <row r="44" spans="2:15">
      <c r="B44" s="535">
        <f t="shared" si="1"/>
        <v>1976</v>
      </c>
      <c r="C44" s="598">
        <v>0</v>
      </c>
      <c r="D44" s="599">
        <v>0.1349405878004214</v>
      </c>
      <c r="E44" s="600">
        <v>0</v>
      </c>
      <c r="F44" s="600">
        <v>0.10671163724906892</v>
      </c>
      <c r="G44" s="600">
        <v>8.8037100730481849E-2</v>
      </c>
      <c r="H44" s="600">
        <v>1.3400996305697022E-2</v>
      </c>
      <c r="I44" s="601">
        <v>0</v>
      </c>
      <c r="J44" s="602">
        <v>0</v>
      </c>
      <c r="K44" s="603">
        <v>0</v>
      </c>
      <c r="L44" s="600">
        <v>0</v>
      </c>
      <c r="M44" s="601">
        <v>0</v>
      </c>
      <c r="N44" s="536">
        <v>0.34309032208566914</v>
      </c>
      <c r="O44" s="538">
        <f t="shared" si="0"/>
        <v>9.7990203633993556</v>
      </c>
    </row>
    <row r="45" spans="2:15">
      <c r="B45" s="535">
        <f t="shared" si="1"/>
        <v>1977</v>
      </c>
      <c r="C45" s="598">
        <v>0</v>
      </c>
      <c r="D45" s="599">
        <v>0.13152298195345546</v>
      </c>
      <c r="E45" s="600">
        <v>0</v>
      </c>
      <c r="F45" s="600">
        <v>0.1040089788321579</v>
      </c>
      <c r="G45" s="600">
        <v>8.5807407536530267E-2</v>
      </c>
      <c r="H45" s="600">
        <v>1.3061592690550058E-2</v>
      </c>
      <c r="I45" s="601">
        <v>0</v>
      </c>
      <c r="J45" s="602">
        <v>0</v>
      </c>
      <c r="K45" s="603">
        <v>0</v>
      </c>
      <c r="L45" s="600">
        <v>0</v>
      </c>
      <c r="M45" s="601">
        <v>0</v>
      </c>
      <c r="N45" s="536">
        <v>0.33440096101269368</v>
      </c>
      <c r="O45" s="538">
        <f t="shared" si="0"/>
        <v>10.133421324412049</v>
      </c>
    </row>
    <row r="46" spans="2:15">
      <c r="B46" s="535">
        <f t="shared" si="1"/>
        <v>1978</v>
      </c>
      <c r="C46" s="598">
        <v>0</v>
      </c>
      <c r="D46" s="599">
        <v>0.12814638016639776</v>
      </c>
      <c r="E46" s="600">
        <v>0</v>
      </c>
      <c r="F46" s="600">
        <v>0.10133874661434672</v>
      </c>
      <c r="G46" s="600">
        <v>8.3604465956836044E-2</v>
      </c>
      <c r="H46" s="600">
        <v>1.2726261202731912E-2</v>
      </c>
      <c r="I46" s="601">
        <v>0</v>
      </c>
      <c r="J46" s="602">
        <v>0</v>
      </c>
      <c r="K46" s="603">
        <v>0</v>
      </c>
      <c r="L46" s="600">
        <v>0</v>
      </c>
      <c r="M46" s="601">
        <v>0</v>
      </c>
      <c r="N46" s="536">
        <v>0.32581585394031243</v>
      </c>
      <c r="O46" s="538">
        <f t="shared" si="0"/>
        <v>10.459237178352362</v>
      </c>
    </row>
    <row r="47" spans="2:15">
      <c r="B47" s="535">
        <f t="shared" si="1"/>
        <v>1979</v>
      </c>
      <c r="C47" s="598">
        <v>0</v>
      </c>
      <c r="D47" s="599">
        <v>0.12481372525212214</v>
      </c>
      <c r="E47" s="600">
        <v>0</v>
      </c>
      <c r="F47" s="600">
        <v>9.8703267785586246E-2</v>
      </c>
      <c r="G47" s="600">
        <v>8.1430195923108642E-2</v>
      </c>
      <c r="H47" s="600">
        <v>1.2395294094003853E-2</v>
      </c>
      <c r="I47" s="601">
        <v>0</v>
      </c>
      <c r="J47" s="602">
        <v>0</v>
      </c>
      <c r="K47" s="603">
        <v>0</v>
      </c>
      <c r="L47" s="600">
        <v>0</v>
      </c>
      <c r="M47" s="601">
        <v>0</v>
      </c>
      <c r="N47" s="536">
        <v>0.31734248305482088</v>
      </c>
      <c r="O47" s="538">
        <f t="shared" si="0"/>
        <v>10.776579661407183</v>
      </c>
    </row>
    <row r="48" spans="2:15">
      <c r="B48" s="535">
        <f t="shared" si="1"/>
        <v>1980</v>
      </c>
      <c r="C48" s="598">
        <v>0</v>
      </c>
      <c r="D48" s="599">
        <v>0.12148291980000002</v>
      </c>
      <c r="E48" s="600">
        <v>0</v>
      </c>
      <c r="F48" s="600">
        <v>9.606925152000001E-2</v>
      </c>
      <c r="G48" s="600">
        <v>7.9257132504000016E-2</v>
      </c>
      <c r="H48" s="600">
        <v>1.2064510656000001E-2</v>
      </c>
      <c r="I48" s="601">
        <v>0</v>
      </c>
      <c r="J48" s="602">
        <v>0</v>
      </c>
      <c r="K48" s="603">
        <v>0</v>
      </c>
      <c r="L48" s="600">
        <v>0</v>
      </c>
      <c r="M48" s="601">
        <v>0</v>
      </c>
      <c r="N48" s="536">
        <v>0.30887381448000006</v>
      </c>
      <c r="O48" s="538">
        <f t="shared" si="0"/>
        <v>11.085453475887183</v>
      </c>
    </row>
    <row r="49" spans="2:15">
      <c r="B49" s="535">
        <f t="shared" si="1"/>
        <v>1981</v>
      </c>
      <c r="C49" s="598">
        <v>0</v>
      </c>
      <c r="D49" s="599">
        <v>0</v>
      </c>
      <c r="E49" s="600">
        <v>0</v>
      </c>
      <c r="F49" s="600">
        <v>0</v>
      </c>
      <c r="G49" s="600">
        <v>0</v>
      </c>
      <c r="H49" s="600">
        <v>0</v>
      </c>
      <c r="I49" s="601">
        <v>0</v>
      </c>
      <c r="J49" s="602">
        <v>0</v>
      </c>
      <c r="K49" s="603">
        <v>0</v>
      </c>
      <c r="L49" s="600">
        <v>0</v>
      </c>
      <c r="M49" s="601">
        <v>0</v>
      </c>
      <c r="N49" s="536">
        <v>0</v>
      </c>
      <c r="O49" s="538">
        <f t="shared" si="0"/>
        <v>11.085453475887183</v>
      </c>
    </row>
    <row r="50" spans="2:15">
      <c r="B50" s="535">
        <f t="shared" si="1"/>
        <v>1982</v>
      </c>
      <c r="C50" s="598">
        <v>0</v>
      </c>
      <c r="D50" s="599">
        <v>0</v>
      </c>
      <c r="E50" s="600">
        <v>0</v>
      </c>
      <c r="F50" s="600">
        <v>0</v>
      </c>
      <c r="G50" s="600">
        <v>0</v>
      </c>
      <c r="H50" s="600">
        <v>0</v>
      </c>
      <c r="I50" s="601">
        <v>0</v>
      </c>
      <c r="J50" s="602">
        <v>0</v>
      </c>
      <c r="K50" s="603">
        <v>0</v>
      </c>
      <c r="L50" s="600">
        <v>0</v>
      </c>
      <c r="M50" s="601">
        <v>0</v>
      </c>
      <c r="N50" s="536">
        <v>0</v>
      </c>
      <c r="O50" s="538">
        <f t="shared" si="0"/>
        <v>11.085453475887183</v>
      </c>
    </row>
    <row r="51" spans="2:15">
      <c r="B51" s="535">
        <f t="shared" si="1"/>
        <v>1983</v>
      </c>
      <c r="C51" s="598">
        <v>0</v>
      </c>
      <c r="D51" s="599">
        <v>0</v>
      </c>
      <c r="E51" s="600">
        <v>0</v>
      </c>
      <c r="F51" s="600">
        <v>0</v>
      </c>
      <c r="G51" s="600">
        <v>0</v>
      </c>
      <c r="H51" s="600">
        <v>0</v>
      </c>
      <c r="I51" s="601">
        <v>0</v>
      </c>
      <c r="J51" s="602">
        <v>0</v>
      </c>
      <c r="K51" s="603">
        <v>0</v>
      </c>
      <c r="L51" s="600">
        <v>0</v>
      </c>
      <c r="M51" s="601">
        <v>0</v>
      </c>
      <c r="N51" s="536">
        <v>0</v>
      </c>
      <c r="O51" s="538">
        <f t="shared" si="0"/>
        <v>11.085453475887183</v>
      </c>
    </row>
    <row r="52" spans="2:15">
      <c r="B52" s="535">
        <f t="shared" si="1"/>
        <v>1984</v>
      </c>
      <c r="C52" s="598">
        <v>0</v>
      </c>
      <c r="D52" s="599">
        <v>0</v>
      </c>
      <c r="E52" s="600">
        <v>0</v>
      </c>
      <c r="F52" s="600">
        <v>0</v>
      </c>
      <c r="G52" s="600">
        <v>0</v>
      </c>
      <c r="H52" s="600">
        <v>0</v>
      </c>
      <c r="I52" s="601">
        <v>0</v>
      </c>
      <c r="J52" s="602">
        <v>0</v>
      </c>
      <c r="K52" s="603">
        <v>0</v>
      </c>
      <c r="L52" s="600">
        <v>0</v>
      </c>
      <c r="M52" s="601">
        <v>0</v>
      </c>
      <c r="N52" s="536">
        <v>0</v>
      </c>
      <c r="O52" s="538">
        <f t="shared" si="0"/>
        <v>11.085453475887183</v>
      </c>
    </row>
    <row r="53" spans="2:15">
      <c r="B53" s="535">
        <f t="shared" si="1"/>
        <v>1985</v>
      </c>
      <c r="C53" s="598">
        <v>0</v>
      </c>
      <c r="D53" s="599">
        <v>0</v>
      </c>
      <c r="E53" s="600">
        <v>0</v>
      </c>
      <c r="F53" s="600">
        <v>0</v>
      </c>
      <c r="G53" s="600">
        <v>0</v>
      </c>
      <c r="H53" s="600">
        <v>0</v>
      </c>
      <c r="I53" s="601">
        <v>0</v>
      </c>
      <c r="J53" s="602">
        <v>0</v>
      </c>
      <c r="K53" s="603">
        <v>0</v>
      </c>
      <c r="L53" s="600">
        <v>0</v>
      </c>
      <c r="M53" s="601">
        <v>0</v>
      </c>
      <c r="N53" s="536">
        <v>0</v>
      </c>
      <c r="O53" s="538">
        <f t="shared" si="0"/>
        <v>11.085453475887183</v>
      </c>
    </row>
    <row r="54" spans="2:15">
      <c r="B54" s="535">
        <f t="shared" si="1"/>
        <v>1986</v>
      </c>
      <c r="C54" s="598">
        <v>0</v>
      </c>
      <c r="D54" s="599">
        <v>0</v>
      </c>
      <c r="E54" s="600">
        <v>0</v>
      </c>
      <c r="F54" s="600">
        <v>0</v>
      </c>
      <c r="G54" s="600">
        <v>0</v>
      </c>
      <c r="H54" s="600">
        <v>0</v>
      </c>
      <c r="I54" s="601">
        <v>0</v>
      </c>
      <c r="J54" s="602">
        <v>0</v>
      </c>
      <c r="K54" s="603">
        <v>0</v>
      </c>
      <c r="L54" s="600">
        <v>0</v>
      </c>
      <c r="M54" s="601">
        <v>0</v>
      </c>
      <c r="N54" s="536">
        <v>0</v>
      </c>
      <c r="O54" s="538">
        <f t="shared" si="0"/>
        <v>11.085453475887183</v>
      </c>
    </row>
    <row r="55" spans="2:15">
      <c r="B55" s="535">
        <f t="shared" si="1"/>
        <v>1987</v>
      </c>
      <c r="C55" s="598">
        <v>0</v>
      </c>
      <c r="D55" s="599">
        <v>0</v>
      </c>
      <c r="E55" s="600">
        <v>0</v>
      </c>
      <c r="F55" s="600">
        <v>0</v>
      </c>
      <c r="G55" s="600">
        <v>0</v>
      </c>
      <c r="H55" s="600">
        <v>0</v>
      </c>
      <c r="I55" s="601">
        <v>0</v>
      </c>
      <c r="J55" s="602">
        <v>0</v>
      </c>
      <c r="K55" s="603">
        <v>0</v>
      </c>
      <c r="L55" s="600">
        <v>0</v>
      </c>
      <c r="M55" s="601">
        <v>0</v>
      </c>
      <c r="N55" s="536">
        <v>0</v>
      </c>
      <c r="O55" s="538">
        <f t="shared" si="0"/>
        <v>11.085453475887183</v>
      </c>
    </row>
    <row r="56" spans="2:15">
      <c r="B56" s="535">
        <f t="shared" si="1"/>
        <v>1988</v>
      </c>
      <c r="C56" s="598">
        <v>0</v>
      </c>
      <c r="D56" s="599">
        <v>0</v>
      </c>
      <c r="E56" s="600">
        <v>0</v>
      </c>
      <c r="F56" s="600">
        <v>0</v>
      </c>
      <c r="G56" s="600">
        <v>0</v>
      </c>
      <c r="H56" s="600">
        <v>0</v>
      </c>
      <c r="I56" s="601">
        <v>0</v>
      </c>
      <c r="J56" s="602">
        <v>0</v>
      </c>
      <c r="K56" s="603">
        <v>0</v>
      </c>
      <c r="L56" s="600">
        <v>0</v>
      </c>
      <c r="M56" s="601">
        <v>0</v>
      </c>
      <c r="N56" s="536">
        <v>0</v>
      </c>
      <c r="O56" s="538">
        <f t="shared" si="0"/>
        <v>11.085453475887183</v>
      </c>
    </row>
    <row r="57" spans="2:15">
      <c r="B57" s="535">
        <f t="shared" si="1"/>
        <v>1989</v>
      </c>
      <c r="C57" s="598">
        <v>0</v>
      </c>
      <c r="D57" s="599">
        <v>0</v>
      </c>
      <c r="E57" s="600">
        <v>0</v>
      </c>
      <c r="F57" s="600">
        <v>0</v>
      </c>
      <c r="G57" s="600">
        <v>0</v>
      </c>
      <c r="H57" s="600">
        <v>0</v>
      </c>
      <c r="I57" s="601">
        <v>0</v>
      </c>
      <c r="J57" s="602">
        <v>0</v>
      </c>
      <c r="K57" s="603">
        <v>0</v>
      </c>
      <c r="L57" s="600">
        <v>0</v>
      </c>
      <c r="M57" s="601">
        <v>0</v>
      </c>
      <c r="N57" s="536">
        <v>0</v>
      </c>
      <c r="O57" s="538">
        <f t="shared" si="0"/>
        <v>11.085453475887183</v>
      </c>
    </row>
    <row r="58" spans="2:15">
      <c r="B58" s="535">
        <f t="shared" si="1"/>
        <v>1990</v>
      </c>
      <c r="C58" s="598">
        <v>0</v>
      </c>
      <c r="D58" s="599">
        <v>0</v>
      </c>
      <c r="E58" s="600">
        <v>0</v>
      </c>
      <c r="F58" s="600">
        <v>0</v>
      </c>
      <c r="G58" s="600">
        <v>0</v>
      </c>
      <c r="H58" s="600">
        <v>0</v>
      </c>
      <c r="I58" s="601">
        <v>0</v>
      </c>
      <c r="J58" s="602">
        <v>0</v>
      </c>
      <c r="K58" s="603">
        <v>0</v>
      </c>
      <c r="L58" s="600">
        <v>0</v>
      </c>
      <c r="M58" s="601">
        <v>0</v>
      </c>
      <c r="N58" s="536">
        <v>0</v>
      </c>
      <c r="O58" s="538">
        <f t="shared" si="0"/>
        <v>11.085453475887183</v>
      </c>
    </row>
    <row r="59" spans="2:15">
      <c r="B59" s="535">
        <f t="shared" si="1"/>
        <v>1991</v>
      </c>
      <c r="C59" s="598">
        <v>0</v>
      </c>
      <c r="D59" s="599">
        <v>0</v>
      </c>
      <c r="E59" s="600">
        <v>0</v>
      </c>
      <c r="F59" s="600">
        <v>0</v>
      </c>
      <c r="G59" s="600">
        <v>0</v>
      </c>
      <c r="H59" s="600">
        <v>0</v>
      </c>
      <c r="I59" s="601">
        <v>0</v>
      </c>
      <c r="J59" s="602">
        <v>0</v>
      </c>
      <c r="K59" s="603">
        <v>0</v>
      </c>
      <c r="L59" s="600">
        <v>0</v>
      </c>
      <c r="M59" s="601">
        <v>0</v>
      </c>
      <c r="N59" s="536">
        <v>0</v>
      </c>
      <c r="O59" s="538">
        <f t="shared" si="0"/>
        <v>11.085453475887183</v>
      </c>
    </row>
    <row r="60" spans="2:15">
      <c r="B60" s="535">
        <f t="shared" si="1"/>
        <v>1992</v>
      </c>
      <c r="C60" s="598">
        <v>0</v>
      </c>
      <c r="D60" s="599">
        <v>0</v>
      </c>
      <c r="E60" s="600">
        <v>0</v>
      </c>
      <c r="F60" s="600">
        <v>0</v>
      </c>
      <c r="G60" s="600">
        <v>0</v>
      </c>
      <c r="H60" s="600">
        <v>0</v>
      </c>
      <c r="I60" s="601">
        <v>0</v>
      </c>
      <c r="J60" s="602">
        <v>0</v>
      </c>
      <c r="K60" s="603">
        <v>0</v>
      </c>
      <c r="L60" s="600">
        <v>0</v>
      </c>
      <c r="M60" s="601">
        <v>0</v>
      </c>
      <c r="N60" s="536">
        <v>0</v>
      </c>
      <c r="O60" s="538">
        <f t="shared" si="0"/>
        <v>11.085453475887183</v>
      </c>
    </row>
    <row r="61" spans="2:15">
      <c r="B61" s="535">
        <f t="shared" si="1"/>
        <v>1993</v>
      </c>
      <c r="C61" s="598">
        <v>0</v>
      </c>
      <c r="D61" s="599">
        <v>0</v>
      </c>
      <c r="E61" s="600">
        <v>0</v>
      </c>
      <c r="F61" s="600">
        <v>0</v>
      </c>
      <c r="G61" s="600">
        <v>0</v>
      </c>
      <c r="H61" s="600">
        <v>0</v>
      </c>
      <c r="I61" s="601">
        <v>0</v>
      </c>
      <c r="J61" s="602">
        <v>0</v>
      </c>
      <c r="K61" s="603">
        <v>0</v>
      </c>
      <c r="L61" s="600">
        <v>0</v>
      </c>
      <c r="M61" s="601">
        <v>0</v>
      </c>
      <c r="N61" s="536">
        <v>0</v>
      </c>
      <c r="O61" s="538">
        <f t="shared" si="0"/>
        <v>11.085453475887183</v>
      </c>
    </row>
    <row r="62" spans="2:15">
      <c r="B62" s="535">
        <f t="shared" si="1"/>
        <v>1994</v>
      </c>
      <c r="C62" s="598">
        <v>0</v>
      </c>
      <c r="D62" s="599">
        <v>0</v>
      </c>
      <c r="E62" s="600">
        <v>0</v>
      </c>
      <c r="F62" s="600">
        <v>0</v>
      </c>
      <c r="G62" s="600">
        <v>0</v>
      </c>
      <c r="H62" s="600">
        <v>0</v>
      </c>
      <c r="I62" s="601">
        <v>0</v>
      </c>
      <c r="J62" s="602">
        <v>0</v>
      </c>
      <c r="K62" s="603">
        <v>0</v>
      </c>
      <c r="L62" s="600">
        <v>0</v>
      </c>
      <c r="M62" s="601">
        <v>0</v>
      </c>
      <c r="N62" s="536">
        <v>0</v>
      </c>
      <c r="O62" s="538">
        <f t="shared" si="0"/>
        <v>11.085453475887183</v>
      </c>
    </row>
    <row r="63" spans="2:15">
      <c r="B63" s="535">
        <f t="shared" si="1"/>
        <v>1995</v>
      </c>
      <c r="C63" s="598">
        <v>0</v>
      </c>
      <c r="D63" s="599">
        <v>0</v>
      </c>
      <c r="E63" s="600">
        <v>0</v>
      </c>
      <c r="F63" s="600">
        <v>0</v>
      </c>
      <c r="G63" s="600">
        <v>0</v>
      </c>
      <c r="H63" s="600">
        <v>0</v>
      </c>
      <c r="I63" s="601">
        <v>0</v>
      </c>
      <c r="J63" s="602">
        <v>0</v>
      </c>
      <c r="K63" s="603">
        <v>0</v>
      </c>
      <c r="L63" s="600">
        <v>0</v>
      </c>
      <c r="M63" s="601">
        <v>0</v>
      </c>
      <c r="N63" s="536">
        <v>0</v>
      </c>
      <c r="O63" s="538">
        <f t="shared" si="0"/>
        <v>11.085453475887183</v>
      </c>
    </row>
    <row r="64" spans="2:15">
      <c r="B64" s="535">
        <f t="shared" si="1"/>
        <v>1996</v>
      </c>
      <c r="C64" s="598">
        <v>0</v>
      </c>
      <c r="D64" s="599">
        <v>0</v>
      </c>
      <c r="E64" s="600">
        <v>0</v>
      </c>
      <c r="F64" s="600">
        <v>0</v>
      </c>
      <c r="G64" s="600">
        <v>0</v>
      </c>
      <c r="H64" s="600">
        <v>0</v>
      </c>
      <c r="I64" s="601">
        <v>0</v>
      </c>
      <c r="J64" s="602">
        <v>0</v>
      </c>
      <c r="K64" s="603">
        <v>0</v>
      </c>
      <c r="L64" s="600">
        <v>0</v>
      </c>
      <c r="M64" s="601">
        <v>0</v>
      </c>
      <c r="N64" s="536">
        <v>0</v>
      </c>
      <c r="O64" s="538">
        <f t="shared" si="0"/>
        <v>11.085453475887183</v>
      </c>
    </row>
    <row r="65" spans="2:15">
      <c r="B65" s="535">
        <f t="shared" si="1"/>
        <v>1997</v>
      </c>
      <c r="C65" s="598">
        <v>0</v>
      </c>
      <c r="D65" s="599">
        <v>0</v>
      </c>
      <c r="E65" s="600">
        <v>0</v>
      </c>
      <c r="F65" s="600">
        <v>0</v>
      </c>
      <c r="G65" s="600">
        <v>0</v>
      </c>
      <c r="H65" s="600">
        <v>0</v>
      </c>
      <c r="I65" s="601">
        <v>0</v>
      </c>
      <c r="J65" s="602">
        <v>0</v>
      </c>
      <c r="K65" s="603">
        <v>0</v>
      </c>
      <c r="L65" s="600">
        <v>0</v>
      </c>
      <c r="M65" s="601">
        <v>0</v>
      </c>
      <c r="N65" s="536">
        <v>0</v>
      </c>
      <c r="O65" s="538">
        <f t="shared" si="0"/>
        <v>11.085453475887183</v>
      </c>
    </row>
    <row r="66" spans="2:15">
      <c r="B66" s="535">
        <f t="shared" si="1"/>
        <v>1998</v>
      </c>
      <c r="C66" s="598">
        <v>0</v>
      </c>
      <c r="D66" s="599">
        <v>0</v>
      </c>
      <c r="E66" s="600">
        <v>0</v>
      </c>
      <c r="F66" s="600">
        <v>0</v>
      </c>
      <c r="G66" s="600">
        <v>0</v>
      </c>
      <c r="H66" s="600">
        <v>0</v>
      </c>
      <c r="I66" s="601">
        <v>0</v>
      </c>
      <c r="J66" s="602">
        <v>0</v>
      </c>
      <c r="K66" s="603">
        <v>0</v>
      </c>
      <c r="L66" s="600">
        <v>0</v>
      </c>
      <c r="M66" s="601">
        <v>0</v>
      </c>
      <c r="N66" s="536">
        <v>0</v>
      </c>
      <c r="O66" s="538">
        <f t="shared" si="0"/>
        <v>11.085453475887183</v>
      </c>
    </row>
    <row r="67" spans="2:15">
      <c r="B67" s="535">
        <f t="shared" si="1"/>
        <v>1999</v>
      </c>
      <c r="C67" s="598">
        <v>0</v>
      </c>
      <c r="D67" s="599">
        <v>0</v>
      </c>
      <c r="E67" s="600">
        <v>0</v>
      </c>
      <c r="F67" s="600">
        <v>0</v>
      </c>
      <c r="G67" s="600">
        <v>0</v>
      </c>
      <c r="H67" s="600">
        <v>0</v>
      </c>
      <c r="I67" s="601">
        <v>0</v>
      </c>
      <c r="J67" s="602">
        <v>0</v>
      </c>
      <c r="K67" s="603">
        <v>0</v>
      </c>
      <c r="L67" s="600">
        <v>0</v>
      </c>
      <c r="M67" s="601">
        <v>0</v>
      </c>
      <c r="N67" s="536">
        <v>0</v>
      </c>
      <c r="O67" s="538">
        <f t="shared" si="0"/>
        <v>11.085453475887183</v>
      </c>
    </row>
    <row r="68" spans="2:15">
      <c r="B68" s="535">
        <f t="shared" si="1"/>
        <v>2000</v>
      </c>
      <c r="C68" s="598">
        <v>0</v>
      </c>
      <c r="D68" s="599">
        <v>0</v>
      </c>
      <c r="E68" s="600">
        <v>0</v>
      </c>
      <c r="F68" s="600">
        <v>0</v>
      </c>
      <c r="G68" s="600">
        <v>0</v>
      </c>
      <c r="H68" s="600">
        <v>0</v>
      </c>
      <c r="I68" s="601">
        <v>0</v>
      </c>
      <c r="J68" s="602">
        <v>0</v>
      </c>
      <c r="K68" s="603">
        <v>0</v>
      </c>
      <c r="L68" s="600">
        <v>0</v>
      </c>
      <c r="M68" s="601">
        <v>0</v>
      </c>
      <c r="N68" s="536">
        <v>0</v>
      </c>
      <c r="O68" s="538">
        <f t="shared" si="0"/>
        <v>11.085453475887183</v>
      </c>
    </row>
    <row r="69" spans="2:15">
      <c r="B69" s="535">
        <f t="shared" si="1"/>
        <v>2001</v>
      </c>
      <c r="C69" s="598">
        <v>0</v>
      </c>
      <c r="D69" s="599">
        <v>0</v>
      </c>
      <c r="E69" s="600">
        <v>0</v>
      </c>
      <c r="F69" s="600">
        <v>0</v>
      </c>
      <c r="G69" s="600">
        <v>0</v>
      </c>
      <c r="H69" s="600">
        <v>0</v>
      </c>
      <c r="I69" s="601">
        <v>0</v>
      </c>
      <c r="J69" s="602">
        <v>0</v>
      </c>
      <c r="K69" s="603">
        <v>0</v>
      </c>
      <c r="L69" s="600">
        <v>0</v>
      </c>
      <c r="M69" s="601">
        <v>0</v>
      </c>
      <c r="N69" s="536">
        <v>0</v>
      </c>
      <c r="O69" s="538">
        <f t="shared" si="0"/>
        <v>11.085453475887183</v>
      </c>
    </row>
    <row r="70" spans="2:15">
      <c r="B70" s="535">
        <f t="shared" si="1"/>
        <v>2002</v>
      </c>
      <c r="C70" s="598">
        <v>0</v>
      </c>
      <c r="D70" s="599">
        <v>0</v>
      </c>
      <c r="E70" s="600">
        <v>0</v>
      </c>
      <c r="F70" s="600">
        <v>0</v>
      </c>
      <c r="G70" s="600">
        <v>0</v>
      </c>
      <c r="H70" s="600">
        <v>0</v>
      </c>
      <c r="I70" s="601">
        <v>0</v>
      </c>
      <c r="J70" s="602">
        <v>0</v>
      </c>
      <c r="K70" s="603">
        <v>0</v>
      </c>
      <c r="L70" s="600">
        <v>0</v>
      </c>
      <c r="M70" s="601">
        <v>0</v>
      </c>
      <c r="N70" s="536">
        <v>0</v>
      </c>
      <c r="O70" s="538">
        <f t="shared" si="0"/>
        <v>11.085453475887183</v>
      </c>
    </row>
    <row r="71" spans="2:15">
      <c r="B71" s="535">
        <f t="shared" si="1"/>
        <v>2003</v>
      </c>
      <c r="C71" s="598">
        <v>0</v>
      </c>
      <c r="D71" s="599">
        <v>0</v>
      </c>
      <c r="E71" s="600">
        <v>0</v>
      </c>
      <c r="F71" s="600">
        <v>0</v>
      </c>
      <c r="G71" s="600">
        <v>0</v>
      </c>
      <c r="H71" s="600">
        <v>0</v>
      </c>
      <c r="I71" s="601">
        <v>0</v>
      </c>
      <c r="J71" s="602">
        <v>0</v>
      </c>
      <c r="K71" s="603">
        <v>0</v>
      </c>
      <c r="L71" s="600">
        <v>0</v>
      </c>
      <c r="M71" s="601">
        <v>0</v>
      </c>
      <c r="N71" s="536">
        <v>0</v>
      </c>
      <c r="O71" s="538">
        <f t="shared" si="0"/>
        <v>11.085453475887183</v>
      </c>
    </row>
    <row r="72" spans="2:15">
      <c r="B72" s="535">
        <f t="shared" si="1"/>
        <v>2004</v>
      </c>
      <c r="C72" s="598">
        <v>0</v>
      </c>
      <c r="D72" s="599">
        <v>0</v>
      </c>
      <c r="E72" s="600">
        <v>0</v>
      </c>
      <c r="F72" s="600">
        <v>0</v>
      </c>
      <c r="G72" s="600">
        <v>0</v>
      </c>
      <c r="H72" s="600">
        <v>0</v>
      </c>
      <c r="I72" s="601">
        <v>0</v>
      </c>
      <c r="J72" s="602">
        <v>0</v>
      </c>
      <c r="K72" s="603">
        <v>0</v>
      </c>
      <c r="L72" s="600">
        <v>0</v>
      </c>
      <c r="M72" s="601">
        <v>0</v>
      </c>
      <c r="N72" s="536">
        <v>0</v>
      </c>
      <c r="O72" s="538">
        <f t="shared" si="0"/>
        <v>11.085453475887183</v>
      </c>
    </row>
    <row r="73" spans="2:15">
      <c r="B73" s="535">
        <f t="shared" si="1"/>
        <v>2005</v>
      </c>
      <c r="C73" s="598">
        <v>0</v>
      </c>
      <c r="D73" s="599">
        <v>0</v>
      </c>
      <c r="E73" s="600">
        <v>0</v>
      </c>
      <c r="F73" s="600">
        <v>0</v>
      </c>
      <c r="G73" s="600">
        <v>0</v>
      </c>
      <c r="H73" s="600">
        <v>0</v>
      </c>
      <c r="I73" s="601">
        <v>0</v>
      </c>
      <c r="J73" s="602">
        <v>0</v>
      </c>
      <c r="K73" s="603">
        <v>0</v>
      </c>
      <c r="L73" s="600">
        <v>0</v>
      </c>
      <c r="M73" s="601">
        <v>0</v>
      </c>
      <c r="N73" s="536">
        <v>0</v>
      </c>
      <c r="O73" s="538">
        <f t="shared" si="0"/>
        <v>11.085453475887183</v>
      </c>
    </row>
    <row r="74" spans="2:15">
      <c r="B74" s="535">
        <f t="shared" si="1"/>
        <v>2006</v>
      </c>
      <c r="C74" s="598">
        <v>0</v>
      </c>
      <c r="D74" s="599">
        <v>0</v>
      </c>
      <c r="E74" s="600">
        <v>0</v>
      </c>
      <c r="F74" s="600">
        <v>0</v>
      </c>
      <c r="G74" s="600">
        <v>0</v>
      </c>
      <c r="H74" s="600">
        <v>0</v>
      </c>
      <c r="I74" s="601">
        <v>0</v>
      </c>
      <c r="J74" s="602">
        <v>0</v>
      </c>
      <c r="K74" s="603">
        <v>0</v>
      </c>
      <c r="L74" s="600">
        <v>0</v>
      </c>
      <c r="M74" s="601">
        <v>0</v>
      </c>
      <c r="N74" s="536">
        <v>0</v>
      </c>
      <c r="O74" s="538">
        <f t="shared" si="0"/>
        <v>11.085453475887183</v>
      </c>
    </row>
    <row r="75" spans="2:15">
      <c r="B75" s="535">
        <f t="shared" si="1"/>
        <v>2007</v>
      </c>
      <c r="C75" s="598">
        <v>0</v>
      </c>
      <c r="D75" s="599">
        <v>0</v>
      </c>
      <c r="E75" s="600">
        <v>0</v>
      </c>
      <c r="F75" s="600">
        <v>0</v>
      </c>
      <c r="G75" s="600">
        <v>0</v>
      </c>
      <c r="H75" s="600">
        <v>0</v>
      </c>
      <c r="I75" s="601">
        <v>0</v>
      </c>
      <c r="J75" s="602">
        <v>0</v>
      </c>
      <c r="K75" s="603">
        <v>0</v>
      </c>
      <c r="L75" s="600">
        <v>0</v>
      </c>
      <c r="M75" s="601">
        <v>0</v>
      </c>
      <c r="N75" s="536">
        <v>0</v>
      </c>
      <c r="O75" s="538">
        <f t="shared" si="0"/>
        <v>11.085453475887183</v>
      </c>
    </row>
    <row r="76" spans="2:15">
      <c r="B76" s="535">
        <f t="shared" si="1"/>
        <v>2008</v>
      </c>
      <c r="C76" s="598">
        <v>0</v>
      </c>
      <c r="D76" s="599">
        <v>0</v>
      </c>
      <c r="E76" s="600">
        <v>0</v>
      </c>
      <c r="F76" s="600">
        <v>0</v>
      </c>
      <c r="G76" s="600">
        <v>0</v>
      </c>
      <c r="H76" s="600">
        <v>0</v>
      </c>
      <c r="I76" s="601">
        <v>0</v>
      </c>
      <c r="J76" s="602">
        <v>0</v>
      </c>
      <c r="K76" s="603">
        <v>0</v>
      </c>
      <c r="L76" s="600">
        <v>0</v>
      </c>
      <c r="M76" s="601">
        <v>0</v>
      </c>
      <c r="N76" s="536">
        <v>0</v>
      </c>
      <c r="O76" s="538">
        <f t="shared" si="0"/>
        <v>11.085453475887183</v>
      </c>
    </row>
    <row r="77" spans="2:15">
      <c r="B77" s="535">
        <f t="shared" si="1"/>
        <v>2009</v>
      </c>
      <c r="C77" s="598">
        <v>0</v>
      </c>
      <c r="D77" s="599">
        <v>0</v>
      </c>
      <c r="E77" s="600">
        <v>0</v>
      </c>
      <c r="F77" s="600">
        <v>0</v>
      </c>
      <c r="G77" s="600">
        <v>0</v>
      </c>
      <c r="H77" s="600">
        <v>0</v>
      </c>
      <c r="I77" s="601">
        <v>0</v>
      </c>
      <c r="J77" s="602">
        <v>0</v>
      </c>
      <c r="K77" s="603">
        <v>0</v>
      </c>
      <c r="L77" s="600">
        <v>0</v>
      </c>
      <c r="M77" s="601">
        <v>0</v>
      </c>
      <c r="N77" s="536">
        <v>0</v>
      </c>
      <c r="O77" s="538">
        <f t="shared" si="0"/>
        <v>11.085453475887183</v>
      </c>
    </row>
    <row r="78" spans="2:15">
      <c r="B78" s="535">
        <f t="shared" si="1"/>
        <v>2010</v>
      </c>
      <c r="C78" s="598">
        <v>0</v>
      </c>
      <c r="D78" s="599">
        <v>0</v>
      </c>
      <c r="E78" s="600">
        <v>0</v>
      </c>
      <c r="F78" s="600">
        <v>0</v>
      </c>
      <c r="G78" s="600">
        <v>0</v>
      </c>
      <c r="H78" s="600">
        <v>0</v>
      </c>
      <c r="I78" s="601">
        <v>0</v>
      </c>
      <c r="J78" s="602">
        <v>0</v>
      </c>
      <c r="K78" s="603">
        <v>0</v>
      </c>
      <c r="L78" s="600">
        <v>0</v>
      </c>
      <c r="M78" s="601">
        <v>0</v>
      </c>
      <c r="N78" s="536">
        <v>0</v>
      </c>
      <c r="O78" s="538">
        <f t="shared" si="0"/>
        <v>11.085453475887183</v>
      </c>
    </row>
    <row r="79" spans="2:15">
      <c r="B79" s="535">
        <f t="shared" si="1"/>
        <v>2011</v>
      </c>
      <c r="C79" s="598">
        <v>0</v>
      </c>
      <c r="D79" s="599">
        <v>0</v>
      </c>
      <c r="E79" s="600">
        <v>0</v>
      </c>
      <c r="F79" s="600">
        <v>0</v>
      </c>
      <c r="G79" s="600">
        <v>0</v>
      </c>
      <c r="H79" s="600">
        <v>0</v>
      </c>
      <c r="I79" s="601">
        <v>0</v>
      </c>
      <c r="J79" s="602">
        <v>0</v>
      </c>
      <c r="K79" s="603">
        <v>0</v>
      </c>
      <c r="L79" s="600">
        <v>0</v>
      </c>
      <c r="M79" s="601">
        <v>0</v>
      </c>
      <c r="N79" s="536">
        <v>0</v>
      </c>
      <c r="O79" s="538">
        <f t="shared" si="0"/>
        <v>11.085453475887183</v>
      </c>
    </row>
    <row r="80" spans="2:15">
      <c r="B80" s="535">
        <f t="shared" si="1"/>
        <v>2012</v>
      </c>
      <c r="C80" s="598">
        <v>0</v>
      </c>
      <c r="D80" s="599">
        <v>0</v>
      </c>
      <c r="E80" s="600">
        <v>0</v>
      </c>
      <c r="F80" s="600">
        <v>0</v>
      </c>
      <c r="G80" s="600">
        <v>0</v>
      </c>
      <c r="H80" s="600">
        <v>0</v>
      </c>
      <c r="I80" s="601">
        <v>0</v>
      </c>
      <c r="J80" s="602">
        <v>0</v>
      </c>
      <c r="K80" s="603">
        <v>0</v>
      </c>
      <c r="L80" s="600">
        <v>0</v>
      </c>
      <c r="M80" s="601">
        <v>0</v>
      </c>
      <c r="N80" s="536">
        <v>0</v>
      </c>
      <c r="O80" s="538">
        <f t="shared" si="0"/>
        <v>11.085453475887183</v>
      </c>
    </row>
    <row r="81" spans="2:15">
      <c r="B81" s="535">
        <f t="shared" si="1"/>
        <v>2013</v>
      </c>
      <c r="C81" s="598">
        <v>0</v>
      </c>
      <c r="D81" s="599">
        <v>0</v>
      </c>
      <c r="E81" s="600">
        <v>0</v>
      </c>
      <c r="F81" s="600">
        <v>0</v>
      </c>
      <c r="G81" s="600">
        <v>0</v>
      </c>
      <c r="H81" s="600">
        <v>0</v>
      </c>
      <c r="I81" s="601">
        <v>0</v>
      </c>
      <c r="J81" s="602">
        <v>0</v>
      </c>
      <c r="K81" s="603">
        <v>0</v>
      </c>
      <c r="L81" s="600">
        <v>0</v>
      </c>
      <c r="M81" s="601">
        <v>0</v>
      </c>
      <c r="N81" s="536">
        <v>0</v>
      </c>
      <c r="O81" s="538">
        <f t="shared" si="0"/>
        <v>11.085453475887183</v>
      </c>
    </row>
    <row r="82" spans="2:15">
      <c r="B82" s="535">
        <f t="shared" si="1"/>
        <v>2014</v>
      </c>
      <c r="C82" s="598">
        <v>0</v>
      </c>
      <c r="D82" s="599">
        <v>0</v>
      </c>
      <c r="E82" s="600">
        <v>0</v>
      </c>
      <c r="F82" s="600">
        <v>0</v>
      </c>
      <c r="G82" s="600">
        <v>0</v>
      </c>
      <c r="H82" s="600">
        <v>0</v>
      </c>
      <c r="I82" s="601">
        <v>0</v>
      </c>
      <c r="J82" s="602">
        <v>0</v>
      </c>
      <c r="K82" s="603">
        <v>0</v>
      </c>
      <c r="L82" s="600">
        <v>0</v>
      </c>
      <c r="M82" s="601">
        <v>0</v>
      </c>
      <c r="N82" s="536">
        <v>0</v>
      </c>
      <c r="O82" s="538">
        <f t="shared" ref="O82:O98" si="2">O81+N82</f>
        <v>11.085453475887183</v>
      </c>
    </row>
    <row r="83" spans="2:15">
      <c r="B83" s="535">
        <f t="shared" si="1"/>
        <v>2015</v>
      </c>
      <c r="C83" s="598">
        <v>0</v>
      </c>
      <c r="D83" s="599">
        <v>0</v>
      </c>
      <c r="E83" s="600">
        <v>0</v>
      </c>
      <c r="F83" s="600">
        <v>0</v>
      </c>
      <c r="G83" s="600">
        <v>0</v>
      </c>
      <c r="H83" s="600">
        <v>0</v>
      </c>
      <c r="I83" s="601">
        <v>0</v>
      </c>
      <c r="J83" s="602">
        <v>0</v>
      </c>
      <c r="K83" s="603">
        <v>0</v>
      </c>
      <c r="L83" s="600">
        <v>0</v>
      </c>
      <c r="M83" s="601">
        <v>0</v>
      </c>
      <c r="N83" s="536">
        <v>0</v>
      </c>
      <c r="O83" s="538">
        <f t="shared" si="2"/>
        <v>11.085453475887183</v>
      </c>
    </row>
    <row r="84" spans="2:15">
      <c r="B84" s="535">
        <f t="shared" ref="B84:B98" si="3">B83+1</f>
        <v>2016</v>
      </c>
      <c r="C84" s="598">
        <v>0</v>
      </c>
      <c r="D84" s="599">
        <v>0</v>
      </c>
      <c r="E84" s="600">
        <v>0</v>
      </c>
      <c r="F84" s="600">
        <v>0</v>
      </c>
      <c r="G84" s="600">
        <v>0</v>
      </c>
      <c r="H84" s="600">
        <v>0</v>
      </c>
      <c r="I84" s="601">
        <v>0</v>
      </c>
      <c r="J84" s="602">
        <v>0</v>
      </c>
      <c r="K84" s="603">
        <v>0</v>
      </c>
      <c r="L84" s="600">
        <v>0</v>
      </c>
      <c r="M84" s="601">
        <v>0</v>
      </c>
      <c r="N84" s="536">
        <v>0</v>
      </c>
      <c r="O84" s="538">
        <f t="shared" si="2"/>
        <v>11.085453475887183</v>
      </c>
    </row>
    <row r="85" spans="2:15">
      <c r="B85" s="535">
        <f t="shared" si="3"/>
        <v>2017</v>
      </c>
      <c r="C85" s="598">
        <v>0</v>
      </c>
      <c r="D85" s="599">
        <v>0</v>
      </c>
      <c r="E85" s="600">
        <v>0</v>
      </c>
      <c r="F85" s="600">
        <v>0</v>
      </c>
      <c r="G85" s="600">
        <v>0</v>
      </c>
      <c r="H85" s="600">
        <v>0</v>
      </c>
      <c r="I85" s="601">
        <v>0</v>
      </c>
      <c r="J85" s="602">
        <v>0</v>
      </c>
      <c r="K85" s="603">
        <v>0</v>
      </c>
      <c r="L85" s="600">
        <v>0</v>
      </c>
      <c r="M85" s="601">
        <v>0</v>
      </c>
      <c r="N85" s="536">
        <v>0</v>
      </c>
      <c r="O85" s="538">
        <f t="shared" si="2"/>
        <v>11.085453475887183</v>
      </c>
    </row>
    <row r="86" spans="2:15">
      <c r="B86" s="535">
        <f t="shared" si="3"/>
        <v>2018</v>
      </c>
      <c r="C86" s="598">
        <v>0</v>
      </c>
      <c r="D86" s="599">
        <v>0</v>
      </c>
      <c r="E86" s="600">
        <v>0</v>
      </c>
      <c r="F86" s="600">
        <v>0</v>
      </c>
      <c r="G86" s="600">
        <v>0</v>
      </c>
      <c r="H86" s="600">
        <v>0</v>
      </c>
      <c r="I86" s="601">
        <v>0</v>
      </c>
      <c r="J86" s="602">
        <v>0</v>
      </c>
      <c r="K86" s="603">
        <v>0</v>
      </c>
      <c r="L86" s="600">
        <v>0</v>
      </c>
      <c r="M86" s="601">
        <v>0</v>
      </c>
      <c r="N86" s="536">
        <v>0</v>
      </c>
      <c r="O86" s="538">
        <f t="shared" si="2"/>
        <v>11.085453475887183</v>
      </c>
    </row>
    <row r="87" spans="2:15">
      <c r="B87" s="535">
        <f t="shared" si="3"/>
        <v>2019</v>
      </c>
      <c r="C87" s="598">
        <v>0</v>
      </c>
      <c r="D87" s="599">
        <v>0</v>
      </c>
      <c r="E87" s="600">
        <v>0</v>
      </c>
      <c r="F87" s="600">
        <v>0</v>
      </c>
      <c r="G87" s="600">
        <v>0</v>
      </c>
      <c r="H87" s="600">
        <v>0</v>
      </c>
      <c r="I87" s="601">
        <v>0</v>
      </c>
      <c r="J87" s="602">
        <v>0</v>
      </c>
      <c r="K87" s="603">
        <v>0</v>
      </c>
      <c r="L87" s="600">
        <v>0</v>
      </c>
      <c r="M87" s="601">
        <v>0</v>
      </c>
      <c r="N87" s="536">
        <v>0</v>
      </c>
      <c r="O87" s="538">
        <f t="shared" si="2"/>
        <v>11.085453475887183</v>
      </c>
    </row>
    <row r="88" spans="2:15">
      <c r="B88" s="535">
        <f t="shared" si="3"/>
        <v>2020</v>
      </c>
      <c r="C88" s="598">
        <v>0</v>
      </c>
      <c r="D88" s="599">
        <v>0</v>
      </c>
      <c r="E88" s="600">
        <v>0</v>
      </c>
      <c r="F88" s="600">
        <v>0</v>
      </c>
      <c r="G88" s="600">
        <v>0</v>
      </c>
      <c r="H88" s="600">
        <v>0</v>
      </c>
      <c r="I88" s="601">
        <v>0</v>
      </c>
      <c r="J88" s="602">
        <v>0</v>
      </c>
      <c r="K88" s="603">
        <v>0</v>
      </c>
      <c r="L88" s="600">
        <v>0</v>
      </c>
      <c r="M88" s="601">
        <v>0</v>
      </c>
      <c r="N88" s="536">
        <v>0</v>
      </c>
      <c r="O88" s="538">
        <f t="shared" si="2"/>
        <v>11.085453475887183</v>
      </c>
    </row>
    <row r="89" spans="2:15">
      <c r="B89" s="535">
        <f t="shared" si="3"/>
        <v>2021</v>
      </c>
      <c r="C89" s="598">
        <v>0</v>
      </c>
      <c r="D89" s="599">
        <v>0</v>
      </c>
      <c r="E89" s="600">
        <v>0</v>
      </c>
      <c r="F89" s="600">
        <v>0</v>
      </c>
      <c r="G89" s="600">
        <v>0</v>
      </c>
      <c r="H89" s="600">
        <v>0</v>
      </c>
      <c r="I89" s="601">
        <v>0</v>
      </c>
      <c r="J89" s="602">
        <v>0</v>
      </c>
      <c r="K89" s="603">
        <v>0</v>
      </c>
      <c r="L89" s="600">
        <v>0</v>
      </c>
      <c r="M89" s="601">
        <v>0</v>
      </c>
      <c r="N89" s="536">
        <v>0</v>
      </c>
      <c r="O89" s="538">
        <f t="shared" si="2"/>
        <v>11.085453475887183</v>
      </c>
    </row>
    <row r="90" spans="2:15">
      <c r="B90" s="535">
        <f t="shared" si="3"/>
        <v>2022</v>
      </c>
      <c r="C90" s="598">
        <v>0</v>
      </c>
      <c r="D90" s="599">
        <v>0</v>
      </c>
      <c r="E90" s="600">
        <v>0</v>
      </c>
      <c r="F90" s="600">
        <v>0</v>
      </c>
      <c r="G90" s="600">
        <v>0</v>
      </c>
      <c r="H90" s="600">
        <v>0</v>
      </c>
      <c r="I90" s="601">
        <v>0</v>
      </c>
      <c r="J90" s="602">
        <v>0</v>
      </c>
      <c r="K90" s="603">
        <v>0</v>
      </c>
      <c r="L90" s="600">
        <v>0</v>
      </c>
      <c r="M90" s="601">
        <v>0</v>
      </c>
      <c r="N90" s="536">
        <v>0</v>
      </c>
      <c r="O90" s="538">
        <f t="shared" si="2"/>
        <v>11.085453475887183</v>
      </c>
    </row>
    <row r="91" spans="2:15">
      <c r="B91" s="535">
        <f t="shared" si="3"/>
        <v>2023</v>
      </c>
      <c r="C91" s="598">
        <v>0</v>
      </c>
      <c r="D91" s="599">
        <v>0</v>
      </c>
      <c r="E91" s="600">
        <v>0</v>
      </c>
      <c r="F91" s="600">
        <v>0</v>
      </c>
      <c r="G91" s="600">
        <v>0</v>
      </c>
      <c r="H91" s="600">
        <v>0</v>
      </c>
      <c r="I91" s="601">
        <v>0</v>
      </c>
      <c r="J91" s="602">
        <v>0</v>
      </c>
      <c r="K91" s="603">
        <v>0</v>
      </c>
      <c r="L91" s="600">
        <v>0</v>
      </c>
      <c r="M91" s="601">
        <v>0</v>
      </c>
      <c r="N91" s="536">
        <v>0</v>
      </c>
      <c r="O91" s="538">
        <f t="shared" si="2"/>
        <v>11.085453475887183</v>
      </c>
    </row>
    <row r="92" spans="2:15">
      <c r="B92" s="535">
        <f t="shared" si="3"/>
        <v>2024</v>
      </c>
      <c r="C92" s="598">
        <v>0</v>
      </c>
      <c r="D92" s="599">
        <v>0</v>
      </c>
      <c r="E92" s="600">
        <v>0</v>
      </c>
      <c r="F92" s="600">
        <v>0</v>
      </c>
      <c r="G92" s="600">
        <v>0</v>
      </c>
      <c r="H92" s="600">
        <v>0</v>
      </c>
      <c r="I92" s="601">
        <v>0</v>
      </c>
      <c r="J92" s="602">
        <v>0</v>
      </c>
      <c r="K92" s="603">
        <v>0</v>
      </c>
      <c r="L92" s="600">
        <v>0</v>
      </c>
      <c r="M92" s="601">
        <v>0</v>
      </c>
      <c r="N92" s="536">
        <v>0</v>
      </c>
      <c r="O92" s="538">
        <f t="shared" si="2"/>
        <v>11.085453475887183</v>
      </c>
    </row>
    <row r="93" spans="2:15">
      <c r="B93" s="535">
        <f t="shared" si="3"/>
        <v>2025</v>
      </c>
      <c r="C93" s="598">
        <v>0</v>
      </c>
      <c r="D93" s="599">
        <v>0</v>
      </c>
      <c r="E93" s="600">
        <v>0</v>
      </c>
      <c r="F93" s="600">
        <v>0</v>
      </c>
      <c r="G93" s="600">
        <v>0</v>
      </c>
      <c r="H93" s="600">
        <v>0</v>
      </c>
      <c r="I93" s="601">
        <v>0</v>
      </c>
      <c r="J93" s="602">
        <v>0</v>
      </c>
      <c r="K93" s="603">
        <v>0</v>
      </c>
      <c r="L93" s="600">
        <v>0</v>
      </c>
      <c r="M93" s="601">
        <v>0</v>
      </c>
      <c r="N93" s="536">
        <v>0</v>
      </c>
      <c r="O93" s="538">
        <f t="shared" si="2"/>
        <v>11.085453475887183</v>
      </c>
    </row>
    <row r="94" spans="2:15">
      <c r="B94" s="535">
        <f t="shared" si="3"/>
        <v>2026</v>
      </c>
      <c r="C94" s="598">
        <v>0</v>
      </c>
      <c r="D94" s="599">
        <v>0</v>
      </c>
      <c r="E94" s="600">
        <v>0</v>
      </c>
      <c r="F94" s="600">
        <v>0</v>
      </c>
      <c r="G94" s="600">
        <v>0</v>
      </c>
      <c r="H94" s="600">
        <v>0</v>
      </c>
      <c r="I94" s="601">
        <v>0</v>
      </c>
      <c r="J94" s="602">
        <v>0</v>
      </c>
      <c r="K94" s="603">
        <v>0</v>
      </c>
      <c r="L94" s="600">
        <v>0</v>
      </c>
      <c r="M94" s="601">
        <v>0</v>
      </c>
      <c r="N94" s="536">
        <v>0</v>
      </c>
      <c r="O94" s="538">
        <f t="shared" si="2"/>
        <v>11.085453475887183</v>
      </c>
    </row>
    <row r="95" spans="2:15">
      <c r="B95" s="535">
        <f t="shared" si="3"/>
        <v>2027</v>
      </c>
      <c r="C95" s="598">
        <v>0</v>
      </c>
      <c r="D95" s="599">
        <v>0</v>
      </c>
      <c r="E95" s="600">
        <v>0</v>
      </c>
      <c r="F95" s="600">
        <v>0</v>
      </c>
      <c r="G95" s="600">
        <v>0</v>
      </c>
      <c r="H95" s="600">
        <v>0</v>
      </c>
      <c r="I95" s="601">
        <v>0</v>
      </c>
      <c r="J95" s="602">
        <v>0</v>
      </c>
      <c r="K95" s="603">
        <v>0</v>
      </c>
      <c r="L95" s="600">
        <v>0</v>
      </c>
      <c r="M95" s="601">
        <v>0</v>
      </c>
      <c r="N95" s="536">
        <v>0</v>
      </c>
      <c r="O95" s="538">
        <f t="shared" si="2"/>
        <v>11.085453475887183</v>
      </c>
    </row>
    <row r="96" spans="2:15">
      <c r="B96" s="535">
        <f t="shared" si="3"/>
        <v>2028</v>
      </c>
      <c r="C96" s="598">
        <v>0</v>
      </c>
      <c r="D96" s="599">
        <v>0</v>
      </c>
      <c r="E96" s="600">
        <v>0</v>
      </c>
      <c r="F96" s="600">
        <v>0</v>
      </c>
      <c r="G96" s="600">
        <v>0</v>
      </c>
      <c r="H96" s="600">
        <v>0</v>
      </c>
      <c r="I96" s="601">
        <v>0</v>
      </c>
      <c r="J96" s="602">
        <v>0</v>
      </c>
      <c r="K96" s="603">
        <v>0</v>
      </c>
      <c r="L96" s="600">
        <v>0</v>
      </c>
      <c r="M96" s="601">
        <v>0</v>
      </c>
      <c r="N96" s="536">
        <v>0</v>
      </c>
      <c r="O96" s="538">
        <f t="shared" si="2"/>
        <v>11.085453475887183</v>
      </c>
    </row>
    <row r="97" spans="2:15">
      <c r="B97" s="535">
        <f t="shared" si="3"/>
        <v>2029</v>
      </c>
      <c r="C97" s="598">
        <v>0</v>
      </c>
      <c r="D97" s="599">
        <v>0</v>
      </c>
      <c r="E97" s="600">
        <v>0</v>
      </c>
      <c r="F97" s="600">
        <v>0</v>
      </c>
      <c r="G97" s="600">
        <v>0</v>
      </c>
      <c r="H97" s="600">
        <v>0</v>
      </c>
      <c r="I97" s="601">
        <v>0</v>
      </c>
      <c r="J97" s="602">
        <v>0</v>
      </c>
      <c r="K97" s="603">
        <v>0</v>
      </c>
      <c r="L97" s="600">
        <v>0</v>
      </c>
      <c r="M97" s="601">
        <v>0</v>
      </c>
      <c r="N97" s="536">
        <v>0</v>
      </c>
      <c r="O97" s="538">
        <f t="shared" si="2"/>
        <v>11.085453475887183</v>
      </c>
    </row>
    <row r="98" spans="2:15" ht="13.5" thickBot="1">
      <c r="B98" s="544">
        <f t="shared" si="3"/>
        <v>2030</v>
      </c>
      <c r="C98" s="598">
        <v>0</v>
      </c>
      <c r="D98" s="599">
        <v>0</v>
      </c>
      <c r="E98" s="600">
        <v>0</v>
      </c>
      <c r="F98" s="600">
        <v>0</v>
      </c>
      <c r="G98" s="600">
        <v>0</v>
      </c>
      <c r="H98" s="600">
        <v>0</v>
      </c>
      <c r="I98" s="601">
        <v>0</v>
      </c>
      <c r="J98" s="602">
        <v>0</v>
      </c>
      <c r="K98" s="603">
        <v>0</v>
      </c>
      <c r="L98" s="600">
        <v>0</v>
      </c>
      <c r="M98" s="601">
        <v>0</v>
      </c>
      <c r="N98" s="545">
        <v>0</v>
      </c>
      <c r="O98" s="547">
        <f t="shared" si="2"/>
        <v>11.085453475887183</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54"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0" t="s">
        <v>52</v>
      </c>
      <c r="C2" s="860"/>
      <c r="D2" s="860"/>
      <c r="E2" s="860"/>
      <c r="F2" s="860"/>
      <c r="G2" s="860"/>
      <c r="H2" s="860"/>
    </row>
    <row r="3" spans="1:35" ht="13.5" thickBot="1">
      <c r="B3" s="860"/>
      <c r="C3" s="860"/>
      <c r="D3" s="860"/>
      <c r="E3" s="860"/>
      <c r="F3" s="860"/>
      <c r="G3" s="860"/>
      <c r="H3" s="860"/>
    </row>
    <row r="4" spans="1:35" ht="13.5" thickBot="1">
      <c r="P4" s="864" t="s">
        <v>242</v>
      </c>
      <c r="Q4" s="865"/>
      <c r="R4" s="866" t="s">
        <v>243</v>
      </c>
      <c r="S4" s="867"/>
      <c r="V4" s="177" t="s">
        <v>155</v>
      </c>
      <c r="W4" s="139">
        <f>P7</f>
        <v>0.44</v>
      </c>
      <c r="X4" s="242">
        <f>P9</f>
        <v>0.3</v>
      </c>
      <c r="Y4" s="242">
        <f>P6</f>
        <v>0.38</v>
      </c>
      <c r="Z4" s="242">
        <f>P11</f>
        <v>0.5</v>
      </c>
      <c r="AA4" s="242">
        <f>P8</f>
        <v>0.49</v>
      </c>
      <c r="AB4" s="242">
        <f>P12</f>
        <v>0.6</v>
      </c>
      <c r="AC4" s="242">
        <f>R18</f>
        <v>0.05</v>
      </c>
      <c r="AD4" s="242">
        <f>P10</f>
        <v>0.47</v>
      </c>
      <c r="AE4" s="243">
        <v>0</v>
      </c>
    </row>
    <row r="5" spans="1:35" ht="13.5" customHeight="1" thickBot="1">
      <c r="B5" s="72"/>
      <c r="C5" s="141"/>
      <c r="D5" s="861" t="s">
        <v>47</v>
      </c>
      <c r="E5" s="862"/>
      <c r="F5" s="862"/>
      <c r="G5" s="863"/>
      <c r="H5" s="862" t="s">
        <v>57</v>
      </c>
      <c r="I5" s="862"/>
      <c r="J5" s="862"/>
      <c r="K5" s="863"/>
      <c r="L5" s="135"/>
      <c r="M5" s="135"/>
      <c r="N5" s="135"/>
      <c r="O5" s="168"/>
      <c r="P5" s="212" t="s">
        <v>116</v>
      </c>
      <c r="Q5" s="213" t="s">
        <v>113</v>
      </c>
      <c r="R5" s="212" t="s">
        <v>116</v>
      </c>
      <c r="S5" s="213" t="s">
        <v>113</v>
      </c>
      <c r="V5" s="359" t="s">
        <v>118</v>
      </c>
      <c r="W5" s="360">
        <v>3</v>
      </c>
      <c r="AF5" s="851" t="s">
        <v>126</v>
      </c>
      <c r="AG5" s="851" t="s">
        <v>129</v>
      </c>
      <c r="AH5" s="851" t="s">
        <v>154</v>
      </c>
      <c r="AI5"/>
    </row>
    <row r="6" spans="1:35" ht="13.5" thickBot="1">
      <c r="B6" s="171"/>
      <c r="C6" s="157"/>
      <c r="D6" s="856" t="s">
        <v>45</v>
      </c>
      <c r="E6" s="856"/>
      <c r="F6" s="856" t="s">
        <v>46</v>
      </c>
      <c r="G6" s="856"/>
      <c r="H6" s="856" t="s">
        <v>45</v>
      </c>
      <c r="I6" s="856"/>
      <c r="J6" s="856" t="s">
        <v>99</v>
      </c>
      <c r="K6" s="856"/>
      <c r="L6" s="135"/>
      <c r="M6" s="135"/>
      <c r="N6" s="135"/>
      <c r="O6" s="208" t="s">
        <v>6</v>
      </c>
      <c r="P6" s="167">
        <v>0.38</v>
      </c>
      <c r="Q6" s="169" t="s">
        <v>234</v>
      </c>
      <c r="R6" s="167">
        <v>0.15</v>
      </c>
      <c r="S6" s="169" t="s">
        <v>244</v>
      </c>
      <c r="W6" s="857" t="s">
        <v>125</v>
      </c>
      <c r="X6" s="859"/>
      <c r="Y6" s="859"/>
      <c r="Z6" s="859"/>
      <c r="AA6" s="859"/>
      <c r="AB6" s="859"/>
      <c r="AC6" s="859"/>
      <c r="AD6" s="859"/>
      <c r="AE6" s="859"/>
      <c r="AF6" s="852"/>
      <c r="AG6" s="852"/>
      <c r="AH6" s="852"/>
      <c r="AI6"/>
    </row>
    <row r="7" spans="1:35" ht="26.25" thickBot="1">
      <c r="B7" s="857" t="s">
        <v>133</v>
      </c>
      <c r="C7" s="858"/>
      <c r="D7" s="212" t="s">
        <v>116</v>
      </c>
      <c r="E7" s="213" t="s">
        <v>113</v>
      </c>
      <c r="F7" s="214" t="s">
        <v>116</v>
      </c>
      <c r="G7" s="213" t="s">
        <v>113</v>
      </c>
      <c r="H7" s="214" t="s">
        <v>116</v>
      </c>
      <c r="I7" s="213" t="s">
        <v>113</v>
      </c>
      <c r="J7" s="214" t="s">
        <v>116</v>
      </c>
      <c r="K7" s="213" t="s">
        <v>113</v>
      </c>
      <c r="M7" s="134"/>
      <c r="N7" s="134"/>
      <c r="O7" s="209" t="s">
        <v>256</v>
      </c>
      <c r="P7" s="166">
        <v>0.44</v>
      </c>
      <c r="Q7" s="170" t="s">
        <v>235</v>
      </c>
      <c r="R7" s="166">
        <v>0.4</v>
      </c>
      <c r="S7" s="170" t="s">
        <v>245</v>
      </c>
      <c r="T7" s="176"/>
      <c r="V7" s="177"/>
      <c r="W7" s="197" t="s">
        <v>127</v>
      </c>
      <c r="X7" s="186" t="s">
        <v>16</v>
      </c>
      <c r="Y7" s="186" t="s">
        <v>6</v>
      </c>
      <c r="Z7" s="186" t="s">
        <v>2</v>
      </c>
      <c r="AA7" s="186" t="s">
        <v>139</v>
      </c>
      <c r="AB7" s="186" t="s">
        <v>140</v>
      </c>
      <c r="AC7" s="186" t="s">
        <v>135</v>
      </c>
      <c r="AD7" s="186" t="s">
        <v>141</v>
      </c>
      <c r="AE7" s="186" t="s">
        <v>142</v>
      </c>
      <c r="AF7" s="853"/>
      <c r="AG7" s="853"/>
      <c r="AH7" s="853"/>
      <c r="AI7"/>
    </row>
    <row r="8" spans="1:35" ht="25.5" customHeight="1">
      <c r="B8" s="854" t="s">
        <v>48</v>
      </c>
      <c r="C8" s="144" t="s">
        <v>56</v>
      </c>
      <c r="D8" s="90">
        <v>0.04</v>
      </c>
      <c r="E8" s="158" t="s">
        <v>169</v>
      </c>
      <c r="F8" s="172">
        <v>0.06</v>
      </c>
      <c r="G8" s="175" t="s">
        <v>170</v>
      </c>
      <c r="H8" s="90">
        <v>4.4999999999999998E-2</v>
      </c>
      <c r="I8" s="158" t="s">
        <v>167</v>
      </c>
      <c r="J8" s="172">
        <v>7.0000000000000007E-2</v>
      </c>
      <c r="K8" s="158" t="s">
        <v>176</v>
      </c>
      <c r="M8" s="136"/>
      <c r="N8" s="136"/>
      <c r="O8" s="209" t="s">
        <v>255</v>
      </c>
      <c r="P8" s="166">
        <v>0.49</v>
      </c>
      <c r="Q8" s="170" t="s">
        <v>236</v>
      </c>
      <c r="R8" s="166">
        <v>0.2</v>
      </c>
      <c r="S8" s="170" t="s">
        <v>246</v>
      </c>
      <c r="T8" s="176"/>
      <c r="U8" s="176">
        <v>1</v>
      </c>
      <c r="V8" s="179" t="s">
        <v>119</v>
      </c>
      <c r="W8" s="195">
        <v>18.8</v>
      </c>
      <c r="X8" s="196">
        <v>3.5</v>
      </c>
      <c r="Y8" s="196">
        <v>26.2</v>
      </c>
      <c r="Z8" s="196">
        <v>3.5</v>
      </c>
      <c r="AA8" s="196"/>
      <c r="AB8" s="196"/>
      <c r="AC8" s="196"/>
      <c r="AD8" s="196">
        <v>1</v>
      </c>
      <c r="AE8" s="196">
        <f>100-SUM(W8:AD8)</f>
        <v>47</v>
      </c>
      <c r="AF8" s="187">
        <v>0.55000000000000004</v>
      </c>
      <c r="AG8" s="190">
        <v>0.55000000000000004</v>
      </c>
      <c r="AH8" s="244">
        <f>ROUND((W8*W$4+X8*X$4+Y8*Y$4+Z8*Z$4+AA8*AA$4+AB8*AB$4+AC8*AC$4+AD8*AD$4)/100,2)</f>
        <v>0.21</v>
      </c>
      <c r="AI8"/>
    </row>
    <row r="9" spans="1:35" ht="25.5">
      <c r="B9" s="855"/>
      <c r="C9" s="200" t="s">
        <v>134</v>
      </c>
      <c r="D9" s="202">
        <v>0.02</v>
      </c>
      <c r="E9" s="203" t="s">
        <v>168</v>
      </c>
      <c r="F9" s="204">
        <v>0.03</v>
      </c>
      <c r="G9" s="205" t="s">
        <v>171</v>
      </c>
      <c r="H9" s="202">
        <v>2.5000000000000001E-2</v>
      </c>
      <c r="I9" s="203" t="s">
        <v>171</v>
      </c>
      <c r="J9" s="204">
        <v>3.5000000000000003E-2</v>
      </c>
      <c r="K9" s="203" t="s">
        <v>169</v>
      </c>
      <c r="M9" s="136"/>
      <c r="N9" s="136"/>
      <c r="O9" s="209" t="s">
        <v>16</v>
      </c>
      <c r="P9" s="166">
        <v>0.3</v>
      </c>
      <c r="Q9" s="170" t="s">
        <v>237</v>
      </c>
      <c r="R9" s="166">
        <v>0.24</v>
      </c>
      <c r="S9" s="170" t="s">
        <v>247</v>
      </c>
      <c r="T9" s="176"/>
      <c r="U9" s="176">
        <v>2</v>
      </c>
      <c r="V9" s="180" t="s">
        <v>214</v>
      </c>
      <c r="W9" s="181">
        <v>11.3</v>
      </c>
      <c r="X9" s="182">
        <v>2.5</v>
      </c>
      <c r="Y9" s="182">
        <v>40.299999999999997</v>
      </c>
      <c r="Z9" s="182">
        <v>7.9</v>
      </c>
      <c r="AA9" s="182"/>
      <c r="AB9" s="182"/>
      <c r="AC9" s="182"/>
      <c r="AD9" s="182">
        <v>0.8</v>
      </c>
      <c r="AE9" s="182">
        <f t="shared" ref="AE9:AE26" si="0">100-SUM(W9:AD9)</f>
        <v>37.20000000000001</v>
      </c>
      <c r="AF9" s="188">
        <v>0.21</v>
      </c>
      <c r="AG9" s="191">
        <v>0.74</v>
      </c>
      <c r="AH9" s="245">
        <f t="shared" ref="AH9:AH26" si="1">ROUND((W9*W$4+X9*X$4+Y9*Y$4+Z9*Z$4+AA9*AA$4+AB9*AB$4+AC9*AC$4+AD9*AD$4)/100,2)</f>
        <v>0.25</v>
      </c>
      <c r="AI9"/>
    </row>
    <row r="10" spans="1:35" ht="25.5" customHeight="1">
      <c r="B10" s="199" t="s">
        <v>49</v>
      </c>
      <c r="C10" s="200" t="s">
        <v>50</v>
      </c>
      <c r="D10" s="91">
        <v>0.05</v>
      </c>
      <c r="E10" s="159" t="s">
        <v>167</v>
      </c>
      <c r="F10" s="173">
        <v>0.1</v>
      </c>
      <c r="G10" s="160" t="s">
        <v>172</v>
      </c>
      <c r="H10" s="91">
        <v>6.5000000000000002E-2</v>
      </c>
      <c r="I10" s="159" t="s">
        <v>166</v>
      </c>
      <c r="J10" s="173">
        <v>0.17</v>
      </c>
      <c r="K10" s="159" t="s">
        <v>177</v>
      </c>
      <c r="M10" s="136"/>
      <c r="N10" s="136"/>
      <c r="O10" s="210" t="s">
        <v>229</v>
      </c>
      <c r="P10" s="206">
        <v>0.47</v>
      </c>
      <c r="Q10" s="207" t="s">
        <v>238</v>
      </c>
      <c r="R10" s="206">
        <v>0.39</v>
      </c>
      <c r="S10" s="207" t="s">
        <v>248</v>
      </c>
      <c r="T10" s="176"/>
      <c r="U10" s="176">
        <v>3</v>
      </c>
      <c r="V10" s="180" t="s">
        <v>120</v>
      </c>
      <c r="W10" s="181">
        <v>12.9</v>
      </c>
      <c r="X10" s="182">
        <v>2.7</v>
      </c>
      <c r="Y10" s="182">
        <v>43.5</v>
      </c>
      <c r="Z10" s="182">
        <v>9.9</v>
      </c>
      <c r="AA10" s="182"/>
      <c r="AB10" s="182"/>
      <c r="AC10" s="182"/>
      <c r="AD10" s="182">
        <v>0.9</v>
      </c>
      <c r="AE10" s="182">
        <f t="shared" si="0"/>
        <v>30.099999999999994</v>
      </c>
      <c r="AF10" s="188">
        <v>0.27</v>
      </c>
      <c r="AG10" s="191">
        <v>0.59</v>
      </c>
      <c r="AH10" s="245">
        <f t="shared" si="1"/>
        <v>0.28000000000000003</v>
      </c>
      <c r="AI10"/>
    </row>
    <row r="11" spans="1:35" ht="25.5" customHeight="1" thickBot="1">
      <c r="B11" s="201" t="s">
        <v>51</v>
      </c>
      <c r="C11" s="145" t="s">
        <v>79</v>
      </c>
      <c r="D11" s="91">
        <v>0.06</v>
      </c>
      <c r="E11" s="159" t="s">
        <v>166</v>
      </c>
      <c r="F11" s="173">
        <v>0.185</v>
      </c>
      <c r="G11" s="160" t="s">
        <v>173</v>
      </c>
      <c r="H11" s="92">
        <v>8.5000000000000006E-2</v>
      </c>
      <c r="I11" s="161" t="s">
        <v>175</v>
      </c>
      <c r="J11" s="174">
        <v>0.4</v>
      </c>
      <c r="K11" s="161" t="s">
        <v>165</v>
      </c>
      <c r="M11" s="136"/>
      <c r="N11" s="136"/>
      <c r="O11" s="210" t="s">
        <v>263</v>
      </c>
      <c r="P11" s="206">
        <v>0.5</v>
      </c>
      <c r="Q11" s="207" t="s">
        <v>259</v>
      </c>
      <c r="R11" s="206">
        <v>0.43</v>
      </c>
      <c r="S11" s="207" t="s">
        <v>257</v>
      </c>
      <c r="T11" s="176"/>
      <c r="U11" s="176">
        <v>4</v>
      </c>
      <c r="V11" s="180" t="s">
        <v>121</v>
      </c>
      <c r="W11" s="181">
        <v>18</v>
      </c>
      <c r="X11" s="182">
        <v>2.9</v>
      </c>
      <c r="Y11" s="182">
        <v>41.1</v>
      </c>
      <c r="Z11" s="182">
        <v>9.8000000000000007</v>
      </c>
      <c r="AA11" s="182"/>
      <c r="AB11" s="182"/>
      <c r="AC11" s="182"/>
      <c r="AD11" s="182">
        <v>0.6</v>
      </c>
      <c r="AE11" s="182">
        <f t="shared" si="0"/>
        <v>27.600000000000009</v>
      </c>
      <c r="AF11" s="188">
        <f>AF$32</f>
        <v>0.42055555555555557</v>
      </c>
      <c r="AG11" s="252">
        <f>AG$32</f>
        <v>0.676111111111111</v>
      </c>
      <c r="AH11" s="245">
        <f t="shared" si="1"/>
        <v>0.3</v>
      </c>
      <c r="AI11"/>
    </row>
    <row r="12" spans="1:35" ht="26.25" thickBot="1">
      <c r="B12" s="215" t="s">
        <v>136</v>
      </c>
      <c r="C12" s="216" t="s">
        <v>78</v>
      </c>
      <c r="D12" s="217">
        <v>0.05</v>
      </c>
      <c r="E12" s="218" t="s">
        <v>167</v>
      </c>
      <c r="F12" s="219">
        <v>0.09</v>
      </c>
      <c r="G12" s="220" t="s">
        <v>174</v>
      </c>
      <c r="H12" s="217">
        <v>6.5000000000000002E-2</v>
      </c>
      <c r="I12" s="218" t="s">
        <v>166</v>
      </c>
      <c r="J12" s="219">
        <v>0.17</v>
      </c>
      <c r="K12" s="218" t="s">
        <v>177</v>
      </c>
      <c r="M12" s="136"/>
      <c r="N12" s="136"/>
      <c r="O12" s="210" t="s">
        <v>267</v>
      </c>
      <c r="P12" s="206">
        <v>0.6</v>
      </c>
      <c r="Q12" s="207" t="s">
        <v>260</v>
      </c>
      <c r="R12" s="206">
        <v>0.24</v>
      </c>
      <c r="S12" s="207" t="s">
        <v>258</v>
      </c>
      <c r="U12" s="176">
        <v>5</v>
      </c>
      <c r="V12" s="180" t="s">
        <v>215</v>
      </c>
      <c r="W12" s="181">
        <v>7.7</v>
      </c>
      <c r="X12" s="182">
        <v>1.7</v>
      </c>
      <c r="Y12" s="182">
        <v>53.9</v>
      </c>
      <c r="Z12" s="182">
        <v>7</v>
      </c>
      <c r="AA12" s="182"/>
      <c r="AB12" s="182"/>
      <c r="AC12" s="182"/>
      <c r="AD12" s="182">
        <v>1.1000000000000001</v>
      </c>
      <c r="AE12" s="182">
        <f t="shared" si="0"/>
        <v>28.600000000000009</v>
      </c>
      <c r="AF12" s="188">
        <v>0.28999999999999998</v>
      </c>
      <c r="AG12" s="252">
        <v>0.69</v>
      </c>
      <c r="AH12" s="245">
        <f t="shared" si="1"/>
        <v>0.28000000000000003</v>
      </c>
      <c r="AI12"/>
    </row>
    <row r="13" spans="1:35" ht="12.75" customHeight="1">
      <c r="I13" s="73"/>
      <c r="M13" s="136"/>
      <c r="N13" s="136"/>
      <c r="O13" s="877" t="s">
        <v>264</v>
      </c>
      <c r="P13" s="878"/>
      <c r="Q13" s="878"/>
      <c r="R13" s="878"/>
      <c r="S13" s="879"/>
      <c r="U13" s="176">
        <v>6</v>
      </c>
      <c r="V13" s="180" t="s">
        <v>216</v>
      </c>
      <c r="W13" s="181">
        <v>16.8</v>
      </c>
      <c r="X13" s="182">
        <v>2.5</v>
      </c>
      <c r="Y13" s="182">
        <v>43.4</v>
      </c>
      <c r="Z13" s="182">
        <v>6.5</v>
      </c>
      <c r="AA13" s="183"/>
      <c r="AB13" s="182"/>
      <c r="AC13" s="182"/>
      <c r="AD13" s="183"/>
      <c r="AE13" s="182">
        <f t="shared" si="0"/>
        <v>30.799999999999997</v>
      </c>
      <c r="AF13" s="188">
        <v>0.28999999999999998</v>
      </c>
      <c r="AG13" s="252">
        <v>0.69</v>
      </c>
      <c r="AH13" s="245">
        <f t="shared" si="1"/>
        <v>0.28000000000000003</v>
      </c>
      <c r="AI13"/>
    </row>
    <row r="14" spans="1:35">
      <c r="A14" s="73"/>
      <c r="B14" s="74" t="s">
        <v>58</v>
      </c>
      <c r="C14" s="73"/>
      <c r="D14" s="73"/>
      <c r="E14" s="73"/>
      <c r="F14" s="73"/>
      <c r="G14" s="73"/>
      <c r="H14" s="73"/>
      <c r="I14" s="73"/>
      <c r="J14" s="73"/>
      <c r="K14" s="73"/>
      <c r="L14" s="73"/>
      <c r="M14" s="136"/>
      <c r="N14" s="136"/>
      <c r="O14" s="459" t="s">
        <v>230</v>
      </c>
      <c r="P14" s="206"/>
      <c r="Q14" s="207"/>
      <c r="R14" s="206"/>
      <c r="S14" s="207"/>
      <c r="U14" s="176">
        <v>7</v>
      </c>
      <c r="V14" s="180" t="s">
        <v>217</v>
      </c>
      <c r="W14" s="181">
        <v>16.5</v>
      </c>
      <c r="X14" s="182">
        <v>2.5</v>
      </c>
      <c r="Y14" s="182">
        <v>51.1</v>
      </c>
      <c r="Z14" s="182">
        <v>2</v>
      </c>
      <c r="AA14" s="183"/>
      <c r="AB14" s="182"/>
      <c r="AC14" s="182"/>
      <c r="AD14" s="183"/>
      <c r="AE14" s="182">
        <f t="shared" si="0"/>
        <v>27.900000000000006</v>
      </c>
      <c r="AF14" s="188">
        <v>0.28999999999999998</v>
      </c>
      <c r="AG14" s="252">
        <v>0.69</v>
      </c>
      <c r="AH14" s="245">
        <f t="shared" si="1"/>
        <v>0.28000000000000003</v>
      </c>
      <c r="AI14"/>
    </row>
    <row r="15" spans="1:35" ht="13.5" thickBot="1">
      <c r="M15" s="136"/>
      <c r="N15" s="136"/>
      <c r="O15" s="460" t="s">
        <v>231</v>
      </c>
      <c r="P15" s="206"/>
      <c r="Q15" s="207"/>
      <c r="R15" s="206"/>
      <c r="S15" s="207"/>
      <c r="U15" s="176">
        <v>8</v>
      </c>
      <c r="V15" s="180" t="s">
        <v>122</v>
      </c>
      <c r="W15" s="181">
        <v>25</v>
      </c>
      <c r="X15" s="182"/>
      <c r="Y15" s="182">
        <v>23</v>
      </c>
      <c r="Z15" s="182">
        <v>15</v>
      </c>
      <c r="AA15" s="182"/>
      <c r="AB15" s="182"/>
      <c r="AC15" s="182"/>
      <c r="AD15" s="182"/>
      <c r="AE15" s="182">
        <f t="shared" si="0"/>
        <v>37</v>
      </c>
      <c r="AF15" s="188">
        <v>0.28999999999999998</v>
      </c>
      <c r="AG15" s="252">
        <v>0.69</v>
      </c>
      <c r="AH15" s="245">
        <f t="shared" si="1"/>
        <v>0.27</v>
      </c>
      <c r="AI15"/>
    </row>
    <row r="16" spans="1:35" ht="13.5" thickBot="1">
      <c r="C16" s="75" t="s">
        <v>59</v>
      </c>
      <c r="D16" s="76" t="s">
        <v>60</v>
      </c>
      <c r="E16" s="77" t="s">
        <v>61</v>
      </c>
      <c r="G16" s="356" t="s">
        <v>62</v>
      </c>
      <c r="N16" s="136"/>
      <c r="O16" s="460" t="s">
        <v>232</v>
      </c>
      <c r="P16" s="206"/>
      <c r="Q16" s="207"/>
      <c r="R16" s="206"/>
      <c r="S16" s="207"/>
      <c r="U16" s="176">
        <v>9</v>
      </c>
      <c r="V16" s="180" t="s">
        <v>218</v>
      </c>
      <c r="W16" s="181">
        <v>9.8000000000000007</v>
      </c>
      <c r="X16" s="182">
        <v>1</v>
      </c>
      <c r="Y16" s="182">
        <v>40.4</v>
      </c>
      <c r="Z16" s="182">
        <v>4.4000000000000004</v>
      </c>
      <c r="AA16" s="182"/>
      <c r="AB16" s="182"/>
      <c r="AC16" s="182"/>
      <c r="AD16" s="182"/>
      <c r="AE16" s="182">
        <f t="shared" si="0"/>
        <v>44.4</v>
      </c>
      <c r="AF16" s="188">
        <v>0.28999999999999998</v>
      </c>
      <c r="AG16" s="252">
        <v>0.69</v>
      </c>
      <c r="AH16" s="245">
        <f t="shared" si="1"/>
        <v>0.22</v>
      </c>
      <c r="AI16"/>
    </row>
    <row r="17" spans="1:35" ht="13.5" thickBot="1">
      <c r="A17" s="69">
        <v>1</v>
      </c>
      <c r="B17" s="417" t="s">
        <v>44</v>
      </c>
      <c r="C17" s="78" t="s">
        <v>63</v>
      </c>
      <c r="D17" s="79"/>
      <c r="E17" s="80" t="s">
        <v>64</v>
      </c>
      <c r="G17" s="357">
        <v>4</v>
      </c>
      <c r="M17" s="73"/>
      <c r="O17" s="460" t="s">
        <v>233</v>
      </c>
      <c r="P17" s="206"/>
      <c r="Q17" s="207"/>
      <c r="R17" s="206"/>
      <c r="S17" s="207"/>
      <c r="U17" s="176">
        <v>10</v>
      </c>
      <c r="V17" s="180" t="s">
        <v>219</v>
      </c>
      <c r="W17" s="181">
        <v>21.8</v>
      </c>
      <c r="X17" s="182">
        <v>4.7</v>
      </c>
      <c r="Y17" s="182">
        <v>30.1</v>
      </c>
      <c r="Z17" s="182">
        <v>7.5</v>
      </c>
      <c r="AA17" s="182"/>
      <c r="AB17" s="182"/>
      <c r="AC17" s="182"/>
      <c r="AD17" s="182">
        <v>1.4</v>
      </c>
      <c r="AE17" s="182">
        <f t="shared" si="0"/>
        <v>34.5</v>
      </c>
      <c r="AF17" s="188">
        <v>0.38</v>
      </c>
      <c r="AG17" s="191">
        <v>0.9</v>
      </c>
      <c r="AH17" s="245">
        <f t="shared" si="1"/>
        <v>0.27</v>
      </c>
      <c r="AI17"/>
    </row>
    <row r="18" spans="1:35" ht="13.5" thickBot="1">
      <c r="A18" s="69">
        <v>2</v>
      </c>
      <c r="B18" s="417" t="s">
        <v>65</v>
      </c>
      <c r="C18" s="81" t="s">
        <v>63</v>
      </c>
      <c r="D18" s="82"/>
      <c r="E18" s="83" t="s">
        <v>66</v>
      </c>
      <c r="O18" s="209" t="s">
        <v>135</v>
      </c>
      <c r="P18" s="468"/>
      <c r="Q18" s="469" t="s">
        <v>277</v>
      </c>
      <c r="R18" s="468">
        <v>0.05</v>
      </c>
      <c r="S18" s="469" t="s">
        <v>137</v>
      </c>
      <c r="U18" s="176">
        <v>11</v>
      </c>
      <c r="V18" s="180" t="s">
        <v>220</v>
      </c>
      <c r="W18" s="181">
        <v>30.6</v>
      </c>
      <c r="X18" s="182">
        <v>2</v>
      </c>
      <c r="Y18" s="182">
        <v>23.8</v>
      </c>
      <c r="Z18" s="182">
        <v>10</v>
      </c>
      <c r="AA18" s="182"/>
      <c r="AB18" s="182"/>
      <c r="AC18" s="182"/>
      <c r="AD18" s="182"/>
      <c r="AE18" s="182">
        <f t="shared" si="0"/>
        <v>33.599999999999994</v>
      </c>
      <c r="AF18" s="188">
        <v>0.64</v>
      </c>
      <c r="AG18" s="191">
        <v>0.47</v>
      </c>
      <c r="AH18" s="245">
        <f t="shared" si="1"/>
        <v>0.28000000000000003</v>
      </c>
      <c r="AI18"/>
    </row>
    <row r="19" spans="1:35" s="73" customFormat="1" ht="26.25" thickBot="1">
      <c r="A19" s="69">
        <v>3</v>
      </c>
      <c r="B19" s="417" t="s">
        <v>67</v>
      </c>
      <c r="C19" s="81" t="s">
        <v>68</v>
      </c>
      <c r="D19" s="82" t="s">
        <v>69</v>
      </c>
      <c r="E19" s="83"/>
      <c r="F19" s="69"/>
      <c r="G19" s="69"/>
      <c r="H19" s="69"/>
      <c r="I19" s="69"/>
      <c r="J19" s="69"/>
      <c r="K19" s="69"/>
      <c r="L19" s="69"/>
      <c r="M19" s="69"/>
      <c r="O19" s="465" t="s">
        <v>143</v>
      </c>
      <c r="P19" s="466"/>
      <c r="Q19" s="467" t="s">
        <v>277</v>
      </c>
      <c r="R19" s="466">
        <v>0.18</v>
      </c>
      <c r="S19" s="467" t="s">
        <v>156</v>
      </c>
      <c r="U19" s="176">
        <v>12</v>
      </c>
      <c r="V19" s="180" t="s">
        <v>123</v>
      </c>
      <c r="W19" s="181">
        <v>17</v>
      </c>
      <c r="X19" s="182"/>
      <c r="Y19" s="182">
        <v>36.9</v>
      </c>
      <c r="Z19" s="182">
        <v>10.6</v>
      </c>
      <c r="AA19" s="182"/>
      <c r="AB19" s="182"/>
      <c r="AC19" s="182"/>
      <c r="AD19" s="182"/>
      <c r="AE19" s="182">
        <f t="shared" si="0"/>
        <v>35.5</v>
      </c>
      <c r="AF19" s="188">
        <v>0.52</v>
      </c>
      <c r="AG19" s="191">
        <v>0.85</v>
      </c>
      <c r="AH19" s="245">
        <f t="shared" si="1"/>
        <v>0.27</v>
      </c>
      <c r="AI19"/>
    </row>
    <row r="20" spans="1:35" ht="26.25" thickBot="1">
      <c r="A20" s="84">
        <v>4</v>
      </c>
      <c r="B20" s="417" t="s">
        <v>98</v>
      </c>
      <c r="C20" s="85" t="s">
        <v>68</v>
      </c>
      <c r="D20" s="86" t="s">
        <v>97</v>
      </c>
      <c r="E20" s="87"/>
      <c r="O20" s="211" t="s">
        <v>23</v>
      </c>
      <c r="P20" s="437"/>
      <c r="Q20" s="438" t="s">
        <v>277</v>
      </c>
      <c r="R20" s="437">
        <v>0.15</v>
      </c>
      <c r="S20" s="438" t="s">
        <v>138</v>
      </c>
      <c r="U20" s="176">
        <v>13</v>
      </c>
      <c r="V20" s="180" t="s">
        <v>221</v>
      </c>
      <c r="W20" s="181">
        <v>27.5</v>
      </c>
      <c r="X20" s="182"/>
      <c r="Y20" s="182">
        <v>24.2</v>
      </c>
      <c r="Z20" s="182">
        <v>11</v>
      </c>
      <c r="AA20" s="182"/>
      <c r="AB20" s="182"/>
      <c r="AC20" s="182"/>
      <c r="AD20" s="182"/>
      <c r="AE20" s="182">
        <f t="shared" si="0"/>
        <v>37.299999999999997</v>
      </c>
      <c r="AF20" s="188">
        <v>0.56000000000000005</v>
      </c>
      <c r="AG20" s="191">
        <v>0.47</v>
      </c>
      <c r="AH20" s="245">
        <f t="shared" si="1"/>
        <v>0.27</v>
      </c>
      <c r="AI20"/>
    </row>
    <row r="21" spans="1:35" ht="26.25" thickBot="1">
      <c r="A21" s="84"/>
      <c r="B21" s="134"/>
      <c r="C21" s="84"/>
      <c r="D21" s="84"/>
      <c r="E21" s="84"/>
      <c r="O21" s="73"/>
      <c r="P21" s="73"/>
      <c r="Q21" s="73"/>
      <c r="R21" s="73"/>
      <c r="U21" s="176">
        <v>14</v>
      </c>
      <c r="V21" s="180" t="s">
        <v>222</v>
      </c>
      <c r="W21" s="181">
        <v>30</v>
      </c>
      <c r="X21" s="182"/>
      <c r="Y21" s="182">
        <v>36</v>
      </c>
      <c r="Z21" s="182">
        <v>24</v>
      </c>
      <c r="AA21" s="182"/>
      <c r="AB21" s="182"/>
      <c r="AC21" s="182"/>
      <c r="AD21" s="182"/>
      <c r="AE21" s="182">
        <f t="shared" si="0"/>
        <v>10</v>
      </c>
      <c r="AF21" s="188">
        <v>0.69</v>
      </c>
      <c r="AG21" s="191">
        <v>0.85</v>
      </c>
      <c r="AH21" s="245">
        <f t="shared" si="1"/>
        <v>0.39</v>
      </c>
      <c r="AI21"/>
    </row>
    <row r="22" spans="1:35" ht="26.25" thickBot="1">
      <c r="O22" s="358" t="s">
        <v>114</v>
      </c>
      <c r="P22" s="69">
        <v>1</v>
      </c>
      <c r="Q22" s="69" t="s">
        <v>145</v>
      </c>
      <c r="U22" s="176">
        <v>15</v>
      </c>
      <c r="V22" s="180" t="s">
        <v>223</v>
      </c>
      <c r="W22" s="181">
        <v>6</v>
      </c>
      <c r="X22" s="182"/>
      <c r="Y22" s="182">
        <v>67.5</v>
      </c>
      <c r="Z22" s="182">
        <v>2.5</v>
      </c>
      <c r="AA22" s="182"/>
      <c r="AB22" s="182"/>
      <c r="AC22" s="182"/>
      <c r="AD22" s="182"/>
      <c r="AE22" s="182">
        <f t="shared" si="0"/>
        <v>24</v>
      </c>
      <c r="AF22" s="188">
        <v>0.69</v>
      </c>
      <c r="AG22" s="191">
        <v>0.85</v>
      </c>
      <c r="AH22" s="245">
        <f t="shared" si="1"/>
        <v>0.3</v>
      </c>
      <c r="AI22"/>
    </row>
    <row r="23" spans="1:35" ht="13.5" thickBot="1">
      <c r="B23" s="69" t="s">
        <v>53</v>
      </c>
      <c r="O23" s="357">
        <v>1</v>
      </c>
      <c r="P23" s="69">
        <v>2</v>
      </c>
      <c r="Q23" s="69" t="s">
        <v>144</v>
      </c>
      <c r="U23" s="176">
        <v>16</v>
      </c>
      <c r="V23" s="180" t="s">
        <v>224</v>
      </c>
      <c r="W23" s="181">
        <v>23.2</v>
      </c>
      <c r="X23" s="182">
        <v>3.9</v>
      </c>
      <c r="Y23" s="182">
        <v>33.9</v>
      </c>
      <c r="Z23" s="182">
        <v>6.2</v>
      </c>
      <c r="AA23" s="182"/>
      <c r="AB23" s="182"/>
      <c r="AC23" s="182"/>
      <c r="AD23" s="182">
        <v>1.4</v>
      </c>
      <c r="AE23" s="182">
        <f t="shared" si="0"/>
        <v>31.399999999999991</v>
      </c>
      <c r="AF23" s="188">
        <v>0.65</v>
      </c>
      <c r="AG23" s="191">
        <v>0.57999999999999996</v>
      </c>
      <c r="AH23" s="245">
        <f t="shared" si="1"/>
        <v>0.28000000000000003</v>
      </c>
      <c r="AI23"/>
    </row>
    <row r="24" spans="1:35">
      <c r="B24" s="69" t="s">
        <v>54</v>
      </c>
      <c r="S24" s="73"/>
      <c r="U24" s="176">
        <v>17</v>
      </c>
      <c r="V24" s="180" t="s">
        <v>225</v>
      </c>
      <c r="W24" s="181">
        <v>13.7</v>
      </c>
      <c r="X24" s="182">
        <v>2.6</v>
      </c>
      <c r="Y24" s="182">
        <v>43.8</v>
      </c>
      <c r="Z24" s="182">
        <v>13.5</v>
      </c>
      <c r="AA24" s="182"/>
      <c r="AB24" s="182"/>
      <c r="AC24" s="182"/>
      <c r="AD24" s="182">
        <v>1.8</v>
      </c>
      <c r="AE24" s="182">
        <f t="shared" si="0"/>
        <v>24.600000000000009</v>
      </c>
      <c r="AF24" s="188">
        <v>0.21</v>
      </c>
      <c r="AG24" s="191">
        <v>0.5</v>
      </c>
      <c r="AH24" s="245">
        <f t="shared" si="1"/>
        <v>0.31</v>
      </c>
      <c r="AI24"/>
    </row>
    <row r="25" spans="1:35">
      <c r="B25" s="69" t="s">
        <v>55</v>
      </c>
      <c r="O25" s="84"/>
      <c r="P25" s="461"/>
      <c r="Q25" s="461"/>
      <c r="R25" s="462"/>
      <c r="S25" s="462"/>
      <c r="U25" s="176">
        <v>18</v>
      </c>
      <c r="V25" s="180" t="s">
        <v>226</v>
      </c>
      <c r="W25" s="181">
        <v>17.100000000000001</v>
      </c>
      <c r="X25" s="182">
        <v>2.6</v>
      </c>
      <c r="Y25" s="182">
        <v>44.9</v>
      </c>
      <c r="Z25" s="182">
        <v>4.7</v>
      </c>
      <c r="AA25" s="182"/>
      <c r="AB25" s="182"/>
      <c r="AC25" s="182"/>
      <c r="AD25" s="182">
        <v>0.7</v>
      </c>
      <c r="AE25" s="182">
        <f t="shared" si="0"/>
        <v>30</v>
      </c>
      <c r="AF25" s="188">
        <v>0.26</v>
      </c>
      <c r="AG25" s="191">
        <v>0.54</v>
      </c>
      <c r="AH25" s="245">
        <f t="shared" si="1"/>
        <v>0.28000000000000003</v>
      </c>
      <c r="AI25"/>
    </row>
    <row r="26" spans="1:35" ht="13.5" thickBot="1">
      <c r="B26" s="870" t="s">
        <v>70</v>
      </c>
      <c r="C26" s="870"/>
      <c r="D26" s="870"/>
      <c r="E26" s="870"/>
      <c r="F26" s="870"/>
      <c r="G26" s="870"/>
      <c r="H26" s="870"/>
      <c r="O26" s="84"/>
      <c r="P26" s="463"/>
      <c r="Q26" s="461"/>
      <c r="R26" s="463"/>
      <c r="S26" s="461"/>
      <c r="U26" s="176">
        <v>19</v>
      </c>
      <c r="V26" s="180" t="s">
        <v>124</v>
      </c>
      <c r="W26" s="184">
        <v>17</v>
      </c>
      <c r="X26" s="185">
        <v>5.0999999999999996</v>
      </c>
      <c r="Y26" s="185">
        <v>46.9</v>
      </c>
      <c r="Z26" s="185">
        <v>2.4</v>
      </c>
      <c r="AA26" s="185"/>
      <c r="AB26" s="185"/>
      <c r="AC26" s="185"/>
      <c r="AD26" s="185">
        <v>1.9</v>
      </c>
      <c r="AE26" s="185">
        <f t="shared" si="0"/>
        <v>26.699999999999989</v>
      </c>
      <c r="AF26" s="189">
        <v>0.49</v>
      </c>
      <c r="AG26" s="192">
        <v>0.83</v>
      </c>
      <c r="AH26" s="246">
        <f t="shared" si="1"/>
        <v>0.28999999999999998</v>
      </c>
      <c r="AI26"/>
    </row>
    <row r="27" spans="1:35">
      <c r="B27" s="871"/>
      <c r="C27" s="871"/>
      <c r="D27" s="871"/>
      <c r="E27" s="871"/>
      <c r="F27" s="871"/>
      <c r="G27" s="871"/>
      <c r="H27" s="871"/>
      <c r="O27" s="84"/>
      <c r="P27" s="464"/>
      <c r="Q27" s="84"/>
      <c r="R27" s="84"/>
      <c r="S27" s="84"/>
      <c r="U27" s="176"/>
      <c r="V27" s="178"/>
    </row>
    <row r="28" spans="1:35">
      <c r="B28" s="871"/>
      <c r="C28" s="871"/>
      <c r="D28" s="871"/>
      <c r="E28" s="871"/>
      <c r="F28" s="871"/>
      <c r="G28" s="871"/>
      <c r="H28" s="871"/>
      <c r="O28" s="84"/>
      <c r="P28" s="464"/>
      <c r="Q28" s="84"/>
      <c r="R28" s="84"/>
      <c r="S28" s="84"/>
      <c r="V28" s="178"/>
    </row>
    <row r="29" spans="1:35">
      <c r="B29" s="871"/>
      <c r="C29" s="871"/>
      <c r="D29" s="871"/>
      <c r="E29" s="871"/>
      <c r="F29" s="871"/>
      <c r="G29" s="871"/>
      <c r="H29" s="871"/>
      <c r="O29" s="456"/>
      <c r="P29" s="457"/>
      <c r="Q29" s="458"/>
      <c r="R29" s="84"/>
      <c r="W29" s="193">
        <f>AVERAGE(W8:W26)</f>
        <v>17.931578947368422</v>
      </c>
      <c r="X29" s="193">
        <f t="shared" ref="X29:AE29" si="2">AVERAGE(X8:X26)</f>
        <v>2.871428571428571</v>
      </c>
      <c r="Y29" s="193">
        <f t="shared" si="2"/>
        <v>39.521052631578939</v>
      </c>
      <c r="Z29" s="193">
        <f t="shared" si="2"/>
        <v>8.3368421052631572</v>
      </c>
      <c r="AA29" s="193"/>
      <c r="AB29" s="193"/>
      <c r="AC29" s="193"/>
      <c r="AD29" s="193">
        <f t="shared" si="2"/>
        <v>1.1600000000000001</v>
      </c>
      <c r="AE29" s="193">
        <f t="shared" si="2"/>
        <v>31.484210526315792</v>
      </c>
      <c r="AF29" s="193">
        <f>SUM(W29:AE29)</f>
        <v>101.30511278195488</v>
      </c>
    </row>
    <row r="30" spans="1:35">
      <c r="B30" s="871"/>
      <c r="C30" s="871"/>
      <c r="D30" s="871"/>
      <c r="E30" s="871"/>
      <c r="F30" s="871"/>
      <c r="G30" s="871"/>
      <c r="H30" s="871"/>
      <c r="O30" s="456"/>
      <c r="P30" s="457"/>
      <c r="Q30" s="458"/>
      <c r="R30" s="84"/>
      <c r="W30" s="194">
        <f t="shared" ref="W30:AE30" si="3">W29/$AF$29</f>
        <v>0.17700566590319725</v>
      </c>
      <c r="X30" s="194">
        <f t="shared" si="3"/>
        <v>2.8344359850908222E-2</v>
      </c>
      <c r="Y30" s="194">
        <f t="shared" si="3"/>
        <v>0.39011903295189543</v>
      </c>
      <c r="Z30" s="194">
        <f t="shared" si="3"/>
        <v>8.229438649564555E-2</v>
      </c>
      <c r="AA30" s="194">
        <f t="shared" si="3"/>
        <v>0</v>
      </c>
      <c r="AB30" s="194">
        <f t="shared" si="3"/>
        <v>0</v>
      </c>
      <c r="AC30" s="194">
        <f t="shared" si="3"/>
        <v>0</v>
      </c>
      <c r="AD30" s="194">
        <f t="shared" si="3"/>
        <v>1.145055731290422E-2</v>
      </c>
      <c r="AE30" s="194">
        <f t="shared" si="3"/>
        <v>0.31078599748544938</v>
      </c>
    </row>
    <row r="31" spans="1:35" ht="13.5" thickBot="1">
      <c r="O31" s="456"/>
      <c r="P31" s="457"/>
      <c r="Q31" s="458"/>
      <c r="R31" s="84"/>
    </row>
    <row r="32" spans="1:35" ht="13.5" thickBot="1">
      <c r="B32" s="88" t="s">
        <v>71</v>
      </c>
      <c r="O32" s="456"/>
      <c r="P32" s="457"/>
      <c r="Q32" s="458"/>
      <c r="R32" s="84"/>
      <c r="AE32" s="139" t="s">
        <v>178</v>
      </c>
      <c r="AF32" s="253">
        <f>AVERAGE(AF12:AF26,AF8:AF10)</f>
        <v>0.42055555555555557</v>
      </c>
      <c r="AG32" s="307">
        <f>AVERAGE(AG12:AG26,AG8:AG10)</f>
        <v>0.676111111111111</v>
      </c>
      <c r="AH32" s="308">
        <f>AVERAGE(AH8:AH26)</f>
        <v>0.27947368421052637</v>
      </c>
    </row>
    <row r="33" spans="2:18">
      <c r="O33" s="456"/>
      <c r="P33" s="457"/>
      <c r="Q33" s="458"/>
      <c r="R33" s="84"/>
    </row>
    <row r="34" spans="2:18">
      <c r="B34" s="69" t="s">
        <v>72</v>
      </c>
      <c r="O34" s="456"/>
      <c r="P34" s="457"/>
      <c r="Q34" s="458"/>
      <c r="R34" s="84"/>
    </row>
    <row r="35" spans="2:18">
      <c r="O35" s="456"/>
      <c r="P35" s="457"/>
      <c r="Q35" s="458"/>
      <c r="R35" s="84"/>
    </row>
    <row r="36" spans="2:18">
      <c r="B36" s="5" t="s">
        <v>73</v>
      </c>
      <c r="O36" s="456"/>
      <c r="P36" s="457"/>
      <c r="Q36" s="458"/>
      <c r="R36" s="84"/>
    </row>
    <row r="37" spans="2:18" ht="13.5" thickBot="1">
      <c r="O37" s="456"/>
      <c r="P37" s="457"/>
      <c r="Q37" s="458"/>
      <c r="R37" s="84"/>
    </row>
    <row r="38" spans="2:18" ht="14.25">
      <c r="B38" s="89" t="s">
        <v>74</v>
      </c>
      <c r="C38" s="872" t="s">
        <v>75</v>
      </c>
      <c r="D38" s="863"/>
      <c r="O38" s="456"/>
      <c r="P38" s="457"/>
      <c r="Q38" s="458"/>
      <c r="R38" s="84"/>
    </row>
    <row r="39" spans="2:18">
      <c r="B39" s="142">
        <v>35</v>
      </c>
      <c r="C39" s="875">
        <f>LN(2)/B39</f>
        <v>1.980420515885558E-2</v>
      </c>
      <c r="D39" s="876"/>
    </row>
    <row r="40" spans="2:18" ht="27">
      <c r="B40" s="418" t="s">
        <v>76</v>
      </c>
      <c r="C40" s="873" t="s">
        <v>77</v>
      </c>
      <c r="D40" s="874"/>
    </row>
    <row r="41" spans="2:18" ht="13.5" thickBot="1">
      <c r="B41" s="143">
        <v>0.05</v>
      </c>
      <c r="C41" s="868">
        <f>LN(2)/B41</f>
        <v>13.862943611198904</v>
      </c>
      <c r="D41" s="869"/>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28" workbookViewId="0">
      <selection activeCell="J29" sqref="J2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228" t="s">
        <v>102</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Parameters!O15</f>
        <v>0.38</v>
      </c>
      <c r="O6" s="235"/>
      <c r="P6" s="236"/>
      <c r="Q6" s="227"/>
      <c r="R6" s="108" t="s">
        <v>9</v>
      </c>
      <c r="S6" s="109"/>
      <c r="T6" s="109"/>
      <c r="U6" s="113"/>
      <c r="V6" s="120" t="s">
        <v>9</v>
      </c>
      <c r="W6" s="269">
        <f>Parameters!R15</f>
        <v>0.15</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Parameters!O34</f>
        <v>0.4</v>
      </c>
      <c r="O8" s="47"/>
      <c r="P8" s="47"/>
      <c r="Q8" s="227"/>
      <c r="R8" s="108" t="s">
        <v>192</v>
      </c>
      <c r="S8" s="109"/>
      <c r="T8" s="109"/>
      <c r="U8" s="113"/>
      <c r="V8" s="120" t="s">
        <v>188</v>
      </c>
      <c r="W8" s="114">
        <f>Parameters!O34</f>
        <v>0.4</v>
      </c>
    </row>
    <row r="9" spans="1:23" ht="15.75">
      <c r="F9" s="255" t="s">
        <v>190</v>
      </c>
      <c r="G9" s="256"/>
      <c r="H9" s="256"/>
      <c r="I9" s="257"/>
      <c r="J9" s="258" t="s">
        <v>189</v>
      </c>
      <c r="K9" s="264">
        <f>LN(2)/$K$8</f>
        <v>1.732867951399863</v>
      </c>
      <c r="O9" s="47"/>
      <c r="P9" s="47"/>
      <c r="Q9" s="227"/>
      <c r="R9" s="255" t="s">
        <v>190</v>
      </c>
      <c r="S9" s="256"/>
      <c r="T9" s="256"/>
      <c r="U9" s="257"/>
      <c r="V9" s="258" t="s">
        <v>189</v>
      </c>
      <c r="W9" s="264">
        <f>LN(2)/$W$8</f>
        <v>1.732867951399863</v>
      </c>
    </row>
    <row r="10" spans="1:23">
      <c r="F10" s="110" t="s">
        <v>84</v>
      </c>
      <c r="G10" s="111"/>
      <c r="H10" s="111"/>
      <c r="I10" s="112"/>
      <c r="J10" s="121" t="s">
        <v>148</v>
      </c>
      <c r="K10" s="49">
        <f>EXP(-$K$8)</f>
        <v>0.67032004603563933</v>
      </c>
      <c r="O10" s="47"/>
      <c r="P10" s="47"/>
      <c r="Q10" s="227"/>
      <c r="R10" s="110" t="s">
        <v>84</v>
      </c>
      <c r="S10" s="111"/>
      <c r="T10" s="111"/>
      <c r="U10" s="112"/>
      <c r="V10" s="121" t="s">
        <v>148</v>
      </c>
      <c r="W10" s="49">
        <f>EXP(-$W$8)</f>
        <v>0.67032004603563933</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78">
        <f>Dry_Matter_Content!C6</f>
        <v>0.59</v>
      </c>
      <c r="E19" s="337">
        <f>MCF!R18</f>
        <v>0.4</v>
      </c>
      <c r="F19" s="130">
        <f>C19*D19*$K$6*DOCF*E19</f>
        <v>0</v>
      </c>
      <c r="G19" s="65">
        <f t="shared" ref="G19:G50" si="0">F19*$K$12</f>
        <v>0</v>
      </c>
      <c r="H19" s="65">
        <f t="shared" ref="H19:H50" si="1">F19*(1-$K$12)</f>
        <v>0</v>
      </c>
      <c r="I19" s="65">
        <f t="shared" ref="I19:I50" si="2">G19+I18*$K$10</f>
        <v>0</v>
      </c>
      <c r="J19" s="65">
        <f t="shared" ref="J19:J50" si="3">I18*(1-$K$10)+H19</f>
        <v>0</v>
      </c>
      <c r="K19" s="767">
        <f>J19*CH4_fraction*conv</f>
        <v>0</v>
      </c>
      <c r="O19" s="95">
        <f>Amnt_Deposited!B14</f>
        <v>2000</v>
      </c>
      <c r="P19" s="98">
        <f>Amnt_Deposited!C14</f>
        <v>0</v>
      </c>
      <c r="Q19" s="337">
        <f>MCF!R18</f>
        <v>0.4</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80">
        <f>Dry_Matter_Content!C7</f>
        <v>0.59</v>
      </c>
      <c r="E20" s="338">
        <f>MCF!R19</f>
        <v>0.4</v>
      </c>
      <c r="F20" s="67">
        <f t="shared" ref="F20:F50" si="5">C20*D20*$K$6*DOCF*E20</f>
        <v>0</v>
      </c>
      <c r="G20" s="67">
        <f t="shared" si="0"/>
        <v>0</v>
      </c>
      <c r="H20" s="67">
        <f t="shared" si="1"/>
        <v>0</v>
      </c>
      <c r="I20" s="67">
        <f t="shared" si="2"/>
        <v>0</v>
      </c>
      <c r="J20" s="67">
        <f t="shared" si="3"/>
        <v>0</v>
      </c>
      <c r="K20" s="768">
        <f>J20*CH4_fraction*conv</f>
        <v>0</v>
      </c>
      <c r="M20" s="453"/>
      <c r="O20" s="96">
        <f>Amnt_Deposited!B15</f>
        <v>2001</v>
      </c>
      <c r="P20" s="99">
        <f>Amnt_Deposited!C15</f>
        <v>0</v>
      </c>
      <c r="Q20" s="338">
        <f>MCF!R19</f>
        <v>0.4</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80">
        <f>Dry_Matter_Content!C8</f>
        <v>0.59</v>
      </c>
      <c r="E21" s="338">
        <f>MCF!R20</f>
        <v>0.4</v>
      </c>
      <c r="F21" s="67">
        <f t="shared" si="5"/>
        <v>0</v>
      </c>
      <c r="G21" s="67">
        <f t="shared" si="0"/>
        <v>0</v>
      </c>
      <c r="H21" s="67">
        <f t="shared" si="1"/>
        <v>0</v>
      </c>
      <c r="I21" s="67">
        <f t="shared" si="2"/>
        <v>0</v>
      </c>
      <c r="J21" s="67">
        <f t="shared" si="3"/>
        <v>0</v>
      </c>
      <c r="K21" s="768">
        <f t="shared" ref="K21:K84" si="6">J21*CH4_fraction*conv</f>
        <v>0</v>
      </c>
      <c r="O21" s="96">
        <f>Amnt_Deposited!B16</f>
        <v>2002</v>
      </c>
      <c r="P21" s="99">
        <f>Amnt_Deposited!C16</f>
        <v>0</v>
      </c>
      <c r="Q21" s="338">
        <f>MCF!R20</f>
        <v>0.4</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80">
        <f>Dry_Matter_Content!C9</f>
        <v>0.59</v>
      </c>
      <c r="E22" s="338">
        <f>MCF!R21</f>
        <v>0.4</v>
      </c>
      <c r="F22" s="67">
        <f t="shared" si="5"/>
        <v>0</v>
      </c>
      <c r="G22" s="67">
        <f t="shared" si="0"/>
        <v>0</v>
      </c>
      <c r="H22" s="67">
        <f t="shared" si="1"/>
        <v>0</v>
      </c>
      <c r="I22" s="67">
        <f t="shared" si="2"/>
        <v>0</v>
      </c>
      <c r="J22" s="67">
        <f t="shared" si="3"/>
        <v>0</v>
      </c>
      <c r="K22" s="768">
        <f t="shared" si="6"/>
        <v>0</v>
      </c>
      <c r="N22" s="266"/>
      <c r="O22" s="96">
        <f>Amnt_Deposited!B17</f>
        <v>2003</v>
      </c>
      <c r="P22" s="99">
        <f>Amnt_Deposited!C17</f>
        <v>0</v>
      </c>
      <c r="Q22" s="338">
        <f>MCF!R21</f>
        <v>0.4</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80">
        <f>Dry_Matter_Content!C10</f>
        <v>0.59</v>
      </c>
      <c r="E23" s="338">
        <f>MCF!R22</f>
        <v>0.4</v>
      </c>
      <c r="F23" s="67">
        <f t="shared" si="5"/>
        <v>0</v>
      </c>
      <c r="G23" s="67">
        <f t="shared" si="0"/>
        <v>0</v>
      </c>
      <c r="H23" s="67">
        <f t="shared" si="1"/>
        <v>0</v>
      </c>
      <c r="I23" s="67">
        <f t="shared" si="2"/>
        <v>0</v>
      </c>
      <c r="J23" s="67">
        <f t="shared" si="3"/>
        <v>0</v>
      </c>
      <c r="K23" s="768">
        <f t="shared" si="6"/>
        <v>0</v>
      </c>
      <c r="N23" s="266"/>
      <c r="O23" s="96">
        <f>Amnt_Deposited!B18</f>
        <v>2004</v>
      </c>
      <c r="P23" s="99">
        <f>Amnt_Deposited!C18</f>
        <v>0</v>
      </c>
      <c r="Q23" s="338">
        <f>MCF!R22</f>
        <v>0.4</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80">
        <f>Dry_Matter_Content!C11</f>
        <v>0.59</v>
      </c>
      <c r="E24" s="338">
        <f>MCF!R23</f>
        <v>0.4</v>
      </c>
      <c r="F24" s="67">
        <f t="shared" si="5"/>
        <v>0</v>
      </c>
      <c r="G24" s="67">
        <f t="shared" si="0"/>
        <v>0</v>
      </c>
      <c r="H24" s="67">
        <f t="shared" si="1"/>
        <v>0</v>
      </c>
      <c r="I24" s="67">
        <f t="shared" si="2"/>
        <v>0</v>
      </c>
      <c r="J24" s="67">
        <f t="shared" si="3"/>
        <v>0</v>
      </c>
      <c r="K24" s="768">
        <f t="shared" si="6"/>
        <v>0</v>
      </c>
      <c r="N24" s="266"/>
      <c r="O24" s="96">
        <f>Amnt_Deposited!B19</f>
        <v>2005</v>
      </c>
      <c r="P24" s="99">
        <f>Amnt_Deposited!C19</f>
        <v>0</v>
      </c>
      <c r="Q24" s="338">
        <f>MCF!R23</f>
        <v>0.4</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80">
        <f>Dry_Matter_Content!C12</f>
        <v>0.59</v>
      </c>
      <c r="E25" s="338">
        <f>MCF!R24</f>
        <v>0.4</v>
      </c>
      <c r="F25" s="67">
        <f t="shared" si="5"/>
        <v>0</v>
      </c>
      <c r="G25" s="67">
        <f t="shared" si="0"/>
        <v>0</v>
      </c>
      <c r="H25" s="67">
        <f t="shared" si="1"/>
        <v>0</v>
      </c>
      <c r="I25" s="67">
        <f>G25+I24*$K$10</f>
        <v>0</v>
      </c>
      <c r="J25" s="67">
        <f t="shared" si="3"/>
        <v>0</v>
      </c>
      <c r="K25" s="768">
        <f t="shared" si="6"/>
        <v>0</v>
      </c>
      <c r="N25" s="266"/>
      <c r="O25" s="96">
        <f>Amnt_Deposited!B20</f>
        <v>2006</v>
      </c>
      <c r="P25" s="99">
        <f>Amnt_Deposited!C20</f>
        <v>0</v>
      </c>
      <c r="Q25" s="338">
        <f>MCF!R24</f>
        <v>0.4</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80">
        <f>Dry_Matter_Content!C13</f>
        <v>0.59</v>
      </c>
      <c r="E26" s="338">
        <f>MCF!R25</f>
        <v>0.4</v>
      </c>
      <c r="F26" s="67">
        <f t="shared" si="5"/>
        <v>0</v>
      </c>
      <c r="G26" s="67">
        <f t="shared" si="0"/>
        <v>0</v>
      </c>
      <c r="H26" s="67">
        <f t="shared" si="1"/>
        <v>0</v>
      </c>
      <c r="I26" s="67">
        <f t="shared" si="2"/>
        <v>0</v>
      </c>
      <c r="J26" s="67">
        <f t="shared" si="3"/>
        <v>0</v>
      </c>
      <c r="K26" s="768">
        <f t="shared" si="6"/>
        <v>0</v>
      </c>
      <c r="N26" s="266"/>
      <c r="O26" s="96">
        <f>Amnt_Deposited!B21</f>
        <v>2007</v>
      </c>
      <c r="P26" s="99">
        <f>Amnt_Deposited!C21</f>
        <v>0</v>
      </c>
      <c r="Q26" s="338">
        <f>MCF!R25</f>
        <v>0.4</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80">
        <f>Dry_Matter_Content!C14</f>
        <v>0.59</v>
      </c>
      <c r="E27" s="338">
        <f>MCF!R26</f>
        <v>0.4</v>
      </c>
      <c r="F27" s="67">
        <f t="shared" si="5"/>
        <v>0</v>
      </c>
      <c r="G27" s="67">
        <f t="shared" si="0"/>
        <v>0</v>
      </c>
      <c r="H27" s="67">
        <f t="shared" si="1"/>
        <v>0</v>
      </c>
      <c r="I27" s="67">
        <f t="shared" si="2"/>
        <v>0</v>
      </c>
      <c r="J27" s="67">
        <f>I26*(1-$K$10)+H27</f>
        <v>0</v>
      </c>
      <c r="K27" s="768">
        <f t="shared" si="6"/>
        <v>0</v>
      </c>
      <c r="N27" s="266"/>
      <c r="O27" s="96">
        <f>Amnt_Deposited!B22</f>
        <v>2008</v>
      </c>
      <c r="P27" s="99">
        <f>Amnt_Deposited!C22</f>
        <v>0</v>
      </c>
      <c r="Q27" s="338">
        <f>MCF!R26</f>
        <v>0.4</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80">
        <f>Dry_Matter_Content!C15</f>
        <v>0.59</v>
      </c>
      <c r="E28" s="338">
        <f>MCF!R27</f>
        <v>0.4</v>
      </c>
      <c r="F28" s="67">
        <f t="shared" si="5"/>
        <v>0</v>
      </c>
      <c r="G28" s="67">
        <f t="shared" si="0"/>
        <v>0</v>
      </c>
      <c r="H28" s="67">
        <f t="shared" si="1"/>
        <v>0</v>
      </c>
      <c r="I28" s="67">
        <f t="shared" si="2"/>
        <v>0</v>
      </c>
      <c r="J28" s="67">
        <f t="shared" si="3"/>
        <v>0</v>
      </c>
      <c r="K28" s="768">
        <f t="shared" si="6"/>
        <v>0</v>
      </c>
      <c r="N28" s="266"/>
      <c r="O28" s="96">
        <f>Amnt_Deposited!B23</f>
        <v>2009</v>
      </c>
      <c r="P28" s="99">
        <f>Amnt_Deposited!C23</f>
        <v>0</v>
      </c>
      <c r="Q28" s="338">
        <f>MCF!R27</f>
        <v>0.4</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80">
        <f>Dry_Matter_Content!C16</f>
        <v>0.59</v>
      </c>
      <c r="E29" s="338">
        <f>MCF!R28</f>
        <v>0.4</v>
      </c>
      <c r="F29" s="67">
        <f t="shared" si="5"/>
        <v>0</v>
      </c>
      <c r="G29" s="67">
        <f t="shared" si="0"/>
        <v>0</v>
      </c>
      <c r="H29" s="67">
        <f t="shared" si="1"/>
        <v>0</v>
      </c>
      <c r="I29" s="67">
        <f t="shared" si="2"/>
        <v>0</v>
      </c>
      <c r="J29" s="67">
        <f>I28*(1-$K$10)+H29</f>
        <v>0</v>
      </c>
      <c r="K29" s="768">
        <f t="shared" si="6"/>
        <v>0</v>
      </c>
      <c r="O29" s="96">
        <f>Amnt_Deposited!B24</f>
        <v>2010</v>
      </c>
      <c r="P29" s="99">
        <f>Amnt_Deposited!C24</f>
        <v>0</v>
      </c>
      <c r="Q29" s="338">
        <f>MCF!R28</f>
        <v>0.4</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80">
        <f>Dry_Matter_Content!C17</f>
        <v>0.59</v>
      </c>
      <c r="E30" s="338">
        <f>MCF!R29</f>
        <v>0.4</v>
      </c>
      <c r="F30" s="67">
        <f t="shared" si="5"/>
        <v>0</v>
      </c>
      <c r="G30" s="67">
        <f t="shared" si="0"/>
        <v>0</v>
      </c>
      <c r="H30" s="67">
        <f t="shared" si="1"/>
        <v>0</v>
      </c>
      <c r="I30" s="67">
        <f t="shared" si="2"/>
        <v>0</v>
      </c>
      <c r="J30" s="67">
        <f t="shared" si="3"/>
        <v>0</v>
      </c>
      <c r="K30" s="768">
        <f t="shared" si="6"/>
        <v>0</v>
      </c>
      <c r="O30" s="96">
        <f>Amnt_Deposited!B25</f>
        <v>2011</v>
      </c>
      <c r="P30" s="99">
        <f>Amnt_Deposited!C25</f>
        <v>0</v>
      </c>
      <c r="Q30" s="338">
        <f>MCF!R29</f>
        <v>0.4</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80">
        <f>Dry_Matter_Content!C18</f>
        <v>0.59</v>
      </c>
      <c r="E31" s="338">
        <f>MCF!R30</f>
        <v>0.4</v>
      </c>
      <c r="F31" s="67">
        <f t="shared" si="5"/>
        <v>0</v>
      </c>
      <c r="G31" s="67">
        <f t="shared" si="0"/>
        <v>0</v>
      </c>
      <c r="H31" s="67">
        <f t="shared" si="1"/>
        <v>0</v>
      </c>
      <c r="I31" s="67">
        <f t="shared" si="2"/>
        <v>0</v>
      </c>
      <c r="J31" s="67">
        <f t="shared" si="3"/>
        <v>0</v>
      </c>
      <c r="K31" s="768">
        <f t="shared" si="6"/>
        <v>0</v>
      </c>
      <c r="O31" s="96">
        <f>Amnt_Deposited!B26</f>
        <v>2012</v>
      </c>
      <c r="P31" s="99">
        <f>Amnt_Deposited!C26</f>
        <v>0</v>
      </c>
      <c r="Q31" s="338">
        <f>MCF!R30</f>
        <v>0.4</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80">
        <f>Dry_Matter_Content!C19</f>
        <v>0.59</v>
      </c>
      <c r="E32" s="338">
        <f>MCF!R31</f>
        <v>0.4</v>
      </c>
      <c r="F32" s="67">
        <f t="shared" si="5"/>
        <v>0</v>
      </c>
      <c r="G32" s="67">
        <f t="shared" si="0"/>
        <v>0</v>
      </c>
      <c r="H32" s="67">
        <f t="shared" si="1"/>
        <v>0</v>
      </c>
      <c r="I32" s="67">
        <f t="shared" si="2"/>
        <v>0</v>
      </c>
      <c r="J32" s="67">
        <f t="shared" si="3"/>
        <v>0</v>
      </c>
      <c r="K32" s="768">
        <f t="shared" si="6"/>
        <v>0</v>
      </c>
      <c r="O32" s="96">
        <f>Amnt_Deposited!B27</f>
        <v>2013</v>
      </c>
      <c r="P32" s="99">
        <f>Amnt_Deposited!C27</f>
        <v>0</v>
      </c>
      <c r="Q32" s="338">
        <f>MCF!R31</f>
        <v>0.4</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80">
        <f>Dry_Matter_Content!C20</f>
        <v>0.59</v>
      </c>
      <c r="E33" s="338">
        <f>MCF!R32</f>
        <v>0.4</v>
      </c>
      <c r="F33" s="67">
        <f t="shared" si="5"/>
        <v>0</v>
      </c>
      <c r="G33" s="67">
        <f t="shared" si="0"/>
        <v>0</v>
      </c>
      <c r="H33" s="67">
        <f t="shared" si="1"/>
        <v>0</v>
      </c>
      <c r="I33" s="67">
        <f t="shared" si="2"/>
        <v>0</v>
      </c>
      <c r="J33" s="67">
        <f t="shared" si="3"/>
        <v>0</v>
      </c>
      <c r="K33" s="768">
        <f t="shared" si="6"/>
        <v>0</v>
      </c>
      <c r="O33" s="96">
        <f>Amnt_Deposited!B28</f>
        <v>2014</v>
      </c>
      <c r="P33" s="99">
        <f>Amnt_Deposited!C28</f>
        <v>0</v>
      </c>
      <c r="Q33" s="338">
        <f>MCF!R32</f>
        <v>0.4</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80">
        <f>Dry_Matter_Content!C21</f>
        <v>0.59</v>
      </c>
      <c r="E34" s="338">
        <f>MCF!R33</f>
        <v>0.4</v>
      </c>
      <c r="F34" s="67">
        <f t="shared" si="5"/>
        <v>0</v>
      </c>
      <c r="G34" s="67">
        <f t="shared" si="0"/>
        <v>0</v>
      </c>
      <c r="H34" s="67">
        <f t="shared" si="1"/>
        <v>0</v>
      </c>
      <c r="I34" s="67">
        <f t="shared" si="2"/>
        <v>0</v>
      </c>
      <c r="J34" s="67">
        <f t="shared" si="3"/>
        <v>0</v>
      </c>
      <c r="K34" s="768">
        <f t="shared" si="6"/>
        <v>0</v>
      </c>
      <c r="O34" s="96">
        <f>Amnt_Deposited!B29</f>
        <v>2015</v>
      </c>
      <c r="P34" s="99">
        <f>Amnt_Deposited!C29</f>
        <v>0</v>
      </c>
      <c r="Q34" s="338">
        <f>MCF!R33</f>
        <v>0.4</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80">
        <f>Dry_Matter_Content!C22</f>
        <v>0.59</v>
      </c>
      <c r="E35" s="338">
        <f>MCF!R34</f>
        <v>0.4</v>
      </c>
      <c r="F35" s="67">
        <f t="shared" si="5"/>
        <v>0</v>
      </c>
      <c r="G35" s="67">
        <f t="shared" si="0"/>
        <v>0</v>
      </c>
      <c r="H35" s="67">
        <f t="shared" si="1"/>
        <v>0</v>
      </c>
      <c r="I35" s="67">
        <f t="shared" si="2"/>
        <v>0</v>
      </c>
      <c r="J35" s="67">
        <f t="shared" si="3"/>
        <v>0</v>
      </c>
      <c r="K35" s="768">
        <f t="shared" si="6"/>
        <v>0</v>
      </c>
      <c r="O35" s="96">
        <f>Amnt_Deposited!B30</f>
        <v>2016</v>
      </c>
      <c r="P35" s="99">
        <f>Amnt_Deposited!C30</f>
        <v>0</v>
      </c>
      <c r="Q35" s="338">
        <f>MCF!R34</f>
        <v>0.4</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80">
        <f>Dry_Matter_Content!C23</f>
        <v>0.59</v>
      </c>
      <c r="E36" s="338">
        <f>MCF!R35</f>
        <v>0.4</v>
      </c>
      <c r="F36" s="67">
        <f t="shared" si="5"/>
        <v>0</v>
      </c>
      <c r="G36" s="67">
        <f t="shared" si="0"/>
        <v>0</v>
      </c>
      <c r="H36" s="67">
        <f t="shared" si="1"/>
        <v>0</v>
      </c>
      <c r="I36" s="67">
        <f t="shared" si="2"/>
        <v>0</v>
      </c>
      <c r="J36" s="67">
        <f t="shared" si="3"/>
        <v>0</v>
      </c>
      <c r="K36" s="768">
        <f t="shared" si="6"/>
        <v>0</v>
      </c>
      <c r="O36" s="96">
        <f>Amnt_Deposited!B31</f>
        <v>2017</v>
      </c>
      <c r="P36" s="99">
        <f>Amnt_Deposited!C31</f>
        <v>0</v>
      </c>
      <c r="Q36" s="338">
        <f>MCF!R35</f>
        <v>0.4</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80">
        <f>Dry_Matter_Content!C24</f>
        <v>0.59</v>
      </c>
      <c r="E37" s="338">
        <f>MCF!R36</f>
        <v>0.4</v>
      </c>
      <c r="F37" s="67">
        <f t="shared" si="5"/>
        <v>0</v>
      </c>
      <c r="G37" s="67">
        <f t="shared" si="0"/>
        <v>0</v>
      </c>
      <c r="H37" s="67">
        <f t="shared" si="1"/>
        <v>0</v>
      </c>
      <c r="I37" s="67">
        <f t="shared" si="2"/>
        <v>0</v>
      </c>
      <c r="J37" s="67">
        <f t="shared" si="3"/>
        <v>0</v>
      </c>
      <c r="K37" s="768">
        <f t="shared" si="6"/>
        <v>0</v>
      </c>
      <c r="O37" s="96">
        <f>Amnt_Deposited!B32</f>
        <v>2018</v>
      </c>
      <c r="P37" s="99">
        <f>Amnt_Deposited!C32</f>
        <v>0</v>
      </c>
      <c r="Q37" s="338">
        <f>MCF!R36</f>
        <v>0.4</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80">
        <f>Dry_Matter_Content!C25</f>
        <v>0.59</v>
      </c>
      <c r="E38" s="338">
        <f>MCF!R37</f>
        <v>0.4</v>
      </c>
      <c r="F38" s="67">
        <f t="shared" si="5"/>
        <v>0</v>
      </c>
      <c r="G38" s="67">
        <f t="shared" si="0"/>
        <v>0</v>
      </c>
      <c r="H38" s="67">
        <f t="shared" si="1"/>
        <v>0</v>
      </c>
      <c r="I38" s="67">
        <f t="shared" si="2"/>
        <v>0</v>
      </c>
      <c r="J38" s="67">
        <f t="shared" si="3"/>
        <v>0</v>
      </c>
      <c r="K38" s="768">
        <f t="shared" si="6"/>
        <v>0</v>
      </c>
      <c r="O38" s="96">
        <f>Amnt_Deposited!B33</f>
        <v>2019</v>
      </c>
      <c r="P38" s="99">
        <f>Amnt_Deposited!C33</f>
        <v>0</v>
      </c>
      <c r="Q38" s="338">
        <f>MCF!R37</f>
        <v>0.4</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80">
        <f>Dry_Matter_Content!C26</f>
        <v>0.59</v>
      </c>
      <c r="E39" s="338">
        <f>MCF!R38</f>
        <v>0.4</v>
      </c>
      <c r="F39" s="67">
        <f t="shared" si="5"/>
        <v>0</v>
      </c>
      <c r="G39" s="67">
        <f t="shared" si="0"/>
        <v>0</v>
      </c>
      <c r="H39" s="67">
        <f t="shared" si="1"/>
        <v>0</v>
      </c>
      <c r="I39" s="67">
        <f t="shared" si="2"/>
        <v>0</v>
      </c>
      <c r="J39" s="67">
        <f t="shared" si="3"/>
        <v>0</v>
      </c>
      <c r="K39" s="768">
        <f t="shared" si="6"/>
        <v>0</v>
      </c>
      <c r="O39" s="96">
        <f>Amnt_Deposited!B34</f>
        <v>2020</v>
      </c>
      <c r="P39" s="99">
        <f>Amnt_Deposited!C34</f>
        <v>0</v>
      </c>
      <c r="Q39" s="338">
        <f>MCF!R38</f>
        <v>0.4</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80">
        <f>Dry_Matter_Content!C27</f>
        <v>0.59</v>
      </c>
      <c r="E40" s="338">
        <f>MCF!R39</f>
        <v>0.4</v>
      </c>
      <c r="F40" s="67">
        <f t="shared" si="5"/>
        <v>0</v>
      </c>
      <c r="G40" s="67">
        <f t="shared" si="0"/>
        <v>0</v>
      </c>
      <c r="H40" s="67">
        <f t="shared" si="1"/>
        <v>0</v>
      </c>
      <c r="I40" s="67">
        <f t="shared" si="2"/>
        <v>0</v>
      </c>
      <c r="J40" s="67">
        <f t="shared" si="3"/>
        <v>0</v>
      </c>
      <c r="K40" s="768">
        <f t="shared" si="6"/>
        <v>0</v>
      </c>
      <c r="O40" s="96">
        <f>Amnt_Deposited!B35</f>
        <v>2021</v>
      </c>
      <c r="P40" s="99">
        <f>Amnt_Deposited!C35</f>
        <v>0</v>
      </c>
      <c r="Q40" s="338">
        <f>MCF!R39</f>
        <v>0.4</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80">
        <f>Dry_Matter_Content!C28</f>
        <v>0.59</v>
      </c>
      <c r="E41" s="338">
        <f>MCF!R40</f>
        <v>0.4</v>
      </c>
      <c r="F41" s="67">
        <f t="shared" si="5"/>
        <v>0</v>
      </c>
      <c r="G41" s="67">
        <f t="shared" si="0"/>
        <v>0</v>
      </c>
      <c r="H41" s="67">
        <f t="shared" si="1"/>
        <v>0</v>
      </c>
      <c r="I41" s="67">
        <f t="shared" si="2"/>
        <v>0</v>
      </c>
      <c r="J41" s="67">
        <f t="shared" si="3"/>
        <v>0</v>
      </c>
      <c r="K41" s="768">
        <f t="shared" si="6"/>
        <v>0</v>
      </c>
      <c r="O41" s="96">
        <f>Amnt_Deposited!B36</f>
        <v>2022</v>
      </c>
      <c r="P41" s="99">
        <f>Amnt_Deposited!C36</f>
        <v>0</v>
      </c>
      <c r="Q41" s="338">
        <f>MCF!R40</f>
        <v>0.4</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80">
        <f>Dry_Matter_Content!C29</f>
        <v>0.59</v>
      </c>
      <c r="E42" s="338">
        <f>MCF!R41</f>
        <v>0.4</v>
      </c>
      <c r="F42" s="67">
        <f t="shared" si="5"/>
        <v>0</v>
      </c>
      <c r="G42" s="67">
        <f t="shared" si="0"/>
        <v>0</v>
      </c>
      <c r="H42" s="67">
        <f t="shared" si="1"/>
        <v>0</v>
      </c>
      <c r="I42" s="67">
        <f t="shared" si="2"/>
        <v>0</v>
      </c>
      <c r="J42" s="67">
        <f t="shared" si="3"/>
        <v>0</v>
      </c>
      <c r="K42" s="768">
        <f t="shared" si="6"/>
        <v>0</v>
      </c>
      <c r="O42" s="96">
        <f>Amnt_Deposited!B37</f>
        <v>2023</v>
      </c>
      <c r="P42" s="99">
        <f>Amnt_Deposited!C37</f>
        <v>0</v>
      </c>
      <c r="Q42" s="338">
        <f>MCF!R41</f>
        <v>0.4</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80">
        <f>Dry_Matter_Content!C30</f>
        <v>0.59</v>
      </c>
      <c r="E43" s="338">
        <f>MCF!R42</f>
        <v>0.4</v>
      </c>
      <c r="F43" s="67">
        <f t="shared" si="5"/>
        <v>0</v>
      </c>
      <c r="G43" s="67">
        <f t="shared" si="0"/>
        <v>0</v>
      </c>
      <c r="H43" s="67">
        <f t="shared" si="1"/>
        <v>0</v>
      </c>
      <c r="I43" s="67">
        <f t="shared" si="2"/>
        <v>0</v>
      </c>
      <c r="J43" s="67">
        <f t="shared" si="3"/>
        <v>0</v>
      </c>
      <c r="K43" s="768">
        <f t="shared" si="6"/>
        <v>0</v>
      </c>
      <c r="O43" s="96">
        <f>Amnt_Deposited!B38</f>
        <v>2024</v>
      </c>
      <c r="P43" s="99">
        <f>Amnt_Deposited!C38</f>
        <v>0</v>
      </c>
      <c r="Q43" s="338">
        <f>MCF!R42</f>
        <v>0.4</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80">
        <f>Dry_Matter_Content!C31</f>
        <v>0.59</v>
      </c>
      <c r="E44" s="338">
        <f>MCF!R43</f>
        <v>0.4</v>
      </c>
      <c r="F44" s="67">
        <f t="shared" si="5"/>
        <v>0</v>
      </c>
      <c r="G44" s="67">
        <f t="shared" si="0"/>
        <v>0</v>
      </c>
      <c r="H44" s="67">
        <f t="shared" si="1"/>
        <v>0</v>
      </c>
      <c r="I44" s="67">
        <f t="shared" si="2"/>
        <v>0</v>
      </c>
      <c r="J44" s="67">
        <f t="shared" si="3"/>
        <v>0</v>
      </c>
      <c r="K44" s="768">
        <f t="shared" si="6"/>
        <v>0</v>
      </c>
      <c r="O44" s="96">
        <f>Amnt_Deposited!B39</f>
        <v>2025</v>
      </c>
      <c r="P44" s="99">
        <f>Amnt_Deposited!C39</f>
        <v>0</v>
      </c>
      <c r="Q44" s="338">
        <f>MCF!R43</f>
        <v>0.4</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80">
        <f>Dry_Matter_Content!C32</f>
        <v>0.59</v>
      </c>
      <c r="E45" s="338">
        <f>MCF!R44</f>
        <v>0.4</v>
      </c>
      <c r="F45" s="67">
        <f t="shared" si="5"/>
        <v>0</v>
      </c>
      <c r="G45" s="67">
        <f t="shared" si="0"/>
        <v>0</v>
      </c>
      <c r="H45" s="67">
        <f t="shared" si="1"/>
        <v>0</v>
      </c>
      <c r="I45" s="67">
        <f t="shared" si="2"/>
        <v>0</v>
      </c>
      <c r="J45" s="67">
        <f t="shared" si="3"/>
        <v>0</v>
      </c>
      <c r="K45" s="768">
        <f t="shared" si="6"/>
        <v>0</v>
      </c>
      <c r="O45" s="96">
        <f>Amnt_Deposited!B40</f>
        <v>2026</v>
      </c>
      <c r="P45" s="99">
        <f>Amnt_Deposited!C40</f>
        <v>0</v>
      </c>
      <c r="Q45" s="338">
        <f>MCF!R44</f>
        <v>0.4</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80">
        <f>Dry_Matter_Content!C33</f>
        <v>0.59</v>
      </c>
      <c r="E46" s="338">
        <f>MCF!R45</f>
        <v>0.4</v>
      </c>
      <c r="F46" s="67">
        <f t="shared" si="5"/>
        <v>0</v>
      </c>
      <c r="G46" s="67">
        <f t="shared" si="0"/>
        <v>0</v>
      </c>
      <c r="H46" s="67">
        <f t="shared" si="1"/>
        <v>0</v>
      </c>
      <c r="I46" s="67">
        <f t="shared" si="2"/>
        <v>0</v>
      </c>
      <c r="J46" s="67">
        <f t="shared" si="3"/>
        <v>0</v>
      </c>
      <c r="K46" s="768">
        <f t="shared" si="6"/>
        <v>0</v>
      </c>
      <c r="O46" s="96">
        <f>Amnt_Deposited!B41</f>
        <v>2027</v>
      </c>
      <c r="P46" s="99">
        <f>Amnt_Deposited!C41</f>
        <v>0</v>
      </c>
      <c r="Q46" s="338">
        <f>MCF!R45</f>
        <v>0.4</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80">
        <f>Dry_Matter_Content!C34</f>
        <v>0.59</v>
      </c>
      <c r="E47" s="338">
        <f>MCF!R46</f>
        <v>0.4</v>
      </c>
      <c r="F47" s="67">
        <f t="shared" si="5"/>
        <v>0</v>
      </c>
      <c r="G47" s="67">
        <f t="shared" si="0"/>
        <v>0</v>
      </c>
      <c r="H47" s="67">
        <f t="shared" si="1"/>
        <v>0</v>
      </c>
      <c r="I47" s="67">
        <f t="shared" si="2"/>
        <v>0</v>
      </c>
      <c r="J47" s="67">
        <f t="shared" si="3"/>
        <v>0</v>
      </c>
      <c r="K47" s="768">
        <f t="shared" si="6"/>
        <v>0</v>
      </c>
      <c r="O47" s="96">
        <f>Amnt_Deposited!B42</f>
        <v>2028</v>
      </c>
      <c r="P47" s="99">
        <f>Amnt_Deposited!C42</f>
        <v>0</v>
      </c>
      <c r="Q47" s="338">
        <f>MCF!R46</f>
        <v>0.4</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80">
        <f>Dry_Matter_Content!C35</f>
        <v>0.59</v>
      </c>
      <c r="E48" s="338">
        <f>MCF!R47</f>
        <v>0.4</v>
      </c>
      <c r="F48" s="67">
        <f t="shared" si="5"/>
        <v>0</v>
      </c>
      <c r="G48" s="67">
        <f t="shared" si="0"/>
        <v>0</v>
      </c>
      <c r="H48" s="67">
        <f t="shared" si="1"/>
        <v>0</v>
      </c>
      <c r="I48" s="67">
        <f t="shared" si="2"/>
        <v>0</v>
      </c>
      <c r="J48" s="67">
        <f t="shared" si="3"/>
        <v>0</v>
      </c>
      <c r="K48" s="768">
        <f t="shared" si="6"/>
        <v>0</v>
      </c>
      <c r="O48" s="96">
        <f>Amnt_Deposited!B43</f>
        <v>2029</v>
      </c>
      <c r="P48" s="99">
        <f>Amnt_Deposited!C43</f>
        <v>0</v>
      </c>
      <c r="Q48" s="338">
        <f>MCF!R47</f>
        <v>0.4</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80">
        <f>Dry_Matter_Content!C36</f>
        <v>0.59</v>
      </c>
      <c r="E49" s="338">
        <f>MCF!R48</f>
        <v>0.4</v>
      </c>
      <c r="F49" s="67">
        <f t="shared" si="5"/>
        <v>0</v>
      </c>
      <c r="G49" s="67">
        <f t="shared" si="0"/>
        <v>0</v>
      </c>
      <c r="H49" s="67">
        <f t="shared" si="1"/>
        <v>0</v>
      </c>
      <c r="I49" s="67">
        <f t="shared" si="2"/>
        <v>0</v>
      </c>
      <c r="J49" s="67">
        <f t="shared" si="3"/>
        <v>0</v>
      </c>
      <c r="K49" s="768">
        <f t="shared" si="6"/>
        <v>0</v>
      </c>
      <c r="O49" s="96">
        <f>Amnt_Deposited!B44</f>
        <v>2030</v>
      </c>
      <c r="P49" s="99">
        <f>Amnt_Deposited!C44</f>
        <v>0</v>
      </c>
      <c r="Q49" s="338">
        <f>MCF!R48</f>
        <v>0.4</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80">
        <f>Dry_Matter_Content!C37</f>
        <v>0.59</v>
      </c>
      <c r="E50" s="338">
        <f>MCF!R49</f>
        <v>0.4</v>
      </c>
      <c r="F50" s="67">
        <f t="shared" si="5"/>
        <v>0</v>
      </c>
      <c r="G50" s="67">
        <f t="shared" si="0"/>
        <v>0</v>
      </c>
      <c r="H50" s="67">
        <f t="shared" si="1"/>
        <v>0</v>
      </c>
      <c r="I50" s="67">
        <f t="shared" si="2"/>
        <v>0</v>
      </c>
      <c r="J50" s="67">
        <f t="shared" si="3"/>
        <v>0</v>
      </c>
      <c r="K50" s="768">
        <f t="shared" si="6"/>
        <v>0</v>
      </c>
      <c r="O50" s="96">
        <f>Amnt_Deposited!B45</f>
        <v>2031</v>
      </c>
      <c r="P50" s="99">
        <f>Amnt_Deposited!C45</f>
        <v>0</v>
      </c>
      <c r="Q50" s="338">
        <f>MCF!R49</f>
        <v>0.4</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80">
        <f>Dry_Matter_Content!C38</f>
        <v>0.59</v>
      </c>
      <c r="E51" s="338">
        <f>MCF!R50</f>
        <v>0.4</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338">
        <f>MCF!R50</f>
        <v>0.4</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80">
        <f>Dry_Matter_Content!C39</f>
        <v>0.59</v>
      </c>
      <c r="E52" s="338">
        <f>MCF!R51</f>
        <v>0.4</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338">
        <f>MCF!R51</f>
        <v>0.4</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80">
        <f>Dry_Matter_Content!C40</f>
        <v>0.59</v>
      </c>
      <c r="E53" s="338">
        <f>MCF!R52</f>
        <v>0.4</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338">
        <f>MCF!R52</f>
        <v>0.4</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80">
        <f>Dry_Matter_Content!C41</f>
        <v>0.59</v>
      </c>
      <c r="E54" s="338">
        <f>MCF!R53</f>
        <v>0.4</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338">
        <f>MCF!R53</f>
        <v>0.4</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80">
        <f>Dry_Matter_Content!C42</f>
        <v>0.59</v>
      </c>
      <c r="E55" s="338">
        <f>MCF!R54</f>
        <v>0.4</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338">
        <f>MCF!R54</f>
        <v>0.4</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80">
        <f>Dry_Matter_Content!C43</f>
        <v>0.59</v>
      </c>
      <c r="E56" s="338">
        <f>MCF!R55</f>
        <v>0.4</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338">
        <f>MCF!R55</f>
        <v>0.4</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80">
        <f>Dry_Matter_Content!C44</f>
        <v>0.59</v>
      </c>
      <c r="E57" s="338">
        <f>MCF!R56</f>
        <v>0.4</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338">
        <f>MCF!R56</f>
        <v>0.4</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80">
        <f>Dry_Matter_Content!C45</f>
        <v>0.59</v>
      </c>
      <c r="E58" s="338">
        <f>MCF!R57</f>
        <v>0.4</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338">
        <f>MCF!R57</f>
        <v>0.4</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80">
        <f>Dry_Matter_Content!C46</f>
        <v>0.59</v>
      </c>
      <c r="E59" s="338">
        <f>MCF!R58</f>
        <v>0.4</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338">
        <f>MCF!R58</f>
        <v>0.4</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80">
        <f>Dry_Matter_Content!C47</f>
        <v>0.59</v>
      </c>
      <c r="E60" s="338">
        <f>MCF!R59</f>
        <v>0.4</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338">
        <f>MCF!R59</f>
        <v>0.4</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80">
        <f>Dry_Matter_Content!C48</f>
        <v>0.59</v>
      </c>
      <c r="E61" s="338">
        <f>MCF!R60</f>
        <v>0.4</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338">
        <f>MCF!R60</f>
        <v>0.4</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80">
        <f>Dry_Matter_Content!C49</f>
        <v>0.59</v>
      </c>
      <c r="E62" s="338">
        <f>MCF!R61</f>
        <v>0.4</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338">
        <f>MCF!R61</f>
        <v>0.4</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80">
        <f>Dry_Matter_Content!C50</f>
        <v>0.59</v>
      </c>
      <c r="E63" s="338">
        <f>MCF!R62</f>
        <v>0.4</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338">
        <f>MCF!R62</f>
        <v>0.4</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80">
        <f>Dry_Matter_Content!C51</f>
        <v>0.59</v>
      </c>
      <c r="E64" s="338">
        <f>MCF!R63</f>
        <v>0.4</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338">
        <f>MCF!R63</f>
        <v>0.4</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80">
        <f>Dry_Matter_Content!C52</f>
        <v>0.59</v>
      </c>
      <c r="E65" s="338">
        <f>MCF!R64</f>
        <v>0.4</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338">
        <f>MCF!R64</f>
        <v>0.4</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80">
        <f>Dry_Matter_Content!C53</f>
        <v>0.59</v>
      </c>
      <c r="E66" s="338">
        <f>MCF!R65</f>
        <v>0.4</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338">
        <f>MCF!R65</f>
        <v>0.4</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80">
        <f>Dry_Matter_Content!C54</f>
        <v>0.59</v>
      </c>
      <c r="E67" s="338">
        <f>MCF!R66</f>
        <v>0.4</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338">
        <f>MCF!R66</f>
        <v>0.4</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80">
        <f>Dry_Matter_Content!C55</f>
        <v>0.59</v>
      </c>
      <c r="E68" s="338">
        <f>MCF!R67</f>
        <v>0.4</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338">
        <f>MCF!R67</f>
        <v>0.4</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80">
        <f>Dry_Matter_Content!C56</f>
        <v>0.59</v>
      </c>
      <c r="E69" s="338">
        <f>MCF!R68</f>
        <v>0.4</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338">
        <f>MCF!R68</f>
        <v>0.4</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80">
        <f>Dry_Matter_Content!C57</f>
        <v>0.59</v>
      </c>
      <c r="E70" s="338">
        <f>MCF!R69</f>
        <v>0.4</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338">
        <f>MCF!R69</f>
        <v>0.4</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80">
        <f>Dry_Matter_Content!C58</f>
        <v>0.59</v>
      </c>
      <c r="E71" s="338">
        <f>MCF!R70</f>
        <v>0.4</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338">
        <f>MCF!R70</f>
        <v>0.4</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80">
        <f>Dry_Matter_Content!C59</f>
        <v>0.59</v>
      </c>
      <c r="E72" s="338">
        <f>MCF!R71</f>
        <v>0.4</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338">
        <f>MCF!R71</f>
        <v>0.4</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80">
        <f>Dry_Matter_Content!C60</f>
        <v>0.59</v>
      </c>
      <c r="E73" s="338">
        <f>MCF!R72</f>
        <v>0.4</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338">
        <f>MCF!R72</f>
        <v>0.4</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80">
        <f>Dry_Matter_Content!C61</f>
        <v>0.59</v>
      </c>
      <c r="E74" s="338">
        <f>MCF!R73</f>
        <v>0.4</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338">
        <f>MCF!R73</f>
        <v>0.4</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80">
        <f>Dry_Matter_Content!C62</f>
        <v>0.59</v>
      </c>
      <c r="E75" s="338">
        <f>MCF!R74</f>
        <v>0.4</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338">
        <f>MCF!R74</f>
        <v>0.4</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80">
        <f>Dry_Matter_Content!C63</f>
        <v>0.59</v>
      </c>
      <c r="E76" s="338">
        <f>MCF!R75</f>
        <v>0.4</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338">
        <f>MCF!R75</f>
        <v>0.4</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80">
        <f>Dry_Matter_Content!C64</f>
        <v>0.59</v>
      </c>
      <c r="E77" s="338">
        <f>MCF!R76</f>
        <v>0.4</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338">
        <f>MCF!R76</f>
        <v>0.4</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80">
        <f>Dry_Matter_Content!C65</f>
        <v>0.59</v>
      </c>
      <c r="E78" s="338">
        <f>MCF!R77</f>
        <v>0.4</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338">
        <f>MCF!R77</f>
        <v>0.4</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80">
        <f>Dry_Matter_Content!C66</f>
        <v>0.59</v>
      </c>
      <c r="E79" s="338">
        <f>MCF!R78</f>
        <v>0.4</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338">
        <f>MCF!R78</f>
        <v>0.4</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80">
        <f>Dry_Matter_Content!C67</f>
        <v>0.59</v>
      </c>
      <c r="E80" s="338">
        <f>MCF!R79</f>
        <v>0.4</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338">
        <f>MCF!R79</f>
        <v>0.4</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80">
        <f>Dry_Matter_Content!C68</f>
        <v>0.59</v>
      </c>
      <c r="E81" s="338">
        <f>MCF!R80</f>
        <v>0.4</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338">
        <f>MCF!R80</f>
        <v>0.4</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80">
        <f>Dry_Matter_Content!C69</f>
        <v>0.59</v>
      </c>
      <c r="E82" s="338">
        <f>MCF!R81</f>
        <v>0.4</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338">
        <f>MCF!R81</f>
        <v>0.4</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80">
        <f>Dry_Matter_Content!C70</f>
        <v>0.59</v>
      </c>
      <c r="E83" s="338">
        <f>MCF!R82</f>
        <v>0.4</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338">
        <f>MCF!R82</f>
        <v>0.4</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80">
        <f>Dry_Matter_Content!C71</f>
        <v>0.59</v>
      </c>
      <c r="E84" s="338">
        <f>MCF!R83</f>
        <v>0.4</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338">
        <f>MCF!R83</f>
        <v>0.4</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80">
        <f>Dry_Matter_Content!C72</f>
        <v>0.59</v>
      </c>
      <c r="E85" s="338">
        <f>MCF!R84</f>
        <v>0.4</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338">
        <f>MCF!R84</f>
        <v>0.4</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80">
        <f>Dry_Matter_Content!C73</f>
        <v>0.59</v>
      </c>
      <c r="E86" s="338">
        <f>MCF!R85</f>
        <v>0.4</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338">
        <f>MCF!R85</f>
        <v>0.4</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80">
        <f>Dry_Matter_Content!C74</f>
        <v>0.59</v>
      </c>
      <c r="E87" s="338">
        <f>MCF!R86</f>
        <v>0.4</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338">
        <f>MCF!R86</f>
        <v>0.4</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80">
        <f>Dry_Matter_Content!C75</f>
        <v>0.59</v>
      </c>
      <c r="E88" s="338">
        <f>MCF!R87</f>
        <v>0.4</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338">
        <f>MCF!R87</f>
        <v>0.4</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80">
        <f>Dry_Matter_Content!C76</f>
        <v>0.59</v>
      </c>
      <c r="E89" s="338">
        <f>MCF!R88</f>
        <v>0.4</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338">
        <f>MCF!R88</f>
        <v>0.4</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80">
        <f>Dry_Matter_Content!C77</f>
        <v>0.59</v>
      </c>
      <c r="E90" s="338">
        <f>MCF!R89</f>
        <v>0.4</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338">
        <f>MCF!R89</f>
        <v>0.4</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80">
        <f>Dry_Matter_Content!C78</f>
        <v>0.59</v>
      </c>
      <c r="E91" s="338">
        <f>MCF!R90</f>
        <v>0.4</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338">
        <f>MCF!R90</f>
        <v>0.4</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80">
        <f>Dry_Matter_Content!C79</f>
        <v>0.59</v>
      </c>
      <c r="E92" s="338">
        <f>MCF!R91</f>
        <v>0.4</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338">
        <f>MCF!R91</f>
        <v>0.4</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80">
        <f>Dry_Matter_Content!C80</f>
        <v>0.59</v>
      </c>
      <c r="E93" s="338">
        <f>MCF!R92</f>
        <v>0.4</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338">
        <f>MCF!R92</f>
        <v>0.4</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80">
        <f>Dry_Matter_Content!C81</f>
        <v>0.59</v>
      </c>
      <c r="E94" s="338">
        <f>MCF!R93</f>
        <v>0.4</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338">
        <f>MCF!R93</f>
        <v>0.4</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80">
        <f>Dry_Matter_Content!C82</f>
        <v>0.59</v>
      </c>
      <c r="E95" s="338">
        <f>MCF!R94</f>
        <v>0.4</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338">
        <f>MCF!R94</f>
        <v>0.4</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80">
        <f>Dry_Matter_Content!C83</f>
        <v>0.59</v>
      </c>
      <c r="E96" s="338">
        <f>MCF!R95</f>
        <v>0.4</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338">
        <f>MCF!R95</f>
        <v>0.4</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80">
        <f>Dry_Matter_Content!C84</f>
        <v>0.59</v>
      </c>
      <c r="E97" s="338">
        <f>MCF!R96</f>
        <v>0.4</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338">
        <f>MCF!R96</f>
        <v>0.4</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80">
        <f>Dry_Matter_Content!C85</f>
        <v>0.59</v>
      </c>
      <c r="E98" s="338">
        <f>MCF!R97</f>
        <v>0.4</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338">
        <f>MCF!R97</f>
        <v>0.4</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81">
        <f>Dry_Matter_Content!C86</f>
        <v>0.59</v>
      </c>
      <c r="E99" s="339">
        <f>MCF!R98</f>
        <v>0.4</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339">
        <f>MCF!R98</f>
        <v>0.4</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314</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Parameters!O16</f>
        <v>0.44</v>
      </c>
      <c r="O6" s="235"/>
      <c r="P6" s="236"/>
      <c r="Q6" s="227"/>
      <c r="R6" s="108" t="s">
        <v>9</v>
      </c>
      <c r="S6" s="109"/>
      <c r="T6" s="109"/>
      <c r="U6" s="113"/>
      <c r="V6" s="120" t="s">
        <v>9</v>
      </c>
      <c r="W6" s="269">
        <f>Parameters!R16</f>
        <v>0.4</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Parameters!O35</f>
        <v>7.0000000000000007E-2</v>
      </c>
      <c r="O8" s="47"/>
      <c r="P8" s="47"/>
      <c r="Q8" s="227"/>
      <c r="R8" s="108" t="s">
        <v>192</v>
      </c>
      <c r="S8" s="109"/>
      <c r="T8" s="109"/>
      <c r="U8" s="113"/>
      <c r="V8" s="120" t="s">
        <v>188</v>
      </c>
      <c r="W8" s="114">
        <f>Parameters!O35</f>
        <v>7.0000000000000007E-2</v>
      </c>
    </row>
    <row r="9" spans="1:23" ht="15.75">
      <c r="F9" s="255" t="s">
        <v>190</v>
      </c>
      <c r="G9" s="256"/>
      <c r="H9" s="256"/>
      <c r="I9" s="257"/>
      <c r="J9" s="258" t="s">
        <v>189</v>
      </c>
      <c r="K9" s="264">
        <f>LN(2)/$K$8</f>
        <v>9.9021025794277886</v>
      </c>
      <c r="O9" s="47"/>
      <c r="P9" s="47"/>
      <c r="Q9" s="227"/>
      <c r="R9" s="255" t="s">
        <v>190</v>
      </c>
      <c r="S9" s="256"/>
      <c r="T9" s="256"/>
      <c r="U9" s="257"/>
      <c r="V9" s="258" t="s">
        <v>189</v>
      </c>
      <c r="W9" s="264">
        <f>LN(2)/$W$8</f>
        <v>9.9021025794277886</v>
      </c>
    </row>
    <row r="10" spans="1:23">
      <c r="F10" s="110" t="s">
        <v>84</v>
      </c>
      <c r="G10" s="111"/>
      <c r="H10" s="111"/>
      <c r="I10" s="112"/>
      <c r="J10" s="121" t="s">
        <v>148</v>
      </c>
      <c r="K10" s="49">
        <f>EXP(-$K$8)</f>
        <v>0.93239381990594827</v>
      </c>
      <c r="O10" s="47"/>
      <c r="P10" s="47"/>
      <c r="Q10" s="227"/>
      <c r="R10" s="110" t="s">
        <v>84</v>
      </c>
      <c r="S10" s="111"/>
      <c r="T10" s="111"/>
      <c r="U10" s="112"/>
      <c r="V10" s="121" t="s">
        <v>148</v>
      </c>
      <c r="W10" s="49">
        <f>EXP(-$W$8)</f>
        <v>0.93239381990594827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78">
        <f>Dry_Matter_Content!D6</f>
        <v>0.44</v>
      </c>
      <c r="E19" s="337">
        <f>MCF!R18</f>
        <v>0.4</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337">
        <f>MCF!R18</f>
        <v>0.4</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80">
        <f>Dry_Matter_Content!D7</f>
        <v>0.44</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Amnt_Deposited!D15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80">
        <f>Dry_Matter_Content!D8</f>
        <v>0.44</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80">
        <f>Dry_Matter_Content!D9</f>
        <v>0.44</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Amnt_Deposited!D17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80">
        <f>Dry_Matter_Content!D10</f>
        <v>0.44</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Amnt_Deposited!D18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80">
        <f>Dry_Matter_Content!D11</f>
        <v>0.44</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Amnt_Deposited!D19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80">
        <f>Dry_Matter_Content!D12</f>
        <v>0.44</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Amnt_Deposited!D20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80">
        <f>Dry_Matter_Content!D13</f>
        <v>0.44</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Amnt_Deposited!D21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80">
        <f>Dry_Matter_Content!D14</f>
        <v>0.44</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Amnt_Deposited!D22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80">
        <f>Dry_Matter_Content!D15</f>
        <v>0.44</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Amnt_Deposited!D23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80">
        <f>Dry_Matter_Content!D16</f>
        <v>0.44</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Amnt_Deposited!D24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80">
        <f>Dry_Matter_Content!D17</f>
        <v>0.44</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Amnt_Deposited!D25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80">
        <f>Dry_Matter_Content!D18</f>
        <v>0.44</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Amnt_Deposited!D26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80">
        <f>Dry_Matter_Content!D19</f>
        <v>0.44</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Amnt_Deposited!D27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80">
        <f>Dry_Matter_Content!D20</f>
        <v>0.44</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Amnt_Deposited!D28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80">
        <f>Dry_Matter_Content!D21</f>
        <v>0.44</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Amnt_Deposited!D29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80">
        <f>Dry_Matter_Content!D22</f>
        <v>0.44</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Amnt_Deposited!D30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80">
        <f>Dry_Matter_Content!D23</f>
        <v>0.44</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Amnt_Deposited!D31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80">
        <f>Dry_Matter_Content!D24</f>
        <v>0.44</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Amnt_Deposited!D32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80">
        <f>Dry_Matter_Content!D25</f>
        <v>0.44</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Amnt_Deposited!D33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80">
        <f>Dry_Matter_Content!D26</f>
        <v>0.44</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Amnt_Deposited!D34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80">
        <f>Dry_Matter_Content!D27</f>
        <v>0.44</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Amnt_Deposited!D35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80">
        <f>Dry_Matter_Content!D28</f>
        <v>0.44</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Amnt_Deposited!D36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80">
        <f>Dry_Matter_Content!D29</f>
        <v>0.44</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Amnt_Deposited!D37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80">
        <f>Dry_Matter_Content!D30</f>
        <v>0.44</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Amnt_Deposited!D38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80">
        <f>Dry_Matter_Content!D31</f>
        <v>0.44</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Amnt_Deposited!D39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80">
        <f>Dry_Matter_Content!D32</f>
        <v>0.44</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Amnt_Deposited!D40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80">
        <f>Dry_Matter_Content!D33</f>
        <v>0.44</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Amnt_Deposited!D41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80">
        <f>Dry_Matter_Content!D34</f>
        <v>0.44</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Amnt_Deposited!D42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80">
        <f>Dry_Matter_Content!D35</f>
        <v>0.44</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Amnt_Deposited!D43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80">
        <f>Dry_Matter_Content!D36</f>
        <v>0.44</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Amnt_Deposited!D44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80">
        <f>Dry_Matter_Content!D37</f>
        <v>0.44</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Amnt_Deposited!D45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80">
        <f>Dry_Matter_Content!D38</f>
        <v>0.44</v>
      </c>
      <c r="E51" s="338">
        <f>MCF!R50</f>
        <v>0.4</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338">
        <f>MCF!R50</f>
        <v>0.4</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80">
        <f>Dry_Matter_Content!D39</f>
        <v>0.44</v>
      </c>
      <c r="E52" s="338">
        <f>MCF!R51</f>
        <v>0.4</v>
      </c>
      <c r="F52" s="67">
        <f t="shared" si="12"/>
        <v>0</v>
      </c>
      <c r="G52" s="67">
        <f t="shared" si="1"/>
        <v>0</v>
      </c>
      <c r="H52" s="67">
        <f t="shared" si="2"/>
        <v>0</v>
      </c>
      <c r="I52" s="67">
        <f t="shared" si="3"/>
        <v>0</v>
      </c>
      <c r="J52" s="67">
        <f t="shared" si="4"/>
        <v>0</v>
      </c>
      <c r="K52" s="100">
        <f t="shared" si="6"/>
        <v>0</v>
      </c>
      <c r="O52" s="96">
        <f>Amnt_Deposited!B47</f>
        <v>2033</v>
      </c>
      <c r="P52" s="99">
        <f>Amnt_Deposited!D47</f>
        <v>0</v>
      </c>
      <c r="Q52" s="338">
        <f>MCF!R51</f>
        <v>0.4</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80">
        <f>Dry_Matter_Content!D40</f>
        <v>0.44</v>
      </c>
      <c r="E53" s="338">
        <f>MCF!R52</f>
        <v>0.4</v>
      </c>
      <c r="F53" s="67">
        <f t="shared" si="12"/>
        <v>0</v>
      </c>
      <c r="G53" s="67">
        <f t="shared" si="1"/>
        <v>0</v>
      </c>
      <c r="H53" s="67">
        <f t="shared" si="2"/>
        <v>0</v>
      </c>
      <c r="I53" s="67">
        <f t="shared" si="3"/>
        <v>0</v>
      </c>
      <c r="J53" s="67">
        <f t="shared" si="4"/>
        <v>0</v>
      </c>
      <c r="K53" s="100">
        <f t="shared" si="6"/>
        <v>0</v>
      </c>
      <c r="O53" s="96">
        <f>Amnt_Deposited!B48</f>
        <v>2034</v>
      </c>
      <c r="P53" s="99">
        <f>Amnt_Deposited!D48</f>
        <v>0</v>
      </c>
      <c r="Q53" s="338">
        <f>MCF!R52</f>
        <v>0.4</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80">
        <f>Dry_Matter_Content!D41</f>
        <v>0.44</v>
      </c>
      <c r="E54" s="338">
        <f>MCF!R53</f>
        <v>0.4</v>
      </c>
      <c r="F54" s="67">
        <f t="shared" si="12"/>
        <v>0</v>
      </c>
      <c r="G54" s="67">
        <f t="shared" si="1"/>
        <v>0</v>
      </c>
      <c r="H54" s="67">
        <f t="shared" si="2"/>
        <v>0</v>
      </c>
      <c r="I54" s="67">
        <f t="shared" si="3"/>
        <v>0</v>
      </c>
      <c r="J54" s="67">
        <f t="shared" si="4"/>
        <v>0</v>
      </c>
      <c r="K54" s="100">
        <f t="shared" si="6"/>
        <v>0</v>
      </c>
      <c r="O54" s="96">
        <f>Amnt_Deposited!B49</f>
        <v>2035</v>
      </c>
      <c r="P54" s="99">
        <f>Amnt_Deposited!D49</f>
        <v>0</v>
      </c>
      <c r="Q54" s="338">
        <f>MCF!R53</f>
        <v>0.4</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80">
        <f>Dry_Matter_Content!D42</f>
        <v>0.44</v>
      </c>
      <c r="E55" s="338">
        <f>MCF!R54</f>
        <v>0.4</v>
      </c>
      <c r="F55" s="67">
        <f t="shared" si="12"/>
        <v>0</v>
      </c>
      <c r="G55" s="67">
        <f t="shared" si="1"/>
        <v>0</v>
      </c>
      <c r="H55" s="67">
        <f t="shared" si="2"/>
        <v>0</v>
      </c>
      <c r="I55" s="67">
        <f t="shared" si="3"/>
        <v>0</v>
      </c>
      <c r="J55" s="67">
        <f t="shared" si="4"/>
        <v>0</v>
      </c>
      <c r="K55" s="100">
        <f t="shared" si="6"/>
        <v>0</v>
      </c>
      <c r="O55" s="96">
        <f>Amnt_Deposited!B50</f>
        <v>2036</v>
      </c>
      <c r="P55" s="99">
        <f>Amnt_Deposited!D50</f>
        <v>0</v>
      </c>
      <c r="Q55" s="338">
        <f>MCF!R54</f>
        <v>0.4</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80">
        <f>Dry_Matter_Content!D43</f>
        <v>0.44</v>
      </c>
      <c r="E56" s="338">
        <f>MCF!R55</f>
        <v>0.4</v>
      </c>
      <c r="F56" s="67">
        <f t="shared" si="12"/>
        <v>0</v>
      </c>
      <c r="G56" s="67">
        <f t="shared" si="1"/>
        <v>0</v>
      </c>
      <c r="H56" s="67">
        <f t="shared" si="2"/>
        <v>0</v>
      </c>
      <c r="I56" s="67">
        <f t="shared" si="3"/>
        <v>0</v>
      </c>
      <c r="J56" s="67">
        <f t="shared" si="4"/>
        <v>0</v>
      </c>
      <c r="K56" s="100">
        <f t="shared" si="6"/>
        <v>0</v>
      </c>
      <c r="O56" s="96">
        <f>Amnt_Deposited!B51</f>
        <v>2037</v>
      </c>
      <c r="P56" s="99">
        <f>Amnt_Deposited!D51</f>
        <v>0</v>
      </c>
      <c r="Q56" s="338">
        <f>MCF!R55</f>
        <v>0.4</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80">
        <f>Dry_Matter_Content!D44</f>
        <v>0.44</v>
      </c>
      <c r="E57" s="338">
        <f>MCF!R56</f>
        <v>0.4</v>
      </c>
      <c r="F57" s="67">
        <f t="shared" si="12"/>
        <v>0</v>
      </c>
      <c r="G57" s="67">
        <f t="shared" si="1"/>
        <v>0</v>
      </c>
      <c r="H57" s="67">
        <f t="shared" si="2"/>
        <v>0</v>
      </c>
      <c r="I57" s="67">
        <f t="shared" si="3"/>
        <v>0</v>
      </c>
      <c r="J57" s="67">
        <f t="shared" si="4"/>
        <v>0</v>
      </c>
      <c r="K57" s="100">
        <f t="shared" si="6"/>
        <v>0</v>
      </c>
      <c r="O57" s="96">
        <f>Amnt_Deposited!B52</f>
        <v>2038</v>
      </c>
      <c r="P57" s="99">
        <f>Amnt_Deposited!D52</f>
        <v>0</v>
      </c>
      <c r="Q57" s="338">
        <f>MCF!R56</f>
        <v>0.4</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80">
        <f>Dry_Matter_Content!D45</f>
        <v>0.44</v>
      </c>
      <c r="E58" s="338">
        <f>MCF!R57</f>
        <v>0.4</v>
      </c>
      <c r="F58" s="67">
        <f t="shared" si="12"/>
        <v>0</v>
      </c>
      <c r="G58" s="67">
        <f t="shared" si="1"/>
        <v>0</v>
      </c>
      <c r="H58" s="67">
        <f t="shared" si="2"/>
        <v>0</v>
      </c>
      <c r="I58" s="67">
        <f t="shared" si="3"/>
        <v>0</v>
      </c>
      <c r="J58" s="67">
        <f t="shared" si="4"/>
        <v>0</v>
      </c>
      <c r="K58" s="100">
        <f t="shared" si="6"/>
        <v>0</v>
      </c>
      <c r="O58" s="96">
        <f>Amnt_Deposited!B53</f>
        <v>2039</v>
      </c>
      <c r="P58" s="99">
        <f>Amnt_Deposited!D53</f>
        <v>0</v>
      </c>
      <c r="Q58" s="338">
        <f>MCF!R57</f>
        <v>0.4</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80">
        <f>Dry_Matter_Content!D46</f>
        <v>0.44</v>
      </c>
      <c r="E59" s="338">
        <f>MCF!R58</f>
        <v>0.4</v>
      </c>
      <c r="F59" s="67">
        <f t="shared" si="12"/>
        <v>0</v>
      </c>
      <c r="G59" s="67">
        <f t="shared" si="1"/>
        <v>0</v>
      </c>
      <c r="H59" s="67">
        <f t="shared" si="2"/>
        <v>0</v>
      </c>
      <c r="I59" s="67">
        <f t="shared" si="3"/>
        <v>0</v>
      </c>
      <c r="J59" s="67">
        <f t="shared" si="4"/>
        <v>0</v>
      </c>
      <c r="K59" s="100">
        <f t="shared" si="6"/>
        <v>0</v>
      </c>
      <c r="O59" s="96">
        <f>Amnt_Deposited!B54</f>
        <v>2040</v>
      </c>
      <c r="P59" s="99">
        <f>Amnt_Deposited!D54</f>
        <v>0</v>
      </c>
      <c r="Q59" s="338">
        <f>MCF!R58</f>
        <v>0.4</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80">
        <f>Dry_Matter_Content!D47</f>
        <v>0.44</v>
      </c>
      <c r="E60" s="338">
        <f>MCF!R59</f>
        <v>0.4</v>
      </c>
      <c r="F60" s="67">
        <f t="shared" si="12"/>
        <v>0</v>
      </c>
      <c r="G60" s="67">
        <f t="shared" si="1"/>
        <v>0</v>
      </c>
      <c r="H60" s="67">
        <f t="shared" si="2"/>
        <v>0</v>
      </c>
      <c r="I60" s="67">
        <f t="shared" si="3"/>
        <v>0</v>
      </c>
      <c r="J60" s="67">
        <f t="shared" si="4"/>
        <v>0</v>
      </c>
      <c r="K60" s="100">
        <f t="shared" si="6"/>
        <v>0</v>
      </c>
      <c r="O60" s="96">
        <f>Amnt_Deposited!B55</f>
        <v>2041</v>
      </c>
      <c r="P60" s="99">
        <f>Amnt_Deposited!D55</f>
        <v>0</v>
      </c>
      <c r="Q60" s="338">
        <f>MCF!R59</f>
        <v>0.4</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80">
        <f>Dry_Matter_Content!D48</f>
        <v>0.44</v>
      </c>
      <c r="E61" s="338">
        <f>MCF!R60</f>
        <v>0.4</v>
      </c>
      <c r="F61" s="67">
        <f t="shared" si="12"/>
        <v>0</v>
      </c>
      <c r="G61" s="67">
        <f t="shared" si="1"/>
        <v>0</v>
      </c>
      <c r="H61" s="67">
        <f t="shared" si="2"/>
        <v>0</v>
      </c>
      <c r="I61" s="67">
        <f t="shared" si="3"/>
        <v>0</v>
      </c>
      <c r="J61" s="67">
        <f t="shared" si="4"/>
        <v>0</v>
      </c>
      <c r="K61" s="100">
        <f t="shared" si="6"/>
        <v>0</v>
      </c>
      <c r="O61" s="96">
        <f>Amnt_Deposited!B56</f>
        <v>2042</v>
      </c>
      <c r="P61" s="99">
        <f>Amnt_Deposited!D56</f>
        <v>0</v>
      </c>
      <c r="Q61" s="338">
        <f>MCF!R60</f>
        <v>0.4</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80">
        <f>Dry_Matter_Content!D49</f>
        <v>0.44</v>
      </c>
      <c r="E62" s="338">
        <f>MCF!R61</f>
        <v>0.4</v>
      </c>
      <c r="F62" s="67">
        <f t="shared" si="12"/>
        <v>0</v>
      </c>
      <c r="G62" s="67">
        <f t="shared" si="1"/>
        <v>0</v>
      </c>
      <c r="H62" s="67">
        <f t="shared" si="2"/>
        <v>0</v>
      </c>
      <c r="I62" s="67">
        <f t="shared" si="3"/>
        <v>0</v>
      </c>
      <c r="J62" s="67">
        <f t="shared" si="4"/>
        <v>0</v>
      </c>
      <c r="K62" s="100">
        <f t="shared" si="6"/>
        <v>0</v>
      </c>
      <c r="O62" s="96">
        <f>Amnt_Deposited!B57</f>
        <v>2043</v>
      </c>
      <c r="P62" s="99">
        <f>Amnt_Deposited!D57</f>
        <v>0</v>
      </c>
      <c r="Q62" s="338">
        <f>MCF!R61</f>
        <v>0.4</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80">
        <f>Dry_Matter_Content!D50</f>
        <v>0.44</v>
      </c>
      <c r="E63" s="338">
        <f>MCF!R62</f>
        <v>0.4</v>
      </c>
      <c r="F63" s="67">
        <f t="shared" si="12"/>
        <v>0</v>
      </c>
      <c r="G63" s="67">
        <f t="shared" si="1"/>
        <v>0</v>
      </c>
      <c r="H63" s="67">
        <f t="shared" si="2"/>
        <v>0</v>
      </c>
      <c r="I63" s="67">
        <f t="shared" si="3"/>
        <v>0</v>
      </c>
      <c r="J63" s="67">
        <f t="shared" si="4"/>
        <v>0</v>
      </c>
      <c r="K63" s="100">
        <f t="shared" si="6"/>
        <v>0</v>
      </c>
      <c r="O63" s="96">
        <f>Amnt_Deposited!B58</f>
        <v>2044</v>
      </c>
      <c r="P63" s="99">
        <f>Amnt_Deposited!D58</f>
        <v>0</v>
      </c>
      <c r="Q63" s="338">
        <f>MCF!R62</f>
        <v>0.4</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80">
        <f>Dry_Matter_Content!D51</f>
        <v>0.44</v>
      </c>
      <c r="E64" s="338">
        <f>MCF!R63</f>
        <v>0.4</v>
      </c>
      <c r="F64" s="67">
        <f t="shared" si="12"/>
        <v>0</v>
      </c>
      <c r="G64" s="67">
        <f t="shared" si="1"/>
        <v>0</v>
      </c>
      <c r="H64" s="67">
        <f t="shared" si="2"/>
        <v>0</v>
      </c>
      <c r="I64" s="67">
        <f t="shared" si="3"/>
        <v>0</v>
      </c>
      <c r="J64" s="67">
        <f t="shared" si="4"/>
        <v>0</v>
      </c>
      <c r="K64" s="100">
        <f t="shared" si="6"/>
        <v>0</v>
      </c>
      <c r="O64" s="96">
        <f>Amnt_Deposited!B59</f>
        <v>2045</v>
      </c>
      <c r="P64" s="99">
        <f>Amnt_Deposited!D59</f>
        <v>0</v>
      </c>
      <c r="Q64" s="338">
        <f>MCF!R63</f>
        <v>0.4</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80">
        <f>Dry_Matter_Content!D52</f>
        <v>0.44</v>
      </c>
      <c r="E65" s="338">
        <f>MCF!R64</f>
        <v>0.4</v>
      </c>
      <c r="F65" s="67">
        <f t="shared" si="12"/>
        <v>0</v>
      </c>
      <c r="G65" s="67">
        <f t="shared" si="1"/>
        <v>0</v>
      </c>
      <c r="H65" s="67">
        <f t="shared" si="2"/>
        <v>0</v>
      </c>
      <c r="I65" s="67">
        <f t="shared" si="3"/>
        <v>0</v>
      </c>
      <c r="J65" s="67">
        <f t="shared" si="4"/>
        <v>0</v>
      </c>
      <c r="K65" s="100">
        <f t="shared" si="6"/>
        <v>0</v>
      </c>
      <c r="O65" s="96">
        <f>Amnt_Deposited!B60</f>
        <v>2046</v>
      </c>
      <c r="P65" s="99">
        <f>Amnt_Deposited!D60</f>
        <v>0</v>
      </c>
      <c r="Q65" s="338">
        <f>MCF!R64</f>
        <v>0.4</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80">
        <f>Dry_Matter_Content!D53</f>
        <v>0.44</v>
      </c>
      <c r="E66" s="338">
        <f>MCF!R65</f>
        <v>0.4</v>
      </c>
      <c r="F66" s="67">
        <f t="shared" si="12"/>
        <v>0</v>
      </c>
      <c r="G66" s="67">
        <f t="shared" si="1"/>
        <v>0</v>
      </c>
      <c r="H66" s="67">
        <f t="shared" si="2"/>
        <v>0</v>
      </c>
      <c r="I66" s="67">
        <f t="shared" si="3"/>
        <v>0</v>
      </c>
      <c r="J66" s="67">
        <f t="shared" si="4"/>
        <v>0</v>
      </c>
      <c r="K66" s="100">
        <f t="shared" si="6"/>
        <v>0</v>
      </c>
      <c r="O66" s="96">
        <f>Amnt_Deposited!B61</f>
        <v>2047</v>
      </c>
      <c r="P66" s="99">
        <f>Amnt_Deposited!D61</f>
        <v>0</v>
      </c>
      <c r="Q66" s="338">
        <f>MCF!R65</f>
        <v>0.4</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80">
        <f>Dry_Matter_Content!D54</f>
        <v>0.44</v>
      </c>
      <c r="E67" s="338">
        <f>MCF!R66</f>
        <v>0.4</v>
      </c>
      <c r="F67" s="67">
        <f t="shared" si="12"/>
        <v>0</v>
      </c>
      <c r="G67" s="67">
        <f t="shared" si="1"/>
        <v>0</v>
      </c>
      <c r="H67" s="67">
        <f t="shared" si="2"/>
        <v>0</v>
      </c>
      <c r="I67" s="67">
        <f t="shared" si="3"/>
        <v>0</v>
      </c>
      <c r="J67" s="67">
        <f t="shared" si="4"/>
        <v>0</v>
      </c>
      <c r="K67" s="100">
        <f t="shared" si="6"/>
        <v>0</v>
      </c>
      <c r="O67" s="96">
        <f>Amnt_Deposited!B62</f>
        <v>2048</v>
      </c>
      <c r="P67" s="99">
        <f>Amnt_Deposited!D62</f>
        <v>0</v>
      </c>
      <c r="Q67" s="338">
        <f>MCF!R66</f>
        <v>0.4</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80">
        <f>Dry_Matter_Content!D55</f>
        <v>0.44</v>
      </c>
      <c r="E68" s="338">
        <f>MCF!R67</f>
        <v>0.4</v>
      </c>
      <c r="F68" s="67">
        <f t="shared" si="12"/>
        <v>0</v>
      </c>
      <c r="G68" s="67">
        <f t="shared" si="1"/>
        <v>0</v>
      </c>
      <c r="H68" s="67">
        <f t="shared" si="2"/>
        <v>0</v>
      </c>
      <c r="I68" s="67">
        <f t="shared" si="3"/>
        <v>0</v>
      </c>
      <c r="J68" s="67">
        <f t="shared" si="4"/>
        <v>0</v>
      </c>
      <c r="K68" s="100">
        <f t="shared" si="6"/>
        <v>0</v>
      </c>
      <c r="O68" s="96">
        <f>Amnt_Deposited!B63</f>
        <v>2049</v>
      </c>
      <c r="P68" s="99">
        <f>Amnt_Deposited!D63</f>
        <v>0</v>
      </c>
      <c r="Q68" s="338">
        <f>MCF!R67</f>
        <v>0.4</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80">
        <f>Dry_Matter_Content!D56</f>
        <v>0.44</v>
      </c>
      <c r="E69" s="338">
        <f>MCF!R68</f>
        <v>0.4</v>
      </c>
      <c r="F69" s="67">
        <f t="shared" si="12"/>
        <v>0</v>
      </c>
      <c r="G69" s="67">
        <f t="shared" si="1"/>
        <v>0</v>
      </c>
      <c r="H69" s="67">
        <f t="shared" si="2"/>
        <v>0</v>
      </c>
      <c r="I69" s="67">
        <f t="shared" si="3"/>
        <v>0</v>
      </c>
      <c r="J69" s="67">
        <f t="shared" si="4"/>
        <v>0</v>
      </c>
      <c r="K69" s="100">
        <f t="shared" si="6"/>
        <v>0</v>
      </c>
      <c r="O69" s="96">
        <f>Amnt_Deposited!B64</f>
        <v>2050</v>
      </c>
      <c r="P69" s="99">
        <f>Amnt_Deposited!D64</f>
        <v>0</v>
      </c>
      <c r="Q69" s="338">
        <f>MCF!R68</f>
        <v>0.4</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80">
        <f>Dry_Matter_Content!D57</f>
        <v>0.44</v>
      </c>
      <c r="E70" s="338">
        <f>MCF!R69</f>
        <v>0.4</v>
      </c>
      <c r="F70" s="67">
        <f t="shared" si="12"/>
        <v>0</v>
      </c>
      <c r="G70" s="67">
        <f t="shared" si="1"/>
        <v>0</v>
      </c>
      <c r="H70" s="67">
        <f t="shared" si="2"/>
        <v>0</v>
      </c>
      <c r="I70" s="67">
        <f t="shared" si="3"/>
        <v>0</v>
      </c>
      <c r="J70" s="67">
        <f t="shared" si="4"/>
        <v>0</v>
      </c>
      <c r="K70" s="100">
        <f t="shared" si="6"/>
        <v>0</v>
      </c>
      <c r="O70" s="96">
        <f>Amnt_Deposited!B65</f>
        <v>2051</v>
      </c>
      <c r="P70" s="99">
        <f>Amnt_Deposited!D65</f>
        <v>0</v>
      </c>
      <c r="Q70" s="338">
        <f>MCF!R69</f>
        <v>0.4</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80">
        <f>Dry_Matter_Content!D58</f>
        <v>0.44</v>
      </c>
      <c r="E71" s="338">
        <f>MCF!R70</f>
        <v>0.4</v>
      </c>
      <c r="F71" s="67">
        <f t="shared" si="12"/>
        <v>0</v>
      </c>
      <c r="G71" s="67">
        <f t="shared" si="1"/>
        <v>0</v>
      </c>
      <c r="H71" s="67">
        <f t="shared" si="2"/>
        <v>0</v>
      </c>
      <c r="I71" s="67">
        <f t="shared" si="3"/>
        <v>0</v>
      </c>
      <c r="J71" s="67">
        <f t="shared" si="4"/>
        <v>0</v>
      </c>
      <c r="K71" s="100">
        <f t="shared" si="6"/>
        <v>0</v>
      </c>
      <c r="O71" s="96">
        <f>Amnt_Deposited!B66</f>
        <v>2052</v>
      </c>
      <c r="P71" s="99">
        <f>Amnt_Deposited!D66</f>
        <v>0</v>
      </c>
      <c r="Q71" s="338">
        <f>MCF!R70</f>
        <v>0.4</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80">
        <f>Dry_Matter_Content!D59</f>
        <v>0.44</v>
      </c>
      <c r="E72" s="338">
        <f>MCF!R71</f>
        <v>0.4</v>
      </c>
      <c r="F72" s="67">
        <f t="shared" si="12"/>
        <v>0</v>
      </c>
      <c r="G72" s="67">
        <f t="shared" si="1"/>
        <v>0</v>
      </c>
      <c r="H72" s="67">
        <f t="shared" si="2"/>
        <v>0</v>
      </c>
      <c r="I72" s="67">
        <f t="shared" si="3"/>
        <v>0</v>
      </c>
      <c r="J72" s="67">
        <f t="shared" si="4"/>
        <v>0</v>
      </c>
      <c r="K72" s="100">
        <f t="shared" si="6"/>
        <v>0</v>
      </c>
      <c r="O72" s="96">
        <f>Amnt_Deposited!B67</f>
        <v>2053</v>
      </c>
      <c r="P72" s="99">
        <f>Amnt_Deposited!D67</f>
        <v>0</v>
      </c>
      <c r="Q72" s="338">
        <f>MCF!R71</f>
        <v>0.4</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80">
        <f>Dry_Matter_Content!D60</f>
        <v>0.44</v>
      </c>
      <c r="E73" s="338">
        <f>MCF!R72</f>
        <v>0.4</v>
      </c>
      <c r="F73" s="67">
        <f t="shared" si="12"/>
        <v>0</v>
      </c>
      <c r="G73" s="67">
        <f t="shared" si="1"/>
        <v>0</v>
      </c>
      <c r="H73" s="67">
        <f t="shared" si="2"/>
        <v>0</v>
      </c>
      <c r="I73" s="67">
        <f t="shared" si="3"/>
        <v>0</v>
      </c>
      <c r="J73" s="67">
        <f t="shared" si="4"/>
        <v>0</v>
      </c>
      <c r="K73" s="100">
        <f t="shared" si="6"/>
        <v>0</v>
      </c>
      <c r="O73" s="96">
        <f>Amnt_Deposited!B68</f>
        <v>2054</v>
      </c>
      <c r="P73" s="99">
        <f>Amnt_Deposited!D68</f>
        <v>0</v>
      </c>
      <c r="Q73" s="338">
        <f>MCF!R72</f>
        <v>0.4</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80">
        <f>Dry_Matter_Content!D61</f>
        <v>0.44</v>
      </c>
      <c r="E74" s="338">
        <f>MCF!R73</f>
        <v>0.4</v>
      </c>
      <c r="F74" s="67">
        <f t="shared" si="12"/>
        <v>0</v>
      </c>
      <c r="G74" s="67">
        <f t="shared" si="1"/>
        <v>0</v>
      </c>
      <c r="H74" s="67">
        <f t="shared" si="2"/>
        <v>0</v>
      </c>
      <c r="I74" s="67">
        <f t="shared" si="3"/>
        <v>0</v>
      </c>
      <c r="J74" s="67">
        <f t="shared" si="4"/>
        <v>0</v>
      </c>
      <c r="K74" s="100">
        <f t="shared" si="6"/>
        <v>0</v>
      </c>
      <c r="O74" s="96">
        <f>Amnt_Deposited!B69</f>
        <v>2055</v>
      </c>
      <c r="P74" s="99">
        <f>Amnt_Deposited!D69</f>
        <v>0</v>
      </c>
      <c r="Q74" s="338">
        <f>MCF!R73</f>
        <v>0.4</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80">
        <f>Dry_Matter_Content!D62</f>
        <v>0.44</v>
      </c>
      <c r="E75" s="338">
        <f>MCF!R74</f>
        <v>0.4</v>
      </c>
      <c r="F75" s="67">
        <f t="shared" si="12"/>
        <v>0</v>
      </c>
      <c r="G75" s="67">
        <f t="shared" si="1"/>
        <v>0</v>
      </c>
      <c r="H75" s="67">
        <f t="shared" si="2"/>
        <v>0</v>
      </c>
      <c r="I75" s="67">
        <f t="shared" si="3"/>
        <v>0</v>
      </c>
      <c r="J75" s="67">
        <f t="shared" si="4"/>
        <v>0</v>
      </c>
      <c r="K75" s="100">
        <f t="shared" si="6"/>
        <v>0</v>
      </c>
      <c r="O75" s="96">
        <f>Amnt_Deposited!B70</f>
        <v>2056</v>
      </c>
      <c r="P75" s="99">
        <f>Amnt_Deposited!D70</f>
        <v>0</v>
      </c>
      <c r="Q75" s="338">
        <f>MCF!R74</f>
        <v>0.4</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80">
        <f>Dry_Matter_Content!D63</f>
        <v>0.44</v>
      </c>
      <c r="E76" s="338">
        <f>MCF!R75</f>
        <v>0.4</v>
      </c>
      <c r="F76" s="67">
        <f t="shared" si="12"/>
        <v>0</v>
      </c>
      <c r="G76" s="67">
        <f t="shared" si="1"/>
        <v>0</v>
      </c>
      <c r="H76" s="67">
        <f t="shared" si="2"/>
        <v>0</v>
      </c>
      <c r="I76" s="67">
        <f t="shared" si="3"/>
        <v>0</v>
      </c>
      <c r="J76" s="67">
        <f t="shared" si="4"/>
        <v>0</v>
      </c>
      <c r="K76" s="100">
        <f t="shared" si="6"/>
        <v>0</v>
      </c>
      <c r="O76" s="96">
        <f>Amnt_Deposited!B71</f>
        <v>2057</v>
      </c>
      <c r="P76" s="99">
        <f>Amnt_Deposited!D71</f>
        <v>0</v>
      </c>
      <c r="Q76" s="338">
        <f>MCF!R75</f>
        <v>0.4</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80">
        <f>Dry_Matter_Content!D64</f>
        <v>0.44</v>
      </c>
      <c r="E77" s="338">
        <f>MCF!R76</f>
        <v>0.4</v>
      </c>
      <c r="F77" s="67">
        <f t="shared" si="12"/>
        <v>0</v>
      </c>
      <c r="G77" s="67">
        <f t="shared" si="1"/>
        <v>0</v>
      </c>
      <c r="H77" s="67">
        <f t="shared" si="2"/>
        <v>0</v>
      </c>
      <c r="I77" s="67">
        <f t="shared" si="3"/>
        <v>0</v>
      </c>
      <c r="J77" s="67">
        <f t="shared" si="4"/>
        <v>0</v>
      </c>
      <c r="K77" s="100">
        <f t="shared" si="6"/>
        <v>0</v>
      </c>
      <c r="O77" s="96">
        <f>Amnt_Deposited!B72</f>
        <v>2058</v>
      </c>
      <c r="P77" s="99">
        <f>Amnt_Deposited!D72</f>
        <v>0</v>
      </c>
      <c r="Q77" s="338">
        <f>MCF!R76</f>
        <v>0.4</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80">
        <f>Dry_Matter_Content!D65</f>
        <v>0.44</v>
      </c>
      <c r="E78" s="338">
        <f>MCF!R77</f>
        <v>0.4</v>
      </c>
      <c r="F78" s="67">
        <f t="shared" si="12"/>
        <v>0</v>
      </c>
      <c r="G78" s="67">
        <f t="shared" si="1"/>
        <v>0</v>
      </c>
      <c r="H78" s="67">
        <f t="shared" si="2"/>
        <v>0</v>
      </c>
      <c r="I78" s="67">
        <f t="shared" si="3"/>
        <v>0</v>
      </c>
      <c r="J78" s="67">
        <f t="shared" si="4"/>
        <v>0</v>
      </c>
      <c r="K78" s="100">
        <f t="shared" si="6"/>
        <v>0</v>
      </c>
      <c r="O78" s="96">
        <f>Amnt_Deposited!B73</f>
        <v>2059</v>
      </c>
      <c r="P78" s="99">
        <f>Amnt_Deposited!D73</f>
        <v>0</v>
      </c>
      <c r="Q78" s="338">
        <f>MCF!R77</f>
        <v>0.4</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80">
        <f>Dry_Matter_Content!D66</f>
        <v>0.44</v>
      </c>
      <c r="E79" s="338">
        <f>MCF!R78</f>
        <v>0.4</v>
      </c>
      <c r="F79" s="67">
        <f t="shared" si="12"/>
        <v>0</v>
      </c>
      <c r="G79" s="67">
        <f t="shared" si="1"/>
        <v>0</v>
      </c>
      <c r="H79" s="67">
        <f t="shared" si="2"/>
        <v>0</v>
      </c>
      <c r="I79" s="67">
        <f t="shared" si="3"/>
        <v>0</v>
      </c>
      <c r="J79" s="67">
        <f t="shared" si="4"/>
        <v>0</v>
      </c>
      <c r="K79" s="100">
        <f t="shared" si="6"/>
        <v>0</v>
      </c>
      <c r="O79" s="96">
        <f>Amnt_Deposited!B74</f>
        <v>2060</v>
      </c>
      <c r="P79" s="99">
        <f>Amnt_Deposited!D74</f>
        <v>0</v>
      </c>
      <c r="Q79" s="338">
        <f>MCF!R78</f>
        <v>0.4</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80">
        <f>Dry_Matter_Content!D67</f>
        <v>0.44</v>
      </c>
      <c r="E80" s="338">
        <f>MCF!R79</f>
        <v>0.4</v>
      </c>
      <c r="F80" s="67">
        <f t="shared" si="12"/>
        <v>0</v>
      </c>
      <c r="G80" s="67">
        <f t="shared" si="1"/>
        <v>0</v>
      </c>
      <c r="H80" s="67">
        <f t="shared" si="2"/>
        <v>0</v>
      </c>
      <c r="I80" s="67">
        <f t="shared" si="3"/>
        <v>0</v>
      </c>
      <c r="J80" s="67">
        <f t="shared" si="4"/>
        <v>0</v>
      </c>
      <c r="K80" s="100">
        <f t="shared" si="6"/>
        <v>0</v>
      </c>
      <c r="O80" s="96">
        <f>Amnt_Deposited!B75</f>
        <v>2061</v>
      </c>
      <c r="P80" s="99">
        <f>Amnt_Deposited!D75</f>
        <v>0</v>
      </c>
      <c r="Q80" s="338">
        <f>MCF!R79</f>
        <v>0.4</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80">
        <f>Dry_Matter_Content!D68</f>
        <v>0.44</v>
      </c>
      <c r="E81" s="338">
        <f>MCF!R80</f>
        <v>0.4</v>
      </c>
      <c r="F81" s="67">
        <f t="shared" si="12"/>
        <v>0</v>
      </c>
      <c r="G81" s="67">
        <f t="shared" si="1"/>
        <v>0</v>
      </c>
      <c r="H81" s="67">
        <f t="shared" si="2"/>
        <v>0</v>
      </c>
      <c r="I81" s="67">
        <f t="shared" si="3"/>
        <v>0</v>
      </c>
      <c r="J81" s="67">
        <f t="shared" si="4"/>
        <v>0</v>
      </c>
      <c r="K81" s="100">
        <f t="shared" si="6"/>
        <v>0</v>
      </c>
      <c r="O81" s="96">
        <f>Amnt_Deposited!B76</f>
        <v>2062</v>
      </c>
      <c r="P81" s="99">
        <f>Amnt_Deposited!D76</f>
        <v>0</v>
      </c>
      <c r="Q81" s="338">
        <f>MCF!R80</f>
        <v>0.4</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80">
        <f>Dry_Matter_Content!D69</f>
        <v>0.44</v>
      </c>
      <c r="E82" s="338">
        <f>MCF!R81</f>
        <v>0.4</v>
      </c>
      <c r="F82" s="67">
        <f t="shared" si="12"/>
        <v>0</v>
      </c>
      <c r="G82" s="67">
        <f t="shared" si="1"/>
        <v>0</v>
      </c>
      <c r="H82" s="67">
        <f t="shared" si="2"/>
        <v>0</v>
      </c>
      <c r="I82" s="67">
        <f t="shared" si="3"/>
        <v>0</v>
      </c>
      <c r="J82" s="67">
        <f t="shared" si="4"/>
        <v>0</v>
      </c>
      <c r="K82" s="100">
        <f t="shared" si="6"/>
        <v>0</v>
      </c>
      <c r="O82" s="96">
        <f>Amnt_Deposited!B77</f>
        <v>2063</v>
      </c>
      <c r="P82" s="99">
        <f>Amnt_Deposited!D77</f>
        <v>0</v>
      </c>
      <c r="Q82" s="338">
        <f>MCF!R81</f>
        <v>0.4</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80">
        <f>Dry_Matter_Content!D70</f>
        <v>0.44</v>
      </c>
      <c r="E83" s="338">
        <f>MCF!R82</f>
        <v>0.4</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338">
        <f>MCF!R82</f>
        <v>0.4</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80">
        <f>Dry_Matter_Content!D71</f>
        <v>0.44</v>
      </c>
      <c r="E84" s="338">
        <f>MCF!R83</f>
        <v>0.4</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338">
        <f>MCF!R83</f>
        <v>0.4</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80">
        <f>Dry_Matter_Content!D72</f>
        <v>0.44</v>
      </c>
      <c r="E85" s="338">
        <f>MCF!R84</f>
        <v>0.4</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338">
        <f>MCF!R84</f>
        <v>0.4</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80">
        <f>Dry_Matter_Content!D73</f>
        <v>0.44</v>
      </c>
      <c r="E86" s="338">
        <f>MCF!R85</f>
        <v>0.4</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338">
        <f>MCF!R85</f>
        <v>0.4</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80">
        <f>Dry_Matter_Content!D74</f>
        <v>0.44</v>
      </c>
      <c r="E87" s="338">
        <f>MCF!R86</f>
        <v>0.4</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338">
        <f>MCF!R86</f>
        <v>0.4</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80">
        <f>Dry_Matter_Content!D75</f>
        <v>0.44</v>
      </c>
      <c r="E88" s="338">
        <f>MCF!R87</f>
        <v>0.4</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338">
        <f>MCF!R87</f>
        <v>0.4</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80">
        <f>Dry_Matter_Content!D76</f>
        <v>0.44</v>
      </c>
      <c r="E89" s="338">
        <f>MCF!R88</f>
        <v>0.4</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338">
        <f>MCF!R88</f>
        <v>0.4</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80">
        <f>Dry_Matter_Content!D77</f>
        <v>0.44</v>
      </c>
      <c r="E90" s="338">
        <f>MCF!R89</f>
        <v>0.4</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338">
        <f>MCF!R89</f>
        <v>0.4</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80">
        <f>Dry_Matter_Content!D78</f>
        <v>0.44</v>
      </c>
      <c r="E91" s="338">
        <f>MCF!R90</f>
        <v>0.4</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338">
        <f>MCF!R90</f>
        <v>0.4</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80">
        <f>Dry_Matter_Content!D79</f>
        <v>0.44</v>
      </c>
      <c r="E92" s="338">
        <f>MCF!R91</f>
        <v>0.4</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338">
        <f>MCF!R91</f>
        <v>0.4</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80">
        <f>Dry_Matter_Content!D80</f>
        <v>0.44</v>
      </c>
      <c r="E93" s="338">
        <f>MCF!R92</f>
        <v>0.4</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338">
        <f>MCF!R92</f>
        <v>0.4</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80">
        <f>Dry_Matter_Content!D81</f>
        <v>0.44</v>
      </c>
      <c r="E94" s="338">
        <f>MCF!R93</f>
        <v>0.4</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338">
        <f>MCF!R93</f>
        <v>0.4</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80">
        <f>Dry_Matter_Content!D82</f>
        <v>0.44</v>
      </c>
      <c r="E95" s="338">
        <f>MCF!R94</f>
        <v>0.4</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338">
        <f>MCF!R94</f>
        <v>0.4</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80">
        <f>Dry_Matter_Content!D83</f>
        <v>0.44</v>
      </c>
      <c r="E96" s="338">
        <f>MCF!R95</f>
        <v>0.4</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338">
        <f>MCF!R95</f>
        <v>0.4</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80">
        <f>Dry_Matter_Content!D84</f>
        <v>0.44</v>
      </c>
      <c r="E97" s="338">
        <f>MCF!R96</f>
        <v>0.4</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338">
        <f>MCF!R96</f>
        <v>0.4</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80">
        <f>Dry_Matter_Content!D85</f>
        <v>0.44</v>
      </c>
      <c r="E98" s="338">
        <f>MCF!R97</f>
        <v>0.4</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338">
        <f>MCF!R97</f>
        <v>0.4</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81">
        <f>Dry_Matter_Content!D86</f>
        <v>0.44</v>
      </c>
      <c r="E99" s="339">
        <f>MCF!R98</f>
        <v>0.4</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339">
        <f>MCF!R98</f>
        <v>0.4</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313</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Parameters!O21</f>
        <v>0.6</v>
      </c>
      <c r="O6" s="235"/>
      <c r="P6" s="236"/>
      <c r="Q6" s="227"/>
      <c r="R6" s="108" t="s">
        <v>9</v>
      </c>
      <c r="S6" s="109"/>
      <c r="T6" s="109"/>
      <c r="U6" s="113"/>
      <c r="V6" s="120" t="s">
        <v>9</v>
      </c>
      <c r="W6" s="269">
        <f>Parameters!R21</f>
        <v>0.24</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Parameters!O40</f>
        <v>0.17</v>
      </c>
      <c r="O8" s="47"/>
      <c r="P8" s="47"/>
      <c r="Q8" s="227"/>
      <c r="R8" s="108" t="s">
        <v>192</v>
      </c>
      <c r="S8" s="109"/>
      <c r="T8" s="109"/>
      <c r="U8" s="113"/>
      <c r="V8" s="120" t="s">
        <v>188</v>
      </c>
      <c r="W8" s="114">
        <f>Parameters!O40</f>
        <v>0.17</v>
      </c>
    </row>
    <row r="9" spans="1:23" ht="15.75">
      <c r="F9" s="255" t="s">
        <v>190</v>
      </c>
      <c r="G9" s="256"/>
      <c r="H9" s="256"/>
      <c r="I9" s="257"/>
      <c r="J9" s="258" t="s">
        <v>189</v>
      </c>
      <c r="K9" s="264">
        <f>LN(2)/$K$8</f>
        <v>4.077336356234972</v>
      </c>
      <c r="O9" s="47"/>
      <c r="P9" s="47"/>
      <c r="Q9" s="227"/>
      <c r="R9" s="255" t="s">
        <v>190</v>
      </c>
      <c r="S9" s="256"/>
      <c r="T9" s="256"/>
      <c r="U9" s="257"/>
      <c r="V9" s="258" t="s">
        <v>189</v>
      </c>
      <c r="W9" s="264">
        <f>LN(2)/$W$8</f>
        <v>4.077336356234972</v>
      </c>
    </row>
    <row r="10" spans="1:23">
      <c r="F10" s="110" t="s">
        <v>84</v>
      </c>
      <c r="G10" s="111"/>
      <c r="H10" s="111"/>
      <c r="I10" s="112"/>
      <c r="J10" s="121" t="s">
        <v>148</v>
      </c>
      <c r="K10" s="49">
        <f>EXP(-$K$8)</f>
        <v>0.8436648165963837</v>
      </c>
      <c r="O10" s="47"/>
      <c r="P10" s="47"/>
      <c r="Q10" s="227"/>
      <c r="R10" s="110" t="s">
        <v>84</v>
      </c>
      <c r="S10" s="111"/>
      <c r="T10" s="111"/>
      <c r="U10" s="112"/>
      <c r="V10" s="121" t="s">
        <v>148</v>
      </c>
      <c r="W10" s="49">
        <f>EXP(-$W$8)</f>
        <v>0.8436648165963837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78">
        <f>Dry_Matter_Content!E6</f>
        <v>0.44</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80">
        <f>Dry_Matter_Content!E7</f>
        <v>0.44</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Amnt_Deposited!E15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80">
        <f>Dry_Matter_Content!E8</f>
        <v>0.44</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80">
        <f>Dry_Matter_Content!E9</f>
        <v>0.44</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Amnt_Deposited!E17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80">
        <f>Dry_Matter_Content!E10</f>
        <v>0.44</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Amnt_Deposited!E18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80">
        <f>Dry_Matter_Content!E11</f>
        <v>0.44</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Amnt_Deposited!E19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80">
        <f>Dry_Matter_Content!E12</f>
        <v>0.44</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Amnt_Deposited!E20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80">
        <f>Dry_Matter_Content!E13</f>
        <v>0.44</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Amnt_Deposited!E21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80">
        <f>Dry_Matter_Content!E14</f>
        <v>0.44</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Amnt_Deposited!E22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80">
        <f>Dry_Matter_Content!E15</f>
        <v>0.44</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Amnt_Deposited!E23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80">
        <f>Dry_Matter_Content!E16</f>
        <v>0.44</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Amnt_Deposited!E24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80">
        <f>Dry_Matter_Content!E17</f>
        <v>0.44</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Amnt_Deposited!E25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80">
        <f>Dry_Matter_Content!E18</f>
        <v>0.44</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Amnt_Deposited!E26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80">
        <f>Dry_Matter_Content!E19</f>
        <v>0.44</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Amnt_Deposited!E27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80">
        <f>Dry_Matter_Content!E20</f>
        <v>0.44</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Amnt_Deposited!E28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80">
        <f>Dry_Matter_Content!E21</f>
        <v>0.44</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Amnt_Deposited!E29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80">
        <f>Dry_Matter_Content!E22</f>
        <v>0.44</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Amnt_Deposited!E30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80">
        <f>Dry_Matter_Content!E23</f>
        <v>0.44</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Amnt_Deposited!E31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80">
        <f>Dry_Matter_Content!E24</f>
        <v>0.44</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Amnt_Deposited!E32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80">
        <f>Dry_Matter_Content!E25</f>
        <v>0.44</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Amnt_Deposited!E33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80">
        <f>Dry_Matter_Content!E26</f>
        <v>0.44</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Amnt_Deposited!E34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80">
        <f>Dry_Matter_Content!E27</f>
        <v>0.44</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Amnt_Deposited!E35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80">
        <f>Dry_Matter_Content!E28</f>
        <v>0.44</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Amnt_Deposited!E36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80">
        <f>Dry_Matter_Content!E29</f>
        <v>0.44</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Amnt_Deposited!E37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80">
        <f>Dry_Matter_Content!E30</f>
        <v>0.44</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Amnt_Deposited!E38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80">
        <f>Dry_Matter_Content!E31</f>
        <v>0.44</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Amnt_Deposited!E39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80">
        <f>Dry_Matter_Content!E32</f>
        <v>0.44</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Amnt_Deposited!E40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80">
        <f>Dry_Matter_Content!E33</f>
        <v>0.44</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Amnt_Deposited!E41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80">
        <f>Dry_Matter_Content!E34</f>
        <v>0.44</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Amnt_Deposited!E42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80">
        <f>Dry_Matter_Content!E35</f>
        <v>0.44</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Amnt_Deposited!E43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80">
        <f>Dry_Matter_Content!E36</f>
        <v>0.44</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Amnt_Deposited!E44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80">
        <f>Dry_Matter_Content!E37</f>
        <v>0.44</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Amnt_Deposited!E45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80">
        <f>Dry_Matter_Content!E38</f>
        <v>0.44</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Amnt_Deposited!E46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80">
        <f>Dry_Matter_Content!E39</f>
        <v>0.44</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Amnt_Deposited!E47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80">
        <f>Dry_Matter_Content!E40</f>
        <v>0.44</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Amnt_Deposited!E48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80">
        <f>Dry_Matter_Content!E41</f>
        <v>0.44</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Amnt_Deposited!E49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80">
        <f>Dry_Matter_Content!E42</f>
        <v>0.44</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Amnt_Deposited!E50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80">
        <f>Dry_Matter_Content!E43</f>
        <v>0.44</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Amnt_Deposited!E51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80">
        <f>Dry_Matter_Content!E44</f>
        <v>0.44</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Amnt_Deposited!E52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80">
        <f>Dry_Matter_Content!E45</f>
        <v>0.44</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Amnt_Deposited!E53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80">
        <f>Dry_Matter_Content!E46</f>
        <v>0.44</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Amnt_Deposited!E54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80">
        <f>Dry_Matter_Content!E47</f>
        <v>0.44</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Amnt_Deposited!E55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80">
        <f>Dry_Matter_Content!E48</f>
        <v>0.44</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Amnt_Deposited!E56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80">
        <f>Dry_Matter_Content!E49</f>
        <v>0.44</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Amnt_Deposited!E57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80">
        <f>Dry_Matter_Content!E50</f>
        <v>0.44</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Amnt_Deposited!E58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80">
        <f>Dry_Matter_Content!E51</f>
        <v>0.44</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Amnt_Deposited!E59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80">
        <f>Dry_Matter_Content!E52</f>
        <v>0.44</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Amnt_Deposited!E60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80">
        <f>Dry_Matter_Content!E53</f>
        <v>0.44</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Amnt_Deposited!E61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80">
        <f>Dry_Matter_Content!E54</f>
        <v>0.44</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Amnt_Deposited!E62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80">
        <f>Dry_Matter_Content!E55</f>
        <v>0.44</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Amnt_Deposited!E63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80">
        <f>Dry_Matter_Content!E56</f>
        <v>0.44</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Amnt_Deposited!E64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80">
        <f>Dry_Matter_Content!E57</f>
        <v>0.44</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Amnt_Deposited!E65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80">
        <f>Dry_Matter_Content!E58</f>
        <v>0.44</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Amnt_Deposited!E66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80">
        <f>Dry_Matter_Content!E59</f>
        <v>0.44</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Amnt_Deposited!E67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80">
        <f>Dry_Matter_Content!E60</f>
        <v>0.44</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Amnt_Deposited!E68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80">
        <f>Dry_Matter_Content!E61</f>
        <v>0.44</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Amnt_Deposited!E69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80">
        <f>Dry_Matter_Content!E62</f>
        <v>0.44</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Amnt_Deposited!E70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80">
        <f>Dry_Matter_Content!E63</f>
        <v>0.44</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Amnt_Deposited!E71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80">
        <f>Dry_Matter_Content!E64</f>
        <v>0.44</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Amnt_Deposited!E72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80">
        <f>Dry_Matter_Content!E65</f>
        <v>0.44</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Amnt_Deposited!E73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80">
        <f>Dry_Matter_Content!E66</f>
        <v>0.44</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Amnt_Deposited!E74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80">
        <f>Dry_Matter_Content!E67</f>
        <v>0.44</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Amnt_Deposited!E75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80">
        <f>Dry_Matter_Content!E68</f>
        <v>0.44</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Amnt_Deposited!E76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80">
        <f>Dry_Matter_Content!E69</f>
        <v>0.44</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Amnt_Deposited!E77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80">
        <f>Dry_Matter_Content!E70</f>
        <v>0.44</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80">
        <f>Dry_Matter_Content!E71</f>
        <v>0.44</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80">
        <f>Dry_Matter_Content!E72</f>
        <v>0.44</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80">
        <f>Dry_Matter_Content!E73</f>
        <v>0.44</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80">
        <f>Dry_Matter_Content!E74</f>
        <v>0.44</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80">
        <f>Dry_Matter_Content!E75</f>
        <v>0.44</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80">
        <f>Dry_Matter_Content!E76</f>
        <v>0.44</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80">
        <f>Dry_Matter_Content!E77</f>
        <v>0.44</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80">
        <f>Dry_Matter_Content!E78</f>
        <v>0.44</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80">
        <f>Dry_Matter_Content!E79</f>
        <v>0.44</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80">
        <f>Dry_Matter_Content!E80</f>
        <v>0.44</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80">
        <f>Dry_Matter_Content!E81</f>
        <v>0.44</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80">
        <f>Dry_Matter_Content!E82</f>
        <v>0.44</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80">
        <f>Dry_Matter_Content!E83</f>
        <v>0.44</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80">
        <f>Dry_Matter_Content!E84</f>
        <v>0.44</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80">
        <f>Dry_Matter_Content!E85</f>
        <v>0.44</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80">
        <f>Dry_Matter_Content!E86</f>
        <v>0.44</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312</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Parameters!O17</f>
        <v>0.49</v>
      </c>
      <c r="O6" s="235"/>
      <c r="P6" s="236"/>
      <c r="Q6" s="227"/>
      <c r="R6" s="108" t="s">
        <v>9</v>
      </c>
      <c r="S6" s="109"/>
      <c r="T6" s="109"/>
      <c r="U6" s="113"/>
      <c r="V6" s="120" t="s">
        <v>9</v>
      </c>
      <c r="W6" s="269">
        <f>Parameters!R17</f>
        <v>0.2</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Parameters!O36</f>
        <v>0.17</v>
      </c>
      <c r="O8" s="47"/>
      <c r="P8" s="47"/>
      <c r="Q8" s="227"/>
      <c r="R8" s="108" t="s">
        <v>192</v>
      </c>
      <c r="S8" s="109"/>
      <c r="T8" s="109"/>
      <c r="U8" s="113"/>
      <c r="V8" s="120" t="s">
        <v>188</v>
      </c>
      <c r="W8" s="114">
        <f>Parameters!O36</f>
        <v>0.17</v>
      </c>
    </row>
    <row r="9" spans="1:23" ht="15.75">
      <c r="F9" s="255" t="s">
        <v>190</v>
      </c>
      <c r="G9" s="256"/>
      <c r="H9" s="256"/>
      <c r="I9" s="257"/>
      <c r="J9" s="258" t="s">
        <v>189</v>
      </c>
      <c r="K9" s="264">
        <f>LN(2)/$K$8</f>
        <v>4.077336356234972</v>
      </c>
      <c r="O9" s="47"/>
      <c r="P9" s="47"/>
      <c r="Q9" s="227"/>
      <c r="R9" s="255" t="s">
        <v>190</v>
      </c>
      <c r="S9" s="256"/>
      <c r="T9" s="256"/>
      <c r="U9" s="257"/>
      <c r="V9" s="258" t="s">
        <v>189</v>
      </c>
      <c r="W9" s="264">
        <f>LN(2)/$W$8</f>
        <v>4.077336356234972</v>
      </c>
    </row>
    <row r="10" spans="1:23">
      <c r="F10" s="110" t="s">
        <v>84</v>
      </c>
      <c r="G10" s="111"/>
      <c r="H10" s="111"/>
      <c r="I10" s="112"/>
      <c r="J10" s="121" t="s">
        <v>148</v>
      </c>
      <c r="K10" s="49">
        <f>EXP(-$K$8)</f>
        <v>0.8436648165963837</v>
      </c>
      <c r="O10" s="47"/>
      <c r="P10" s="47"/>
      <c r="Q10" s="227"/>
      <c r="R10" s="110" t="s">
        <v>84</v>
      </c>
      <c r="S10" s="111"/>
      <c r="T10" s="111"/>
      <c r="U10" s="112"/>
      <c r="V10" s="121" t="s">
        <v>148</v>
      </c>
      <c r="W10" s="49">
        <f>EXP(-$W$8)</f>
        <v>0.8436648165963837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78">
        <f>Dry_Matter_Content!F6</f>
        <v>0.56999999999999995</v>
      </c>
      <c r="E19" s="337">
        <f>MCF!R18</f>
        <v>0.4</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337">
        <f>MCF!R18</f>
        <v>0.4</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80">
        <f>Dry_Matter_Content!F7</f>
        <v>0.56999999999999995</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Amnt_Deposited!F15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80">
        <f>Dry_Matter_Content!F8</f>
        <v>0.56999999999999995</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80">
        <f>Dry_Matter_Content!F9</f>
        <v>0.56999999999999995</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Amnt_Deposited!F17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80">
        <f>Dry_Matter_Content!F10</f>
        <v>0.56999999999999995</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Amnt_Deposited!F18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80">
        <f>Dry_Matter_Content!F11</f>
        <v>0.56999999999999995</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Amnt_Deposited!F19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80">
        <f>Dry_Matter_Content!F12</f>
        <v>0.56999999999999995</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Amnt_Deposited!F20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80">
        <f>Dry_Matter_Content!F13</f>
        <v>0.56999999999999995</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Amnt_Deposited!F21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80">
        <f>Dry_Matter_Content!F14</f>
        <v>0.56999999999999995</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Amnt_Deposited!F22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80">
        <f>Dry_Matter_Content!F15</f>
        <v>0.56999999999999995</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Amnt_Deposited!F23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80">
        <f>Dry_Matter_Content!F16</f>
        <v>0.56999999999999995</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Amnt_Deposited!F24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80">
        <f>Dry_Matter_Content!F17</f>
        <v>0.56999999999999995</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Amnt_Deposited!F25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80">
        <f>Dry_Matter_Content!F18</f>
        <v>0.56999999999999995</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Amnt_Deposited!F26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80">
        <f>Dry_Matter_Content!F19</f>
        <v>0.56999999999999995</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Amnt_Deposited!F27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80">
        <f>Dry_Matter_Content!F20</f>
        <v>0.56999999999999995</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Amnt_Deposited!F28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80">
        <f>Dry_Matter_Content!F21</f>
        <v>0.56999999999999995</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Amnt_Deposited!F29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80">
        <f>Dry_Matter_Content!F22</f>
        <v>0.56999999999999995</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Amnt_Deposited!F30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80">
        <f>Dry_Matter_Content!F23</f>
        <v>0.56999999999999995</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Amnt_Deposited!F31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80">
        <f>Dry_Matter_Content!F24</f>
        <v>0.56999999999999995</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Amnt_Deposited!F32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80">
        <f>Dry_Matter_Content!F25</f>
        <v>0.56999999999999995</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Amnt_Deposited!F33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80">
        <f>Dry_Matter_Content!F26</f>
        <v>0.56999999999999995</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Amnt_Deposited!F34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80">
        <f>Dry_Matter_Content!F27</f>
        <v>0.56999999999999995</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Amnt_Deposited!F35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80">
        <f>Dry_Matter_Content!F28</f>
        <v>0.56999999999999995</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Amnt_Deposited!F36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80">
        <f>Dry_Matter_Content!F29</f>
        <v>0.56999999999999995</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Amnt_Deposited!F37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80">
        <f>Dry_Matter_Content!F30</f>
        <v>0.56999999999999995</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Amnt_Deposited!F38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80">
        <f>Dry_Matter_Content!F31</f>
        <v>0.56999999999999995</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Amnt_Deposited!F39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80">
        <f>Dry_Matter_Content!F32</f>
        <v>0.56999999999999995</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Amnt_Deposited!F40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80">
        <f>Dry_Matter_Content!F33</f>
        <v>0.56999999999999995</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Amnt_Deposited!F41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80">
        <f>Dry_Matter_Content!F34</f>
        <v>0.56999999999999995</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Amnt_Deposited!F42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80">
        <f>Dry_Matter_Content!F35</f>
        <v>0.56999999999999995</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Amnt_Deposited!F43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80">
        <f>Dry_Matter_Content!F36</f>
        <v>0.56999999999999995</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Amnt_Deposited!F44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80">
        <f>Dry_Matter_Content!F37</f>
        <v>0.56999999999999995</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Amnt_Deposited!F45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80">
        <f>Dry_Matter_Content!F38</f>
        <v>0.56999999999999995</v>
      </c>
      <c r="E51" s="338">
        <f>MCF!R50</f>
        <v>0.4</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338">
        <f>MCF!R50</f>
        <v>0.4</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80">
        <f>Dry_Matter_Content!F39</f>
        <v>0.56999999999999995</v>
      </c>
      <c r="E52" s="338">
        <f>MCF!R51</f>
        <v>0.4</v>
      </c>
      <c r="F52" s="67">
        <f t="shared" si="12"/>
        <v>0</v>
      </c>
      <c r="G52" s="67">
        <f t="shared" si="1"/>
        <v>0</v>
      </c>
      <c r="H52" s="67">
        <f t="shared" si="2"/>
        <v>0</v>
      </c>
      <c r="I52" s="67">
        <f t="shared" si="3"/>
        <v>0</v>
      </c>
      <c r="J52" s="67">
        <f t="shared" si="4"/>
        <v>0</v>
      </c>
      <c r="K52" s="100">
        <f t="shared" si="6"/>
        <v>0</v>
      </c>
      <c r="O52" s="96">
        <f>Amnt_Deposited!B47</f>
        <v>2033</v>
      </c>
      <c r="P52" s="99">
        <f>Amnt_Deposited!F47</f>
        <v>0</v>
      </c>
      <c r="Q52" s="338">
        <f>MCF!R51</f>
        <v>0.4</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80">
        <f>Dry_Matter_Content!F40</f>
        <v>0.56999999999999995</v>
      </c>
      <c r="E53" s="338">
        <f>MCF!R52</f>
        <v>0.4</v>
      </c>
      <c r="F53" s="67">
        <f t="shared" si="12"/>
        <v>0</v>
      </c>
      <c r="G53" s="67">
        <f t="shared" si="1"/>
        <v>0</v>
      </c>
      <c r="H53" s="67">
        <f t="shared" si="2"/>
        <v>0</v>
      </c>
      <c r="I53" s="67">
        <f t="shared" si="3"/>
        <v>0</v>
      </c>
      <c r="J53" s="67">
        <f t="shared" si="4"/>
        <v>0</v>
      </c>
      <c r="K53" s="100">
        <f t="shared" si="6"/>
        <v>0</v>
      </c>
      <c r="O53" s="96">
        <f>Amnt_Deposited!B48</f>
        <v>2034</v>
      </c>
      <c r="P53" s="99">
        <f>Amnt_Deposited!F48</f>
        <v>0</v>
      </c>
      <c r="Q53" s="338">
        <f>MCF!R52</f>
        <v>0.4</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80">
        <f>Dry_Matter_Content!F41</f>
        <v>0.56999999999999995</v>
      </c>
      <c r="E54" s="338">
        <f>MCF!R53</f>
        <v>0.4</v>
      </c>
      <c r="F54" s="67">
        <f t="shared" si="12"/>
        <v>0</v>
      </c>
      <c r="G54" s="67">
        <f t="shared" si="1"/>
        <v>0</v>
      </c>
      <c r="H54" s="67">
        <f t="shared" si="2"/>
        <v>0</v>
      </c>
      <c r="I54" s="67">
        <f t="shared" si="3"/>
        <v>0</v>
      </c>
      <c r="J54" s="67">
        <f t="shared" si="4"/>
        <v>0</v>
      </c>
      <c r="K54" s="100">
        <f t="shared" si="6"/>
        <v>0</v>
      </c>
      <c r="O54" s="96">
        <f>Amnt_Deposited!B49</f>
        <v>2035</v>
      </c>
      <c r="P54" s="99">
        <f>Amnt_Deposited!F49</f>
        <v>0</v>
      </c>
      <c r="Q54" s="338">
        <f>MCF!R53</f>
        <v>0.4</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80">
        <f>Dry_Matter_Content!F42</f>
        <v>0.56999999999999995</v>
      </c>
      <c r="E55" s="338">
        <f>MCF!R54</f>
        <v>0.4</v>
      </c>
      <c r="F55" s="67">
        <f t="shared" si="12"/>
        <v>0</v>
      </c>
      <c r="G55" s="67">
        <f t="shared" si="1"/>
        <v>0</v>
      </c>
      <c r="H55" s="67">
        <f t="shared" si="2"/>
        <v>0</v>
      </c>
      <c r="I55" s="67">
        <f t="shared" si="3"/>
        <v>0</v>
      </c>
      <c r="J55" s="67">
        <f t="shared" si="4"/>
        <v>0</v>
      </c>
      <c r="K55" s="100">
        <f t="shared" si="6"/>
        <v>0</v>
      </c>
      <c r="O55" s="96">
        <f>Amnt_Deposited!B50</f>
        <v>2036</v>
      </c>
      <c r="P55" s="99">
        <f>Amnt_Deposited!F50</f>
        <v>0</v>
      </c>
      <c r="Q55" s="338">
        <f>MCF!R54</f>
        <v>0.4</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80">
        <f>Dry_Matter_Content!F43</f>
        <v>0.56999999999999995</v>
      </c>
      <c r="E56" s="338">
        <f>MCF!R55</f>
        <v>0.4</v>
      </c>
      <c r="F56" s="67">
        <f t="shared" si="12"/>
        <v>0</v>
      </c>
      <c r="G56" s="67">
        <f t="shared" si="1"/>
        <v>0</v>
      </c>
      <c r="H56" s="67">
        <f t="shared" si="2"/>
        <v>0</v>
      </c>
      <c r="I56" s="67">
        <f t="shared" si="3"/>
        <v>0</v>
      </c>
      <c r="J56" s="67">
        <f t="shared" si="4"/>
        <v>0</v>
      </c>
      <c r="K56" s="100">
        <f t="shared" si="6"/>
        <v>0</v>
      </c>
      <c r="O56" s="96">
        <f>Amnt_Deposited!B51</f>
        <v>2037</v>
      </c>
      <c r="P56" s="99">
        <f>Amnt_Deposited!F51</f>
        <v>0</v>
      </c>
      <c r="Q56" s="338">
        <f>MCF!R55</f>
        <v>0.4</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80">
        <f>Dry_Matter_Content!F44</f>
        <v>0.56999999999999995</v>
      </c>
      <c r="E57" s="338">
        <f>MCF!R56</f>
        <v>0.4</v>
      </c>
      <c r="F57" s="67">
        <f t="shared" si="12"/>
        <v>0</v>
      </c>
      <c r="G57" s="67">
        <f t="shared" si="1"/>
        <v>0</v>
      </c>
      <c r="H57" s="67">
        <f t="shared" si="2"/>
        <v>0</v>
      </c>
      <c r="I57" s="67">
        <f t="shared" si="3"/>
        <v>0</v>
      </c>
      <c r="J57" s="67">
        <f t="shared" si="4"/>
        <v>0</v>
      </c>
      <c r="K57" s="100">
        <f t="shared" si="6"/>
        <v>0</v>
      </c>
      <c r="O57" s="96">
        <f>Amnt_Deposited!B52</f>
        <v>2038</v>
      </c>
      <c r="P57" s="99">
        <f>Amnt_Deposited!F52</f>
        <v>0</v>
      </c>
      <c r="Q57" s="338">
        <f>MCF!R56</f>
        <v>0.4</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80">
        <f>Dry_Matter_Content!F45</f>
        <v>0.56999999999999995</v>
      </c>
      <c r="E58" s="338">
        <f>MCF!R57</f>
        <v>0.4</v>
      </c>
      <c r="F58" s="67">
        <f t="shared" si="12"/>
        <v>0</v>
      </c>
      <c r="G58" s="67">
        <f t="shared" si="1"/>
        <v>0</v>
      </c>
      <c r="H58" s="67">
        <f t="shared" si="2"/>
        <v>0</v>
      </c>
      <c r="I58" s="67">
        <f t="shared" si="3"/>
        <v>0</v>
      </c>
      <c r="J58" s="67">
        <f t="shared" si="4"/>
        <v>0</v>
      </c>
      <c r="K58" s="100">
        <f t="shared" si="6"/>
        <v>0</v>
      </c>
      <c r="O58" s="96">
        <f>Amnt_Deposited!B53</f>
        <v>2039</v>
      </c>
      <c r="P58" s="99">
        <f>Amnt_Deposited!F53</f>
        <v>0</v>
      </c>
      <c r="Q58" s="338">
        <f>MCF!R57</f>
        <v>0.4</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80">
        <f>Dry_Matter_Content!F46</f>
        <v>0.56999999999999995</v>
      </c>
      <c r="E59" s="338">
        <f>MCF!R58</f>
        <v>0.4</v>
      </c>
      <c r="F59" s="67">
        <f t="shared" si="12"/>
        <v>0</v>
      </c>
      <c r="G59" s="67">
        <f t="shared" si="1"/>
        <v>0</v>
      </c>
      <c r="H59" s="67">
        <f t="shared" si="2"/>
        <v>0</v>
      </c>
      <c r="I59" s="67">
        <f t="shared" si="3"/>
        <v>0</v>
      </c>
      <c r="J59" s="67">
        <f t="shared" si="4"/>
        <v>0</v>
      </c>
      <c r="K59" s="100">
        <f t="shared" si="6"/>
        <v>0</v>
      </c>
      <c r="O59" s="96">
        <f>Amnt_Deposited!B54</f>
        <v>2040</v>
      </c>
      <c r="P59" s="99">
        <f>Amnt_Deposited!F54</f>
        <v>0</v>
      </c>
      <c r="Q59" s="338">
        <f>MCF!R58</f>
        <v>0.4</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80">
        <f>Dry_Matter_Content!F47</f>
        <v>0.56999999999999995</v>
      </c>
      <c r="E60" s="338">
        <f>MCF!R59</f>
        <v>0.4</v>
      </c>
      <c r="F60" s="67">
        <f t="shared" si="12"/>
        <v>0</v>
      </c>
      <c r="G60" s="67">
        <f t="shared" si="1"/>
        <v>0</v>
      </c>
      <c r="H60" s="67">
        <f t="shared" si="2"/>
        <v>0</v>
      </c>
      <c r="I60" s="67">
        <f t="shared" si="3"/>
        <v>0</v>
      </c>
      <c r="J60" s="67">
        <f t="shared" si="4"/>
        <v>0</v>
      </c>
      <c r="K60" s="100">
        <f t="shared" si="6"/>
        <v>0</v>
      </c>
      <c r="O60" s="96">
        <f>Amnt_Deposited!B55</f>
        <v>2041</v>
      </c>
      <c r="P60" s="99">
        <f>Amnt_Deposited!F55</f>
        <v>0</v>
      </c>
      <c r="Q60" s="338">
        <f>MCF!R59</f>
        <v>0.4</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80">
        <f>Dry_Matter_Content!F48</f>
        <v>0.56999999999999995</v>
      </c>
      <c r="E61" s="338">
        <f>MCF!R60</f>
        <v>0.4</v>
      </c>
      <c r="F61" s="67">
        <f t="shared" si="12"/>
        <v>0</v>
      </c>
      <c r="G61" s="67">
        <f t="shared" si="1"/>
        <v>0</v>
      </c>
      <c r="H61" s="67">
        <f t="shared" si="2"/>
        <v>0</v>
      </c>
      <c r="I61" s="67">
        <f t="shared" si="3"/>
        <v>0</v>
      </c>
      <c r="J61" s="67">
        <f t="shared" si="4"/>
        <v>0</v>
      </c>
      <c r="K61" s="100">
        <f t="shared" si="6"/>
        <v>0</v>
      </c>
      <c r="O61" s="96">
        <f>Amnt_Deposited!B56</f>
        <v>2042</v>
      </c>
      <c r="P61" s="99">
        <f>Amnt_Deposited!F56</f>
        <v>0</v>
      </c>
      <c r="Q61" s="338">
        <f>MCF!R60</f>
        <v>0.4</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80">
        <f>Dry_Matter_Content!F49</f>
        <v>0.56999999999999995</v>
      </c>
      <c r="E62" s="338">
        <f>MCF!R61</f>
        <v>0.4</v>
      </c>
      <c r="F62" s="67">
        <f t="shared" si="12"/>
        <v>0</v>
      </c>
      <c r="G62" s="67">
        <f t="shared" si="1"/>
        <v>0</v>
      </c>
      <c r="H62" s="67">
        <f t="shared" si="2"/>
        <v>0</v>
      </c>
      <c r="I62" s="67">
        <f t="shared" si="3"/>
        <v>0</v>
      </c>
      <c r="J62" s="67">
        <f t="shared" si="4"/>
        <v>0</v>
      </c>
      <c r="K62" s="100">
        <f t="shared" si="6"/>
        <v>0</v>
      </c>
      <c r="O62" s="96">
        <f>Amnt_Deposited!B57</f>
        <v>2043</v>
      </c>
      <c r="P62" s="99">
        <f>Amnt_Deposited!F57</f>
        <v>0</v>
      </c>
      <c r="Q62" s="338">
        <f>MCF!R61</f>
        <v>0.4</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80">
        <f>Dry_Matter_Content!F50</f>
        <v>0.56999999999999995</v>
      </c>
      <c r="E63" s="338">
        <f>MCF!R62</f>
        <v>0.4</v>
      </c>
      <c r="F63" s="67">
        <f t="shared" si="12"/>
        <v>0</v>
      </c>
      <c r="G63" s="67">
        <f t="shared" si="1"/>
        <v>0</v>
      </c>
      <c r="H63" s="67">
        <f t="shared" si="2"/>
        <v>0</v>
      </c>
      <c r="I63" s="67">
        <f t="shared" si="3"/>
        <v>0</v>
      </c>
      <c r="J63" s="67">
        <f t="shared" si="4"/>
        <v>0</v>
      </c>
      <c r="K63" s="100">
        <f t="shared" si="6"/>
        <v>0</v>
      </c>
      <c r="O63" s="96">
        <f>Amnt_Deposited!B58</f>
        <v>2044</v>
      </c>
      <c r="P63" s="99">
        <f>Amnt_Deposited!F58</f>
        <v>0</v>
      </c>
      <c r="Q63" s="338">
        <f>MCF!R62</f>
        <v>0.4</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80">
        <f>Dry_Matter_Content!F51</f>
        <v>0.56999999999999995</v>
      </c>
      <c r="E64" s="338">
        <f>MCF!R63</f>
        <v>0.4</v>
      </c>
      <c r="F64" s="67">
        <f t="shared" si="12"/>
        <v>0</v>
      </c>
      <c r="G64" s="67">
        <f t="shared" si="1"/>
        <v>0</v>
      </c>
      <c r="H64" s="67">
        <f t="shared" si="2"/>
        <v>0</v>
      </c>
      <c r="I64" s="67">
        <f t="shared" si="3"/>
        <v>0</v>
      </c>
      <c r="J64" s="67">
        <f t="shared" si="4"/>
        <v>0</v>
      </c>
      <c r="K64" s="100">
        <f t="shared" si="6"/>
        <v>0</v>
      </c>
      <c r="O64" s="96">
        <f>Amnt_Deposited!B59</f>
        <v>2045</v>
      </c>
      <c r="P64" s="99">
        <f>Amnt_Deposited!F59</f>
        <v>0</v>
      </c>
      <c r="Q64" s="338">
        <f>MCF!R63</f>
        <v>0.4</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80">
        <f>Dry_Matter_Content!F52</f>
        <v>0.56999999999999995</v>
      </c>
      <c r="E65" s="338">
        <f>MCF!R64</f>
        <v>0.4</v>
      </c>
      <c r="F65" s="67">
        <f t="shared" si="12"/>
        <v>0</v>
      </c>
      <c r="G65" s="67">
        <f t="shared" si="1"/>
        <v>0</v>
      </c>
      <c r="H65" s="67">
        <f t="shared" si="2"/>
        <v>0</v>
      </c>
      <c r="I65" s="67">
        <f t="shared" si="3"/>
        <v>0</v>
      </c>
      <c r="J65" s="67">
        <f t="shared" si="4"/>
        <v>0</v>
      </c>
      <c r="K65" s="100">
        <f t="shared" si="6"/>
        <v>0</v>
      </c>
      <c r="O65" s="96">
        <f>Amnt_Deposited!B60</f>
        <v>2046</v>
      </c>
      <c r="P65" s="99">
        <f>Amnt_Deposited!F60</f>
        <v>0</v>
      </c>
      <c r="Q65" s="338">
        <f>MCF!R64</f>
        <v>0.4</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80">
        <f>Dry_Matter_Content!F53</f>
        <v>0.56999999999999995</v>
      </c>
      <c r="E66" s="338">
        <f>MCF!R65</f>
        <v>0.4</v>
      </c>
      <c r="F66" s="67">
        <f t="shared" si="12"/>
        <v>0</v>
      </c>
      <c r="G66" s="67">
        <f t="shared" si="1"/>
        <v>0</v>
      </c>
      <c r="H66" s="67">
        <f t="shared" si="2"/>
        <v>0</v>
      </c>
      <c r="I66" s="67">
        <f t="shared" si="3"/>
        <v>0</v>
      </c>
      <c r="J66" s="67">
        <f t="shared" si="4"/>
        <v>0</v>
      </c>
      <c r="K66" s="100">
        <f t="shared" si="6"/>
        <v>0</v>
      </c>
      <c r="O66" s="96">
        <f>Amnt_Deposited!B61</f>
        <v>2047</v>
      </c>
      <c r="P66" s="99">
        <f>Amnt_Deposited!F61</f>
        <v>0</v>
      </c>
      <c r="Q66" s="338">
        <f>MCF!R65</f>
        <v>0.4</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80">
        <f>Dry_Matter_Content!F54</f>
        <v>0.56999999999999995</v>
      </c>
      <c r="E67" s="338">
        <f>MCF!R66</f>
        <v>0.4</v>
      </c>
      <c r="F67" s="67">
        <f t="shared" si="12"/>
        <v>0</v>
      </c>
      <c r="G67" s="67">
        <f t="shared" si="1"/>
        <v>0</v>
      </c>
      <c r="H67" s="67">
        <f t="shared" si="2"/>
        <v>0</v>
      </c>
      <c r="I67" s="67">
        <f t="shared" si="3"/>
        <v>0</v>
      </c>
      <c r="J67" s="67">
        <f t="shared" si="4"/>
        <v>0</v>
      </c>
      <c r="K67" s="100">
        <f t="shared" si="6"/>
        <v>0</v>
      </c>
      <c r="O67" s="96">
        <f>Amnt_Deposited!B62</f>
        <v>2048</v>
      </c>
      <c r="P67" s="99">
        <f>Amnt_Deposited!F62</f>
        <v>0</v>
      </c>
      <c r="Q67" s="338">
        <f>MCF!R66</f>
        <v>0.4</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80">
        <f>Dry_Matter_Content!F55</f>
        <v>0.56999999999999995</v>
      </c>
      <c r="E68" s="338">
        <f>MCF!R67</f>
        <v>0.4</v>
      </c>
      <c r="F68" s="67">
        <f t="shared" si="12"/>
        <v>0</v>
      </c>
      <c r="G68" s="67">
        <f t="shared" si="1"/>
        <v>0</v>
      </c>
      <c r="H68" s="67">
        <f t="shared" si="2"/>
        <v>0</v>
      </c>
      <c r="I68" s="67">
        <f t="shared" si="3"/>
        <v>0</v>
      </c>
      <c r="J68" s="67">
        <f t="shared" si="4"/>
        <v>0</v>
      </c>
      <c r="K68" s="100">
        <f t="shared" si="6"/>
        <v>0</v>
      </c>
      <c r="O68" s="96">
        <f>Amnt_Deposited!B63</f>
        <v>2049</v>
      </c>
      <c r="P68" s="99">
        <f>Amnt_Deposited!F63</f>
        <v>0</v>
      </c>
      <c r="Q68" s="338">
        <f>MCF!R67</f>
        <v>0.4</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80">
        <f>Dry_Matter_Content!F56</f>
        <v>0.56999999999999995</v>
      </c>
      <c r="E69" s="338">
        <f>MCF!R68</f>
        <v>0.4</v>
      </c>
      <c r="F69" s="67">
        <f t="shared" si="12"/>
        <v>0</v>
      </c>
      <c r="G69" s="67">
        <f t="shared" si="1"/>
        <v>0</v>
      </c>
      <c r="H69" s="67">
        <f t="shared" si="2"/>
        <v>0</v>
      </c>
      <c r="I69" s="67">
        <f t="shared" si="3"/>
        <v>0</v>
      </c>
      <c r="J69" s="67">
        <f t="shared" si="4"/>
        <v>0</v>
      </c>
      <c r="K69" s="100">
        <f t="shared" si="6"/>
        <v>0</v>
      </c>
      <c r="O69" s="96">
        <f>Amnt_Deposited!B64</f>
        <v>2050</v>
      </c>
      <c r="P69" s="99">
        <f>Amnt_Deposited!F64</f>
        <v>0</v>
      </c>
      <c r="Q69" s="338">
        <f>MCF!R68</f>
        <v>0.4</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80">
        <f>Dry_Matter_Content!F57</f>
        <v>0.56999999999999995</v>
      </c>
      <c r="E70" s="338">
        <f>MCF!R69</f>
        <v>0.4</v>
      </c>
      <c r="F70" s="67">
        <f t="shared" si="12"/>
        <v>0</v>
      </c>
      <c r="G70" s="67">
        <f t="shared" si="1"/>
        <v>0</v>
      </c>
      <c r="H70" s="67">
        <f t="shared" si="2"/>
        <v>0</v>
      </c>
      <c r="I70" s="67">
        <f t="shared" si="3"/>
        <v>0</v>
      </c>
      <c r="J70" s="67">
        <f t="shared" si="4"/>
        <v>0</v>
      </c>
      <c r="K70" s="100">
        <f t="shared" si="6"/>
        <v>0</v>
      </c>
      <c r="O70" s="96">
        <f>Amnt_Deposited!B65</f>
        <v>2051</v>
      </c>
      <c r="P70" s="99">
        <f>Amnt_Deposited!F65</f>
        <v>0</v>
      </c>
      <c r="Q70" s="338">
        <f>MCF!R69</f>
        <v>0.4</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80">
        <f>Dry_Matter_Content!F58</f>
        <v>0.56999999999999995</v>
      </c>
      <c r="E71" s="338">
        <f>MCF!R70</f>
        <v>0.4</v>
      </c>
      <c r="F71" s="67">
        <f t="shared" si="12"/>
        <v>0</v>
      </c>
      <c r="G71" s="67">
        <f t="shared" si="1"/>
        <v>0</v>
      </c>
      <c r="H71" s="67">
        <f t="shared" si="2"/>
        <v>0</v>
      </c>
      <c r="I71" s="67">
        <f t="shared" si="3"/>
        <v>0</v>
      </c>
      <c r="J71" s="67">
        <f t="shared" si="4"/>
        <v>0</v>
      </c>
      <c r="K71" s="100">
        <f t="shared" si="6"/>
        <v>0</v>
      </c>
      <c r="O71" s="96">
        <f>Amnt_Deposited!B66</f>
        <v>2052</v>
      </c>
      <c r="P71" s="99">
        <f>Amnt_Deposited!F66</f>
        <v>0</v>
      </c>
      <c r="Q71" s="338">
        <f>MCF!R70</f>
        <v>0.4</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80">
        <f>Dry_Matter_Content!F59</f>
        <v>0.56999999999999995</v>
      </c>
      <c r="E72" s="338">
        <f>MCF!R71</f>
        <v>0.4</v>
      </c>
      <c r="F72" s="67">
        <f t="shared" si="12"/>
        <v>0</v>
      </c>
      <c r="G72" s="67">
        <f t="shared" si="1"/>
        <v>0</v>
      </c>
      <c r="H72" s="67">
        <f t="shared" si="2"/>
        <v>0</v>
      </c>
      <c r="I72" s="67">
        <f t="shared" si="3"/>
        <v>0</v>
      </c>
      <c r="J72" s="67">
        <f t="shared" si="4"/>
        <v>0</v>
      </c>
      <c r="K72" s="100">
        <f t="shared" si="6"/>
        <v>0</v>
      </c>
      <c r="O72" s="96">
        <f>Amnt_Deposited!B67</f>
        <v>2053</v>
      </c>
      <c r="P72" s="99">
        <f>Amnt_Deposited!F67</f>
        <v>0</v>
      </c>
      <c r="Q72" s="338">
        <f>MCF!R71</f>
        <v>0.4</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80">
        <f>Dry_Matter_Content!F60</f>
        <v>0.56999999999999995</v>
      </c>
      <c r="E73" s="338">
        <f>MCF!R72</f>
        <v>0.4</v>
      </c>
      <c r="F73" s="67">
        <f t="shared" si="12"/>
        <v>0</v>
      </c>
      <c r="G73" s="67">
        <f t="shared" si="1"/>
        <v>0</v>
      </c>
      <c r="H73" s="67">
        <f t="shared" si="2"/>
        <v>0</v>
      </c>
      <c r="I73" s="67">
        <f t="shared" si="3"/>
        <v>0</v>
      </c>
      <c r="J73" s="67">
        <f t="shared" si="4"/>
        <v>0</v>
      </c>
      <c r="K73" s="100">
        <f t="shared" si="6"/>
        <v>0</v>
      </c>
      <c r="O73" s="96">
        <f>Amnt_Deposited!B68</f>
        <v>2054</v>
      </c>
      <c r="P73" s="99">
        <f>Amnt_Deposited!F68</f>
        <v>0</v>
      </c>
      <c r="Q73" s="338">
        <f>MCF!R72</f>
        <v>0.4</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80">
        <f>Dry_Matter_Content!F61</f>
        <v>0.56999999999999995</v>
      </c>
      <c r="E74" s="338">
        <f>MCF!R73</f>
        <v>0.4</v>
      </c>
      <c r="F74" s="67">
        <f t="shared" si="12"/>
        <v>0</v>
      </c>
      <c r="G74" s="67">
        <f t="shared" si="1"/>
        <v>0</v>
      </c>
      <c r="H74" s="67">
        <f t="shared" si="2"/>
        <v>0</v>
      </c>
      <c r="I74" s="67">
        <f t="shared" si="3"/>
        <v>0</v>
      </c>
      <c r="J74" s="67">
        <f t="shared" si="4"/>
        <v>0</v>
      </c>
      <c r="K74" s="100">
        <f t="shared" si="6"/>
        <v>0</v>
      </c>
      <c r="O74" s="96">
        <f>Amnt_Deposited!B69</f>
        <v>2055</v>
      </c>
      <c r="P74" s="99">
        <f>Amnt_Deposited!F69</f>
        <v>0</v>
      </c>
      <c r="Q74" s="338">
        <f>MCF!R73</f>
        <v>0.4</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80">
        <f>Dry_Matter_Content!F62</f>
        <v>0.56999999999999995</v>
      </c>
      <c r="E75" s="338">
        <f>MCF!R74</f>
        <v>0.4</v>
      </c>
      <c r="F75" s="67">
        <f t="shared" si="12"/>
        <v>0</v>
      </c>
      <c r="G75" s="67">
        <f t="shared" si="1"/>
        <v>0</v>
      </c>
      <c r="H75" s="67">
        <f t="shared" si="2"/>
        <v>0</v>
      </c>
      <c r="I75" s="67">
        <f t="shared" si="3"/>
        <v>0</v>
      </c>
      <c r="J75" s="67">
        <f t="shared" si="4"/>
        <v>0</v>
      </c>
      <c r="K75" s="100">
        <f t="shared" si="6"/>
        <v>0</v>
      </c>
      <c r="O75" s="96">
        <f>Amnt_Deposited!B70</f>
        <v>2056</v>
      </c>
      <c r="P75" s="99">
        <f>Amnt_Deposited!F70</f>
        <v>0</v>
      </c>
      <c r="Q75" s="338">
        <f>MCF!R74</f>
        <v>0.4</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80">
        <f>Dry_Matter_Content!F63</f>
        <v>0.56999999999999995</v>
      </c>
      <c r="E76" s="338">
        <f>MCF!R75</f>
        <v>0.4</v>
      </c>
      <c r="F76" s="67">
        <f t="shared" si="12"/>
        <v>0</v>
      </c>
      <c r="G76" s="67">
        <f t="shared" si="1"/>
        <v>0</v>
      </c>
      <c r="H76" s="67">
        <f t="shared" si="2"/>
        <v>0</v>
      </c>
      <c r="I76" s="67">
        <f t="shared" si="3"/>
        <v>0</v>
      </c>
      <c r="J76" s="67">
        <f t="shared" si="4"/>
        <v>0</v>
      </c>
      <c r="K76" s="100">
        <f t="shared" si="6"/>
        <v>0</v>
      </c>
      <c r="O76" s="96">
        <f>Amnt_Deposited!B71</f>
        <v>2057</v>
      </c>
      <c r="P76" s="99">
        <f>Amnt_Deposited!F71</f>
        <v>0</v>
      </c>
      <c r="Q76" s="338">
        <f>MCF!R75</f>
        <v>0.4</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80">
        <f>Dry_Matter_Content!F64</f>
        <v>0.56999999999999995</v>
      </c>
      <c r="E77" s="338">
        <f>MCF!R76</f>
        <v>0.4</v>
      </c>
      <c r="F77" s="67">
        <f t="shared" si="12"/>
        <v>0</v>
      </c>
      <c r="G77" s="67">
        <f t="shared" si="1"/>
        <v>0</v>
      </c>
      <c r="H77" s="67">
        <f t="shared" si="2"/>
        <v>0</v>
      </c>
      <c r="I77" s="67">
        <f t="shared" si="3"/>
        <v>0</v>
      </c>
      <c r="J77" s="67">
        <f t="shared" si="4"/>
        <v>0</v>
      </c>
      <c r="K77" s="100">
        <f t="shared" si="6"/>
        <v>0</v>
      </c>
      <c r="O77" s="96">
        <f>Amnt_Deposited!B72</f>
        <v>2058</v>
      </c>
      <c r="P77" s="99">
        <f>Amnt_Deposited!F72</f>
        <v>0</v>
      </c>
      <c r="Q77" s="338">
        <f>MCF!R76</f>
        <v>0.4</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80">
        <f>Dry_Matter_Content!F65</f>
        <v>0.56999999999999995</v>
      </c>
      <c r="E78" s="338">
        <f>MCF!R77</f>
        <v>0.4</v>
      </c>
      <c r="F78" s="67">
        <f t="shared" si="12"/>
        <v>0</v>
      </c>
      <c r="G78" s="67">
        <f t="shared" si="1"/>
        <v>0</v>
      </c>
      <c r="H78" s="67">
        <f t="shared" si="2"/>
        <v>0</v>
      </c>
      <c r="I78" s="67">
        <f t="shared" si="3"/>
        <v>0</v>
      </c>
      <c r="J78" s="67">
        <f t="shared" si="4"/>
        <v>0</v>
      </c>
      <c r="K78" s="100">
        <f t="shared" si="6"/>
        <v>0</v>
      </c>
      <c r="O78" s="96">
        <f>Amnt_Deposited!B73</f>
        <v>2059</v>
      </c>
      <c r="P78" s="99">
        <f>Amnt_Deposited!F73</f>
        <v>0</v>
      </c>
      <c r="Q78" s="338">
        <f>MCF!R77</f>
        <v>0.4</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80">
        <f>Dry_Matter_Content!F66</f>
        <v>0.56999999999999995</v>
      </c>
      <c r="E79" s="338">
        <f>MCF!R78</f>
        <v>0.4</v>
      </c>
      <c r="F79" s="67">
        <f t="shared" si="12"/>
        <v>0</v>
      </c>
      <c r="G79" s="67">
        <f t="shared" si="1"/>
        <v>0</v>
      </c>
      <c r="H79" s="67">
        <f t="shared" si="2"/>
        <v>0</v>
      </c>
      <c r="I79" s="67">
        <f t="shared" si="3"/>
        <v>0</v>
      </c>
      <c r="J79" s="67">
        <f t="shared" si="4"/>
        <v>0</v>
      </c>
      <c r="K79" s="100">
        <f t="shared" si="6"/>
        <v>0</v>
      </c>
      <c r="O79" s="96">
        <f>Amnt_Deposited!B74</f>
        <v>2060</v>
      </c>
      <c r="P79" s="99">
        <f>Amnt_Deposited!F74</f>
        <v>0</v>
      </c>
      <c r="Q79" s="338">
        <f>MCF!R78</f>
        <v>0.4</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80">
        <f>Dry_Matter_Content!F67</f>
        <v>0.56999999999999995</v>
      </c>
      <c r="E80" s="338">
        <f>MCF!R79</f>
        <v>0.4</v>
      </c>
      <c r="F80" s="67">
        <f t="shared" si="12"/>
        <v>0</v>
      </c>
      <c r="G80" s="67">
        <f t="shared" si="1"/>
        <v>0</v>
      </c>
      <c r="H80" s="67">
        <f t="shared" si="2"/>
        <v>0</v>
      </c>
      <c r="I80" s="67">
        <f t="shared" si="3"/>
        <v>0</v>
      </c>
      <c r="J80" s="67">
        <f t="shared" si="4"/>
        <v>0</v>
      </c>
      <c r="K80" s="100">
        <f t="shared" si="6"/>
        <v>0</v>
      </c>
      <c r="O80" s="96">
        <f>Amnt_Deposited!B75</f>
        <v>2061</v>
      </c>
      <c r="P80" s="99">
        <f>Amnt_Deposited!F75</f>
        <v>0</v>
      </c>
      <c r="Q80" s="338">
        <f>MCF!R79</f>
        <v>0.4</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80">
        <f>Dry_Matter_Content!F68</f>
        <v>0.56999999999999995</v>
      </c>
      <c r="E81" s="338">
        <f>MCF!R80</f>
        <v>0.4</v>
      </c>
      <c r="F81" s="67">
        <f t="shared" si="12"/>
        <v>0</v>
      </c>
      <c r="G81" s="67">
        <f t="shared" si="1"/>
        <v>0</v>
      </c>
      <c r="H81" s="67">
        <f t="shared" si="2"/>
        <v>0</v>
      </c>
      <c r="I81" s="67">
        <f t="shared" si="3"/>
        <v>0</v>
      </c>
      <c r="J81" s="67">
        <f t="shared" si="4"/>
        <v>0</v>
      </c>
      <c r="K81" s="100">
        <f t="shared" si="6"/>
        <v>0</v>
      </c>
      <c r="O81" s="96">
        <f>Amnt_Deposited!B76</f>
        <v>2062</v>
      </c>
      <c r="P81" s="99">
        <f>Amnt_Deposited!F76</f>
        <v>0</v>
      </c>
      <c r="Q81" s="338">
        <f>MCF!R80</f>
        <v>0.4</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80">
        <f>Dry_Matter_Content!F69</f>
        <v>0.56999999999999995</v>
      </c>
      <c r="E82" s="338">
        <f>MCF!R81</f>
        <v>0.4</v>
      </c>
      <c r="F82" s="67">
        <f t="shared" si="12"/>
        <v>0</v>
      </c>
      <c r="G82" s="67">
        <f t="shared" si="1"/>
        <v>0</v>
      </c>
      <c r="H82" s="67">
        <f t="shared" si="2"/>
        <v>0</v>
      </c>
      <c r="I82" s="67">
        <f t="shared" si="3"/>
        <v>0</v>
      </c>
      <c r="J82" s="67">
        <f t="shared" si="4"/>
        <v>0</v>
      </c>
      <c r="K82" s="100">
        <f t="shared" si="6"/>
        <v>0</v>
      </c>
      <c r="O82" s="96">
        <f>Amnt_Deposited!B77</f>
        <v>2063</v>
      </c>
      <c r="P82" s="99">
        <f>Amnt_Deposited!F77</f>
        <v>0</v>
      </c>
      <c r="Q82" s="338">
        <f>MCF!R81</f>
        <v>0.4</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80">
        <f>Dry_Matter_Content!F70</f>
        <v>0.56999999999999995</v>
      </c>
      <c r="E83" s="338">
        <f>MCF!R82</f>
        <v>0.4</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338">
        <f>MCF!R82</f>
        <v>0.4</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80">
        <f>Dry_Matter_Content!F71</f>
        <v>0.56999999999999995</v>
      </c>
      <c r="E84" s="338">
        <f>MCF!R83</f>
        <v>0.4</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338">
        <f>MCF!R83</f>
        <v>0.4</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80">
        <f>Dry_Matter_Content!F72</f>
        <v>0.56999999999999995</v>
      </c>
      <c r="E85" s="338">
        <f>MCF!R84</f>
        <v>0.4</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338">
        <f>MCF!R84</f>
        <v>0.4</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80">
        <f>Dry_Matter_Content!F73</f>
        <v>0.56999999999999995</v>
      </c>
      <c r="E86" s="338">
        <f>MCF!R85</f>
        <v>0.4</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338">
        <f>MCF!R85</f>
        <v>0.4</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80">
        <f>Dry_Matter_Content!F74</f>
        <v>0.56999999999999995</v>
      </c>
      <c r="E87" s="338">
        <f>MCF!R86</f>
        <v>0.4</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338">
        <f>MCF!R86</f>
        <v>0.4</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80">
        <f>Dry_Matter_Content!F75</f>
        <v>0.56999999999999995</v>
      </c>
      <c r="E88" s="338">
        <f>MCF!R87</f>
        <v>0.4</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338">
        <f>MCF!R87</f>
        <v>0.4</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80">
        <f>Dry_Matter_Content!F76</f>
        <v>0.56999999999999995</v>
      </c>
      <c r="E89" s="338">
        <f>MCF!R88</f>
        <v>0.4</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338">
        <f>MCF!R88</f>
        <v>0.4</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80">
        <f>Dry_Matter_Content!F77</f>
        <v>0.56999999999999995</v>
      </c>
      <c r="E90" s="338">
        <f>MCF!R89</f>
        <v>0.4</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338">
        <f>MCF!R89</f>
        <v>0.4</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80">
        <f>Dry_Matter_Content!F78</f>
        <v>0.56999999999999995</v>
      </c>
      <c r="E91" s="338">
        <f>MCF!R90</f>
        <v>0.4</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338">
        <f>MCF!R90</f>
        <v>0.4</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80">
        <f>Dry_Matter_Content!F79</f>
        <v>0.56999999999999995</v>
      </c>
      <c r="E92" s="338">
        <f>MCF!R91</f>
        <v>0.4</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338">
        <f>MCF!R91</f>
        <v>0.4</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80">
        <f>Dry_Matter_Content!F80</f>
        <v>0.56999999999999995</v>
      </c>
      <c r="E93" s="338">
        <f>MCF!R92</f>
        <v>0.4</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338">
        <f>MCF!R92</f>
        <v>0.4</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80">
        <f>Dry_Matter_Content!F81</f>
        <v>0.56999999999999995</v>
      </c>
      <c r="E94" s="338">
        <f>MCF!R93</f>
        <v>0.4</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338">
        <f>MCF!R93</f>
        <v>0.4</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80">
        <f>Dry_Matter_Content!F82</f>
        <v>0.56999999999999995</v>
      </c>
      <c r="E95" s="338">
        <f>MCF!R94</f>
        <v>0.4</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338">
        <f>MCF!R94</f>
        <v>0.4</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80">
        <f>Dry_Matter_Content!F83</f>
        <v>0.56999999999999995</v>
      </c>
      <c r="E96" s="338">
        <f>MCF!R95</f>
        <v>0.4</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338">
        <f>MCF!R95</f>
        <v>0.4</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80">
        <f>Dry_Matter_Content!F84</f>
        <v>0.56999999999999995</v>
      </c>
      <c r="E97" s="338">
        <f>MCF!R96</f>
        <v>0.4</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338">
        <f>MCF!R96</f>
        <v>0.4</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80">
        <f>Dry_Matter_Content!F85</f>
        <v>0.56999999999999995</v>
      </c>
      <c r="E98" s="338">
        <f>MCF!R97</f>
        <v>0.4</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338">
        <f>MCF!R97</f>
        <v>0.4</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81">
        <f>Dry_Matter_Content!F86</f>
        <v>0.56999999999999995</v>
      </c>
      <c r="E99" s="339">
        <f>MCF!R98</f>
        <v>0.4</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339">
        <f>MCF!R98</f>
        <v>0.4</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311</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477">
        <f>Parameters!O20</f>
        <v>0.5</v>
      </c>
      <c r="O6" s="235"/>
      <c r="P6" s="236"/>
      <c r="Q6" s="227"/>
      <c r="R6" s="108" t="s">
        <v>9</v>
      </c>
      <c r="S6" s="109"/>
      <c r="T6" s="109"/>
      <c r="U6" s="113"/>
      <c r="V6" s="120" t="s">
        <v>9</v>
      </c>
      <c r="W6" s="269">
        <f>Parameters!R20</f>
        <v>0.43</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Parameters!O39</f>
        <v>3.5000000000000003E-2</v>
      </c>
      <c r="O8" s="47"/>
      <c r="P8" s="47"/>
      <c r="Q8" s="227"/>
      <c r="R8" s="108" t="s">
        <v>192</v>
      </c>
      <c r="S8" s="109"/>
      <c r="T8" s="109"/>
      <c r="U8" s="113"/>
      <c r="V8" s="120" t="s">
        <v>188</v>
      </c>
      <c r="W8" s="114">
        <f>Parameters!O39</f>
        <v>3.5000000000000003E-2</v>
      </c>
    </row>
    <row r="9" spans="1:23" ht="15.75">
      <c r="F9" s="255" t="s">
        <v>190</v>
      </c>
      <c r="G9" s="256"/>
      <c r="H9" s="256"/>
      <c r="I9" s="257"/>
      <c r="J9" s="258" t="s">
        <v>189</v>
      </c>
      <c r="K9" s="264">
        <f>LN(2)/$K$8</f>
        <v>19.804205158855577</v>
      </c>
      <c r="O9" s="47"/>
      <c r="P9" s="47"/>
      <c r="Q9" s="227"/>
      <c r="R9" s="255" t="s">
        <v>190</v>
      </c>
      <c r="S9" s="256"/>
      <c r="T9" s="256"/>
      <c r="U9" s="257"/>
      <c r="V9" s="258" t="s">
        <v>189</v>
      </c>
      <c r="W9" s="264">
        <f>LN(2)/$W$8</f>
        <v>19.804205158855577</v>
      </c>
    </row>
    <row r="10" spans="1:23">
      <c r="F10" s="110" t="s">
        <v>84</v>
      </c>
      <c r="G10" s="111"/>
      <c r="H10" s="111"/>
      <c r="I10" s="112"/>
      <c r="J10" s="121" t="s">
        <v>148</v>
      </c>
      <c r="K10" s="49">
        <f>EXP(-$K$8)</f>
        <v>0.96560541625756646</v>
      </c>
      <c r="O10" s="47"/>
      <c r="P10" s="47"/>
      <c r="Q10" s="227"/>
      <c r="R10" s="110" t="s">
        <v>84</v>
      </c>
      <c r="S10" s="111"/>
      <c r="T10" s="111"/>
      <c r="U10" s="112"/>
      <c r="V10" s="121" t="s">
        <v>148</v>
      </c>
      <c r="W10" s="49">
        <f>EXP(-$W$8)</f>
        <v>0.96560541625756646</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78">
        <f>Dry_Matter_Content!G6</f>
        <v>0.56999999999999995</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80">
        <f>Dry_Matter_Content!G7</f>
        <v>0.56999999999999995</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Amnt_Deposited!G15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80">
        <f>Dry_Matter_Content!G8</f>
        <v>0.56999999999999995</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80">
        <f>Dry_Matter_Content!G9</f>
        <v>0.56999999999999995</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Amnt_Deposited!G17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80">
        <f>Dry_Matter_Content!G10</f>
        <v>0.56999999999999995</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Amnt_Deposited!G18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80">
        <f>Dry_Matter_Content!G11</f>
        <v>0.56999999999999995</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Amnt_Deposited!G19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80">
        <f>Dry_Matter_Content!G12</f>
        <v>0.56999999999999995</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Amnt_Deposited!G20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80">
        <f>Dry_Matter_Content!G13</f>
        <v>0.56999999999999995</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Amnt_Deposited!G21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80">
        <f>Dry_Matter_Content!G14</f>
        <v>0.56999999999999995</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Amnt_Deposited!G22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80">
        <f>Dry_Matter_Content!G15</f>
        <v>0.56999999999999995</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Amnt_Deposited!G23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80">
        <f>Dry_Matter_Content!G16</f>
        <v>0.56999999999999995</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Amnt_Deposited!G24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80">
        <f>Dry_Matter_Content!G17</f>
        <v>0.56999999999999995</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Amnt_Deposited!G25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80">
        <f>Dry_Matter_Content!G18</f>
        <v>0.56999999999999995</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Amnt_Deposited!G26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80">
        <f>Dry_Matter_Content!G19</f>
        <v>0.56999999999999995</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Amnt_Deposited!G27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80">
        <f>Dry_Matter_Content!G20</f>
        <v>0.56999999999999995</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Amnt_Deposited!G28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80">
        <f>Dry_Matter_Content!G21</f>
        <v>0.56999999999999995</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Amnt_Deposited!G29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80">
        <f>Dry_Matter_Content!G22</f>
        <v>0.56999999999999995</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Amnt_Deposited!G30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80">
        <f>Dry_Matter_Content!G23</f>
        <v>0.56999999999999995</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Amnt_Deposited!G31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80">
        <f>Dry_Matter_Content!G24</f>
        <v>0.56999999999999995</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Amnt_Deposited!G32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80">
        <f>Dry_Matter_Content!G25</f>
        <v>0.56999999999999995</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Amnt_Deposited!G33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80">
        <f>Dry_Matter_Content!G26</f>
        <v>0.56999999999999995</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Amnt_Deposited!G34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80">
        <f>Dry_Matter_Content!G27</f>
        <v>0.56999999999999995</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Amnt_Deposited!G35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80">
        <f>Dry_Matter_Content!G28</f>
        <v>0.56999999999999995</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Amnt_Deposited!G36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80">
        <f>Dry_Matter_Content!G29</f>
        <v>0.56999999999999995</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Amnt_Deposited!G37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80">
        <f>Dry_Matter_Content!G30</f>
        <v>0.56999999999999995</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Amnt_Deposited!G38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80">
        <f>Dry_Matter_Content!G31</f>
        <v>0.56999999999999995</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Amnt_Deposited!G39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80">
        <f>Dry_Matter_Content!G32</f>
        <v>0.56999999999999995</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Amnt_Deposited!G40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80">
        <f>Dry_Matter_Content!G33</f>
        <v>0.56999999999999995</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Amnt_Deposited!G41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80">
        <f>Dry_Matter_Content!G34</f>
        <v>0.56999999999999995</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Amnt_Deposited!G42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80">
        <f>Dry_Matter_Content!G35</f>
        <v>0.56999999999999995</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Amnt_Deposited!G43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80">
        <f>Dry_Matter_Content!G36</f>
        <v>0.56999999999999995</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Amnt_Deposited!G44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80">
        <f>Dry_Matter_Content!G37</f>
        <v>0.56999999999999995</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Amnt_Deposited!G45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80">
        <f>Dry_Matter_Content!G38</f>
        <v>0.56999999999999995</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Amnt_Deposited!G46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80">
        <f>Dry_Matter_Content!G39</f>
        <v>0.56999999999999995</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Amnt_Deposited!G47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80">
        <f>Dry_Matter_Content!G40</f>
        <v>0.56999999999999995</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Amnt_Deposited!G48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80">
        <f>Dry_Matter_Content!G41</f>
        <v>0.56999999999999995</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Amnt_Deposited!G49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80">
        <f>Dry_Matter_Content!G42</f>
        <v>0.56999999999999995</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Amnt_Deposited!G50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80">
        <f>Dry_Matter_Content!G43</f>
        <v>0.56999999999999995</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Amnt_Deposited!G51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80">
        <f>Dry_Matter_Content!G44</f>
        <v>0.56999999999999995</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Amnt_Deposited!G52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80">
        <f>Dry_Matter_Content!G45</f>
        <v>0.56999999999999995</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Amnt_Deposited!G53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80">
        <f>Dry_Matter_Content!G46</f>
        <v>0.56999999999999995</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Amnt_Deposited!G54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80">
        <f>Dry_Matter_Content!G47</f>
        <v>0.56999999999999995</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Amnt_Deposited!G55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80">
        <f>Dry_Matter_Content!G48</f>
        <v>0.56999999999999995</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Amnt_Deposited!G56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80">
        <f>Dry_Matter_Content!G49</f>
        <v>0.56999999999999995</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Amnt_Deposited!G57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80">
        <f>Dry_Matter_Content!G50</f>
        <v>0.56999999999999995</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Amnt_Deposited!G58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80">
        <f>Dry_Matter_Content!G51</f>
        <v>0.56999999999999995</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Amnt_Deposited!G59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80">
        <f>Dry_Matter_Content!G52</f>
        <v>0.56999999999999995</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Amnt_Deposited!G60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80">
        <f>Dry_Matter_Content!G53</f>
        <v>0.56999999999999995</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Amnt_Deposited!G61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80">
        <f>Dry_Matter_Content!G54</f>
        <v>0.56999999999999995</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Amnt_Deposited!G62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80">
        <f>Dry_Matter_Content!G55</f>
        <v>0.56999999999999995</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Amnt_Deposited!G63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80">
        <f>Dry_Matter_Content!G56</f>
        <v>0.56999999999999995</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Amnt_Deposited!G64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80">
        <f>Dry_Matter_Content!G57</f>
        <v>0.56999999999999995</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Amnt_Deposited!G65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80">
        <f>Dry_Matter_Content!G58</f>
        <v>0.56999999999999995</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Amnt_Deposited!G66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80">
        <f>Dry_Matter_Content!G59</f>
        <v>0.56999999999999995</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Amnt_Deposited!G67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80">
        <f>Dry_Matter_Content!G60</f>
        <v>0.56999999999999995</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Amnt_Deposited!G68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80">
        <f>Dry_Matter_Content!G61</f>
        <v>0.56999999999999995</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Amnt_Deposited!G69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80">
        <f>Dry_Matter_Content!G62</f>
        <v>0.56999999999999995</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Amnt_Deposited!G70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80">
        <f>Dry_Matter_Content!G63</f>
        <v>0.56999999999999995</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Amnt_Deposited!G71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80">
        <f>Dry_Matter_Content!G64</f>
        <v>0.56999999999999995</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Amnt_Deposited!G72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80">
        <f>Dry_Matter_Content!G65</f>
        <v>0.56999999999999995</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Amnt_Deposited!G73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80">
        <f>Dry_Matter_Content!G66</f>
        <v>0.56999999999999995</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Amnt_Deposited!G74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80">
        <f>Dry_Matter_Content!G67</f>
        <v>0.56999999999999995</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Amnt_Deposited!G75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80">
        <f>Dry_Matter_Content!G68</f>
        <v>0.56999999999999995</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Amnt_Deposited!G76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80">
        <f>Dry_Matter_Content!G69</f>
        <v>0.56999999999999995</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Amnt_Deposited!G77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80">
        <f>Dry_Matter_Content!G70</f>
        <v>0.56999999999999995</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80">
        <f>Dry_Matter_Content!G71</f>
        <v>0.56999999999999995</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80">
        <f>Dry_Matter_Content!G72</f>
        <v>0.56999999999999995</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80">
        <f>Dry_Matter_Content!G73</f>
        <v>0.56999999999999995</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80">
        <f>Dry_Matter_Content!G74</f>
        <v>0.56999999999999995</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80">
        <f>Dry_Matter_Content!G75</f>
        <v>0.56999999999999995</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80">
        <f>Dry_Matter_Content!G76</f>
        <v>0.56999999999999995</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80">
        <f>Dry_Matter_Content!G77</f>
        <v>0.56999999999999995</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80">
        <f>Dry_Matter_Content!G78</f>
        <v>0.56999999999999995</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80">
        <f>Dry_Matter_Content!G79</f>
        <v>0.56999999999999995</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80">
        <f>Dry_Matter_Content!G80</f>
        <v>0.56999999999999995</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80">
        <f>Dry_Matter_Content!G81</f>
        <v>0.56999999999999995</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80">
        <f>Dry_Matter_Content!G82</f>
        <v>0.56999999999999995</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80">
        <f>Dry_Matter_Content!G83</f>
        <v>0.56999999999999995</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80">
        <f>Dry_Matter_Content!G84</f>
        <v>0.56999999999999995</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80">
        <f>Dry_Matter_Content!G85</f>
        <v>0.56999999999999995</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80">
        <f>Dry_Matter_Content!G86</f>
        <v>0.56999999999999995</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153</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Parameters!O18</f>
        <v>0.3</v>
      </c>
      <c r="O6" s="235"/>
      <c r="P6" s="236"/>
      <c r="Q6" s="227"/>
      <c r="R6" s="108" t="s">
        <v>9</v>
      </c>
      <c r="S6" s="109"/>
      <c r="T6" s="109"/>
      <c r="U6" s="113"/>
      <c r="V6" s="120" t="s">
        <v>9</v>
      </c>
      <c r="W6" s="269">
        <f>Parameters!R18</f>
        <v>0.24</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Parameters!O37</f>
        <v>7.0000000000000007E-2</v>
      </c>
      <c r="O8" s="47"/>
      <c r="P8" s="47"/>
      <c r="Q8" s="227"/>
      <c r="R8" s="108" t="s">
        <v>192</v>
      </c>
      <c r="S8" s="109"/>
      <c r="T8" s="109"/>
      <c r="U8" s="113"/>
      <c r="V8" s="120" t="s">
        <v>188</v>
      </c>
      <c r="W8" s="114">
        <f>Parameters!O37</f>
        <v>7.0000000000000007E-2</v>
      </c>
    </row>
    <row r="9" spans="1:23" ht="15.75">
      <c r="F9" s="255" t="s">
        <v>190</v>
      </c>
      <c r="G9" s="256"/>
      <c r="H9" s="256"/>
      <c r="I9" s="257"/>
      <c r="J9" s="258" t="s">
        <v>189</v>
      </c>
      <c r="K9" s="264">
        <f>LN(2)/$K$8</f>
        <v>9.9021025794277886</v>
      </c>
      <c r="O9" s="47"/>
      <c r="P9" s="47"/>
      <c r="Q9" s="227"/>
      <c r="R9" s="255" t="s">
        <v>190</v>
      </c>
      <c r="S9" s="256"/>
      <c r="T9" s="256"/>
      <c r="U9" s="257"/>
      <c r="V9" s="258" t="s">
        <v>189</v>
      </c>
      <c r="W9" s="264">
        <f>LN(2)/$W$8</f>
        <v>9.9021025794277886</v>
      </c>
    </row>
    <row r="10" spans="1:23">
      <c r="F10" s="110" t="s">
        <v>84</v>
      </c>
      <c r="G10" s="111"/>
      <c r="H10" s="111"/>
      <c r="I10" s="112"/>
      <c r="J10" s="121" t="s">
        <v>148</v>
      </c>
      <c r="K10" s="49">
        <f>EXP(-$K$8)</f>
        <v>0.93239381990594827</v>
      </c>
      <c r="O10" s="47"/>
      <c r="P10" s="47"/>
      <c r="Q10" s="227"/>
      <c r="R10" s="110" t="s">
        <v>84</v>
      </c>
      <c r="S10" s="111"/>
      <c r="T10" s="111"/>
      <c r="U10" s="112"/>
      <c r="V10" s="121" t="s">
        <v>148</v>
      </c>
      <c r="W10" s="49">
        <f>EXP(-$W$8)</f>
        <v>0.93239381990594827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78">
        <f>Dry_Matter_Content!H6</f>
        <v>0.73</v>
      </c>
      <c r="E19" s="337">
        <f>MCF!R18</f>
        <v>0.4</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337">
        <f>MCF!R18</f>
        <v>0.4</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80">
        <f>Dry_Matter_Content!H7</f>
        <v>0.73</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Amnt_Deposited!H15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80">
        <f>Dry_Matter_Content!H8</f>
        <v>0.73</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80">
        <f>Dry_Matter_Content!H9</f>
        <v>0.73</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Amnt_Deposited!H17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80">
        <f>Dry_Matter_Content!H10</f>
        <v>0.73</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Amnt_Deposited!H18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80">
        <f>Dry_Matter_Content!H11</f>
        <v>0.73</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Amnt_Deposited!H19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80">
        <f>Dry_Matter_Content!H12</f>
        <v>0.73</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Amnt_Deposited!H20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80">
        <f>Dry_Matter_Content!H13</f>
        <v>0.73</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Amnt_Deposited!H21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80">
        <f>Dry_Matter_Content!H14</f>
        <v>0.73</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Amnt_Deposited!H22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80">
        <f>Dry_Matter_Content!H15</f>
        <v>0.73</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Amnt_Deposited!H23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80">
        <f>Dry_Matter_Content!H16</f>
        <v>0.73</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Amnt_Deposited!H24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80">
        <f>Dry_Matter_Content!H17</f>
        <v>0.73</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Amnt_Deposited!H25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80">
        <f>Dry_Matter_Content!H18</f>
        <v>0.73</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Amnt_Deposited!H26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80">
        <f>Dry_Matter_Content!H19</f>
        <v>0.73</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Amnt_Deposited!H27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80">
        <f>Dry_Matter_Content!H20</f>
        <v>0.73</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Amnt_Deposited!H28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80">
        <f>Dry_Matter_Content!H21</f>
        <v>0.73</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Amnt_Deposited!H29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80">
        <f>Dry_Matter_Content!H22</f>
        <v>0.73</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Amnt_Deposited!H30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80">
        <f>Dry_Matter_Content!H23</f>
        <v>0.73</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Amnt_Deposited!H31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80">
        <f>Dry_Matter_Content!H24</f>
        <v>0.73</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Amnt_Deposited!H32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80">
        <f>Dry_Matter_Content!H25</f>
        <v>0.73</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Amnt_Deposited!H33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80">
        <f>Dry_Matter_Content!H26</f>
        <v>0.73</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Amnt_Deposited!H34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80">
        <f>Dry_Matter_Content!H27</f>
        <v>0.73</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Amnt_Deposited!H35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80">
        <f>Dry_Matter_Content!H28</f>
        <v>0.73</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Amnt_Deposited!H36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80">
        <f>Dry_Matter_Content!H29</f>
        <v>0.73</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Amnt_Deposited!H37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80">
        <f>Dry_Matter_Content!H30</f>
        <v>0.73</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Amnt_Deposited!H38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80">
        <f>Dry_Matter_Content!H31</f>
        <v>0.73</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Amnt_Deposited!H39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80">
        <f>Dry_Matter_Content!H32</f>
        <v>0.73</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Amnt_Deposited!H40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80">
        <f>Dry_Matter_Content!H33</f>
        <v>0.73</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Amnt_Deposited!H41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80">
        <f>Dry_Matter_Content!H34</f>
        <v>0.73</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Amnt_Deposited!H42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80">
        <f>Dry_Matter_Content!H35</f>
        <v>0.73</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Amnt_Deposited!H43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80">
        <f>Dry_Matter_Content!H36</f>
        <v>0.73</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Amnt_Deposited!H44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80">
        <f>Dry_Matter_Content!H37</f>
        <v>0.73</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Amnt_Deposited!H45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80">
        <f>Dry_Matter_Content!H38</f>
        <v>0.73</v>
      </c>
      <c r="E51" s="338">
        <f>MCF!R50</f>
        <v>0.4</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338">
        <f>MCF!R50</f>
        <v>0.4</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80">
        <f>Dry_Matter_Content!H39</f>
        <v>0.73</v>
      </c>
      <c r="E52" s="338">
        <f>MCF!R51</f>
        <v>0.4</v>
      </c>
      <c r="F52" s="67">
        <f t="shared" si="12"/>
        <v>0</v>
      </c>
      <c r="G52" s="67">
        <f t="shared" si="1"/>
        <v>0</v>
      </c>
      <c r="H52" s="67">
        <f t="shared" si="2"/>
        <v>0</v>
      </c>
      <c r="I52" s="67">
        <f t="shared" si="3"/>
        <v>0</v>
      </c>
      <c r="J52" s="67">
        <f t="shared" si="4"/>
        <v>0</v>
      </c>
      <c r="K52" s="100">
        <f t="shared" si="6"/>
        <v>0</v>
      </c>
      <c r="O52" s="96">
        <f>Amnt_Deposited!B47</f>
        <v>2033</v>
      </c>
      <c r="P52" s="99">
        <f>Amnt_Deposited!H47</f>
        <v>0</v>
      </c>
      <c r="Q52" s="338">
        <f>MCF!R51</f>
        <v>0.4</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80">
        <f>Dry_Matter_Content!H40</f>
        <v>0.73</v>
      </c>
      <c r="E53" s="338">
        <f>MCF!R52</f>
        <v>0.4</v>
      </c>
      <c r="F53" s="67">
        <f t="shared" si="12"/>
        <v>0</v>
      </c>
      <c r="G53" s="67">
        <f t="shared" si="1"/>
        <v>0</v>
      </c>
      <c r="H53" s="67">
        <f t="shared" si="2"/>
        <v>0</v>
      </c>
      <c r="I53" s="67">
        <f t="shared" si="3"/>
        <v>0</v>
      </c>
      <c r="J53" s="67">
        <f t="shared" si="4"/>
        <v>0</v>
      </c>
      <c r="K53" s="100">
        <f t="shared" si="6"/>
        <v>0</v>
      </c>
      <c r="O53" s="96">
        <f>Amnt_Deposited!B48</f>
        <v>2034</v>
      </c>
      <c r="P53" s="99">
        <f>Amnt_Deposited!H48</f>
        <v>0</v>
      </c>
      <c r="Q53" s="338">
        <f>MCF!R52</f>
        <v>0.4</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80">
        <f>Dry_Matter_Content!H41</f>
        <v>0.73</v>
      </c>
      <c r="E54" s="338">
        <f>MCF!R53</f>
        <v>0.4</v>
      </c>
      <c r="F54" s="67">
        <f t="shared" si="12"/>
        <v>0</v>
      </c>
      <c r="G54" s="67">
        <f t="shared" si="1"/>
        <v>0</v>
      </c>
      <c r="H54" s="67">
        <f t="shared" si="2"/>
        <v>0</v>
      </c>
      <c r="I54" s="67">
        <f t="shared" si="3"/>
        <v>0</v>
      </c>
      <c r="J54" s="67">
        <f t="shared" si="4"/>
        <v>0</v>
      </c>
      <c r="K54" s="100">
        <f t="shared" si="6"/>
        <v>0</v>
      </c>
      <c r="O54" s="96">
        <f>Amnt_Deposited!B49</f>
        <v>2035</v>
      </c>
      <c r="P54" s="99">
        <f>Amnt_Deposited!H49</f>
        <v>0</v>
      </c>
      <c r="Q54" s="338">
        <f>MCF!R53</f>
        <v>0.4</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80">
        <f>Dry_Matter_Content!H42</f>
        <v>0.73</v>
      </c>
      <c r="E55" s="338">
        <f>MCF!R54</f>
        <v>0.4</v>
      </c>
      <c r="F55" s="67">
        <f t="shared" si="12"/>
        <v>0</v>
      </c>
      <c r="G55" s="67">
        <f t="shared" si="1"/>
        <v>0</v>
      </c>
      <c r="H55" s="67">
        <f t="shared" si="2"/>
        <v>0</v>
      </c>
      <c r="I55" s="67">
        <f t="shared" si="3"/>
        <v>0</v>
      </c>
      <c r="J55" s="67">
        <f t="shared" si="4"/>
        <v>0</v>
      </c>
      <c r="K55" s="100">
        <f t="shared" si="6"/>
        <v>0</v>
      </c>
      <c r="O55" s="96">
        <f>Amnt_Deposited!B50</f>
        <v>2036</v>
      </c>
      <c r="P55" s="99">
        <f>Amnt_Deposited!H50</f>
        <v>0</v>
      </c>
      <c r="Q55" s="338">
        <f>MCF!R54</f>
        <v>0.4</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80">
        <f>Dry_Matter_Content!H43</f>
        <v>0.73</v>
      </c>
      <c r="E56" s="338">
        <f>MCF!R55</f>
        <v>0.4</v>
      </c>
      <c r="F56" s="67">
        <f t="shared" si="12"/>
        <v>0</v>
      </c>
      <c r="G56" s="67">
        <f t="shared" si="1"/>
        <v>0</v>
      </c>
      <c r="H56" s="67">
        <f t="shared" si="2"/>
        <v>0</v>
      </c>
      <c r="I56" s="67">
        <f t="shared" si="3"/>
        <v>0</v>
      </c>
      <c r="J56" s="67">
        <f t="shared" si="4"/>
        <v>0</v>
      </c>
      <c r="K56" s="100">
        <f t="shared" si="6"/>
        <v>0</v>
      </c>
      <c r="O56" s="96">
        <f>Amnt_Deposited!B51</f>
        <v>2037</v>
      </c>
      <c r="P56" s="99">
        <f>Amnt_Deposited!H51</f>
        <v>0</v>
      </c>
      <c r="Q56" s="338">
        <f>MCF!R55</f>
        <v>0.4</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80">
        <f>Dry_Matter_Content!H44</f>
        <v>0.73</v>
      </c>
      <c r="E57" s="338">
        <f>MCF!R56</f>
        <v>0.4</v>
      </c>
      <c r="F57" s="67">
        <f t="shared" si="12"/>
        <v>0</v>
      </c>
      <c r="G57" s="67">
        <f t="shared" si="1"/>
        <v>0</v>
      </c>
      <c r="H57" s="67">
        <f t="shared" si="2"/>
        <v>0</v>
      </c>
      <c r="I57" s="67">
        <f t="shared" si="3"/>
        <v>0</v>
      </c>
      <c r="J57" s="67">
        <f t="shared" si="4"/>
        <v>0</v>
      </c>
      <c r="K57" s="100">
        <f t="shared" si="6"/>
        <v>0</v>
      </c>
      <c r="O57" s="96">
        <f>Amnt_Deposited!B52</f>
        <v>2038</v>
      </c>
      <c r="P57" s="99">
        <f>Amnt_Deposited!H52</f>
        <v>0</v>
      </c>
      <c r="Q57" s="338">
        <f>MCF!R56</f>
        <v>0.4</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80">
        <f>Dry_Matter_Content!H45</f>
        <v>0.73</v>
      </c>
      <c r="E58" s="338">
        <f>MCF!R57</f>
        <v>0.4</v>
      </c>
      <c r="F58" s="67">
        <f t="shared" si="12"/>
        <v>0</v>
      </c>
      <c r="G58" s="67">
        <f t="shared" si="1"/>
        <v>0</v>
      </c>
      <c r="H58" s="67">
        <f t="shared" si="2"/>
        <v>0</v>
      </c>
      <c r="I58" s="67">
        <f t="shared" si="3"/>
        <v>0</v>
      </c>
      <c r="J58" s="67">
        <f t="shared" si="4"/>
        <v>0</v>
      </c>
      <c r="K58" s="100">
        <f t="shared" si="6"/>
        <v>0</v>
      </c>
      <c r="O58" s="96">
        <f>Amnt_Deposited!B53</f>
        <v>2039</v>
      </c>
      <c r="P58" s="99">
        <f>Amnt_Deposited!H53</f>
        <v>0</v>
      </c>
      <c r="Q58" s="338">
        <f>MCF!R57</f>
        <v>0.4</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80">
        <f>Dry_Matter_Content!H46</f>
        <v>0.73</v>
      </c>
      <c r="E59" s="338">
        <f>MCF!R58</f>
        <v>0.4</v>
      </c>
      <c r="F59" s="67">
        <f t="shared" si="12"/>
        <v>0</v>
      </c>
      <c r="G59" s="67">
        <f t="shared" si="1"/>
        <v>0</v>
      </c>
      <c r="H59" s="67">
        <f t="shared" si="2"/>
        <v>0</v>
      </c>
      <c r="I59" s="67">
        <f t="shared" si="3"/>
        <v>0</v>
      </c>
      <c r="J59" s="67">
        <f t="shared" si="4"/>
        <v>0</v>
      </c>
      <c r="K59" s="100">
        <f t="shared" si="6"/>
        <v>0</v>
      </c>
      <c r="O59" s="96">
        <f>Amnt_Deposited!B54</f>
        <v>2040</v>
      </c>
      <c r="P59" s="99">
        <f>Amnt_Deposited!H54</f>
        <v>0</v>
      </c>
      <c r="Q59" s="338">
        <f>MCF!R58</f>
        <v>0.4</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80">
        <f>Dry_Matter_Content!H47</f>
        <v>0.73</v>
      </c>
      <c r="E60" s="338">
        <f>MCF!R59</f>
        <v>0.4</v>
      </c>
      <c r="F60" s="67">
        <f t="shared" si="12"/>
        <v>0</v>
      </c>
      <c r="G60" s="67">
        <f t="shared" si="1"/>
        <v>0</v>
      </c>
      <c r="H60" s="67">
        <f t="shared" si="2"/>
        <v>0</v>
      </c>
      <c r="I60" s="67">
        <f t="shared" si="3"/>
        <v>0</v>
      </c>
      <c r="J60" s="67">
        <f t="shared" si="4"/>
        <v>0</v>
      </c>
      <c r="K60" s="100">
        <f t="shared" si="6"/>
        <v>0</v>
      </c>
      <c r="O60" s="96">
        <f>Amnt_Deposited!B55</f>
        <v>2041</v>
      </c>
      <c r="P60" s="99">
        <f>Amnt_Deposited!H55</f>
        <v>0</v>
      </c>
      <c r="Q60" s="338">
        <f>MCF!R59</f>
        <v>0.4</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80">
        <f>Dry_Matter_Content!H48</f>
        <v>0.73</v>
      </c>
      <c r="E61" s="338">
        <f>MCF!R60</f>
        <v>0.4</v>
      </c>
      <c r="F61" s="67">
        <f t="shared" si="12"/>
        <v>0</v>
      </c>
      <c r="G61" s="67">
        <f t="shared" si="1"/>
        <v>0</v>
      </c>
      <c r="H61" s="67">
        <f t="shared" si="2"/>
        <v>0</v>
      </c>
      <c r="I61" s="67">
        <f t="shared" si="3"/>
        <v>0</v>
      </c>
      <c r="J61" s="67">
        <f t="shared" si="4"/>
        <v>0</v>
      </c>
      <c r="K61" s="100">
        <f t="shared" si="6"/>
        <v>0</v>
      </c>
      <c r="O61" s="96">
        <f>Amnt_Deposited!B56</f>
        <v>2042</v>
      </c>
      <c r="P61" s="99">
        <f>Amnt_Deposited!H56</f>
        <v>0</v>
      </c>
      <c r="Q61" s="338">
        <f>MCF!R60</f>
        <v>0.4</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80">
        <f>Dry_Matter_Content!H49</f>
        <v>0.73</v>
      </c>
      <c r="E62" s="338">
        <f>MCF!R61</f>
        <v>0.4</v>
      </c>
      <c r="F62" s="67">
        <f t="shared" si="12"/>
        <v>0</v>
      </c>
      <c r="G62" s="67">
        <f t="shared" si="1"/>
        <v>0</v>
      </c>
      <c r="H62" s="67">
        <f t="shared" si="2"/>
        <v>0</v>
      </c>
      <c r="I62" s="67">
        <f t="shared" si="3"/>
        <v>0</v>
      </c>
      <c r="J62" s="67">
        <f t="shared" si="4"/>
        <v>0</v>
      </c>
      <c r="K62" s="100">
        <f t="shared" si="6"/>
        <v>0</v>
      </c>
      <c r="O62" s="96">
        <f>Amnt_Deposited!B57</f>
        <v>2043</v>
      </c>
      <c r="P62" s="99">
        <f>Amnt_Deposited!H57</f>
        <v>0</v>
      </c>
      <c r="Q62" s="338">
        <f>MCF!R61</f>
        <v>0.4</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80">
        <f>Dry_Matter_Content!H50</f>
        <v>0.73</v>
      </c>
      <c r="E63" s="338">
        <f>MCF!R62</f>
        <v>0.4</v>
      </c>
      <c r="F63" s="67">
        <f t="shared" si="12"/>
        <v>0</v>
      </c>
      <c r="G63" s="67">
        <f t="shared" si="1"/>
        <v>0</v>
      </c>
      <c r="H63" s="67">
        <f t="shared" si="2"/>
        <v>0</v>
      </c>
      <c r="I63" s="67">
        <f t="shared" si="3"/>
        <v>0</v>
      </c>
      <c r="J63" s="67">
        <f t="shared" si="4"/>
        <v>0</v>
      </c>
      <c r="K63" s="100">
        <f t="shared" si="6"/>
        <v>0</v>
      </c>
      <c r="O63" s="96">
        <f>Amnt_Deposited!B58</f>
        <v>2044</v>
      </c>
      <c r="P63" s="99">
        <f>Amnt_Deposited!H58</f>
        <v>0</v>
      </c>
      <c r="Q63" s="338">
        <f>MCF!R62</f>
        <v>0.4</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80">
        <f>Dry_Matter_Content!H51</f>
        <v>0.73</v>
      </c>
      <c r="E64" s="338">
        <f>MCF!R63</f>
        <v>0.4</v>
      </c>
      <c r="F64" s="67">
        <f t="shared" si="12"/>
        <v>0</v>
      </c>
      <c r="G64" s="67">
        <f t="shared" si="1"/>
        <v>0</v>
      </c>
      <c r="H64" s="67">
        <f t="shared" si="2"/>
        <v>0</v>
      </c>
      <c r="I64" s="67">
        <f t="shared" si="3"/>
        <v>0</v>
      </c>
      <c r="J64" s="67">
        <f t="shared" si="4"/>
        <v>0</v>
      </c>
      <c r="K64" s="100">
        <f t="shared" si="6"/>
        <v>0</v>
      </c>
      <c r="O64" s="96">
        <f>Amnt_Deposited!B59</f>
        <v>2045</v>
      </c>
      <c r="P64" s="99">
        <f>Amnt_Deposited!H59</f>
        <v>0</v>
      </c>
      <c r="Q64" s="338">
        <f>MCF!R63</f>
        <v>0.4</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80">
        <f>Dry_Matter_Content!H52</f>
        <v>0.73</v>
      </c>
      <c r="E65" s="338">
        <f>MCF!R64</f>
        <v>0.4</v>
      </c>
      <c r="F65" s="67">
        <f t="shared" si="12"/>
        <v>0</v>
      </c>
      <c r="G65" s="67">
        <f t="shared" si="1"/>
        <v>0</v>
      </c>
      <c r="H65" s="67">
        <f t="shared" si="2"/>
        <v>0</v>
      </c>
      <c r="I65" s="67">
        <f t="shared" si="3"/>
        <v>0</v>
      </c>
      <c r="J65" s="67">
        <f t="shared" si="4"/>
        <v>0</v>
      </c>
      <c r="K65" s="100">
        <f t="shared" si="6"/>
        <v>0</v>
      </c>
      <c r="O65" s="96">
        <f>Amnt_Deposited!B60</f>
        <v>2046</v>
      </c>
      <c r="P65" s="99">
        <f>Amnt_Deposited!H60</f>
        <v>0</v>
      </c>
      <c r="Q65" s="338">
        <f>MCF!R64</f>
        <v>0.4</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80">
        <f>Dry_Matter_Content!H53</f>
        <v>0.73</v>
      </c>
      <c r="E66" s="338">
        <f>MCF!R65</f>
        <v>0.4</v>
      </c>
      <c r="F66" s="67">
        <f t="shared" si="12"/>
        <v>0</v>
      </c>
      <c r="G66" s="67">
        <f t="shared" si="1"/>
        <v>0</v>
      </c>
      <c r="H66" s="67">
        <f t="shared" si="2"/>
        <v>0</v>
      </c>
      <c r="I66" s="67">
        <f t="shared" si="3"/>
        <v>0</v>
      </c>
      <c r="J66" s="67">
        <f t="shared" si="4"/>
        <v>0</v>
      </c>
      <c r="K66" s="100">
        <f t="shared" si="6"/>
        <v>0</v>
      </c>
      <c r="O66" s="96">
        <f>Amnt_Deposited!B61</f>
        <v>2047</v>
      </c>
      <c r="P66" s="99">
        <f>Amnt_Deposited!H61</f>
        <v>0</v>
      </c>
      <c r="Q66" s="338">
        <f>MCF!R65</f>
        <v>0.4</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80">
        <f>Dry_Matter_Content!H54</f>
        <v>0.73</v>
      </c>
      <c r="E67" s="338">
        <f>MCF!R66</f>
        <v>0.4</v>
      </c>
      <c r="F67" s="67">
        <f t="shared" si="12"/>
        <v>0</v>
      </c>
      <c r="G67" s="67">
        <f t="shared" si="1"/>
        <v>0</v>
      </c>
      <c r="H67" s="67">
        <f t="shared" si="2"/>
        <v>0</v>
      </c>
      <c r="I67" s="67">
        <f t="shared" si="3"/>
        <v>0</v>
      </c>
      <c r="J67" s="67">
        <f t="shared" si="4"/>
        <v>0</v>
      </c>
      <c r="K67" s="100">
        <f t="shared" si="6"/>
        <v>0</v>
      </c>
      <c r="O67" s="96">
        <f>Amnt_Deposited!B62</f>
        <v>2048</v>
      </c>
      <c r="P67" s="99">
        <f>Amnt_Deposited!H62</f>
        <v>0</v>
      </c>
      <c r="Q67" s="338">
        <f>MCF!R66</f>
        <v>0.4</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80">
        <f>Dry_Matter_Content!H55</f>
        <v>0.73</v>
      </c>
      <c r="E68" s="338">
        <f>MCF!R67</f>
        <v>0.4</v>
      </c>
      <c r="F68" s="67">
        <f t="shared" si="12"/>
        <v>0</v>
      </c>
      <c r="G68" s="67">
        <f t="shared" si="1"/>
        <v>0</v>
      </c>
      <c r="H68" s="67">
        <f t="shared" si="2"/>
        <v>0</v>
      </c>
      <c r="I68" s="67">
        <f t="shared" si="3"/>
        <v>0</v>
      </c>
      <c r="J68" s="67">
        <f t="shared" si="4"/>
        <v>0</v>
      </c>
      <c r="K68" s="100">
        <f t="shared" si="6"/>
        <v>0</v>
      </c>
      <c r="O68" s="96">
        <f>Amnt_Deposited!B63</f>
        <v>2049</v>
      </c>
      <c r="P68" s="99">
        <f>Amnt_Deposited!H63</f>
        <v>0</v>
      </c>
      <c r="Q68" s="338">
        <f>MCF!R67</f>
        <v>0.4</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80">
        <f>Dry_Matter_Content!H56</f>
        <v>0.73</v>
      </c>
      <c r="E69" s="338">
        <f>MCF!R68</f>
        <v>0.4</v>
      </c>
      <c r="F69" s="67">
        <f t="shared" si="12"/>
        <v>0</v>
      </c>
      <c r="G69" s="67">
        <f t="shared" si="1"/>
        <v>0</v>
      </c>
      <c r="H69" s="67">
        <f t="shared" si="2"/>
        <v>0</v>
      </c>
      <c r="I69" s="67">
        <f t="shared" si="3"/>
        <v>0</v>
      </c>
      <c r="J69" s="67">
        <f t="shared" si="4"/>
        <v>0</v>
      </c>
      <c r="K69" s="100">
        <f t="shared" si="6"/>
        <v>0</v>
      </c>
      <c r="O69" s="96">
        <f>Amnt_Deposited!B64</f>
        <v>2050</v>
      </c>
      <c r="P69" s="99">
        <f>Amnt_Deposited!H64</f>
        <v>0</v>
      </c>
      <c r="Q69" s="338">
        <f>MCF!R68</f>
        <v>0.4</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80">
        <f>Dry_Matter_Content!H57</f>
        <v>0.73</v>
      </c>
      <c r="E70" s="338">
        <f>MCF!R69</f>
        <v>0.4</v>
      </c>
      <c r="F70" s="67">
        <f t="shared" si="12"/>
        <v>0</v>
      </c>
      <c r="G70" s="67">
        <f t="shared" si="1"/>
        <v>0</v>
      </c>
      <c r="H70" s="67">
        <f t="shared" si="2"/>
        <v>0</v>
      </c>
      <c r="I70" s="67">
        <f t="shared" si="3"/>
        <v>0</v>
      </c>
      <c r="J70" s="67">
        <f t="shared" si="4"/>
        <v>0</v>
      </c>
      <c r="K70" s="100">
        <f t="shared" si="6"/>
        <v>0</v>
      </c>
      <c r="O70" s="96">
        <f>Amnt_Deposited!B65</f>
        <v>2051</v>
      </c>
      <c r="P70" s="99">
        <f>Amnt_Deposited!H65</f>
        <v>0</v>
      </c>
      <c r="Q70" s="338">
        <f>MCF!R69</f>
        <v>0.4</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80">
        <f>Dry_Matter_Content!H58</f>
        <v>0.73</v>
      </c>
      <c r="E71" s="338">
        <f>MCF!R70</f>
        <v>0.4</v>
      </c>
      <c r="F71" s="67">
        <f t="shared" si="12"/>
        <v>0</v>
      </c>
      <c r="G71" s="67">
        <f t="shared" si="1"/>
        <v>0</v>
      </c>
      <c r="H71" s="67">
        <f t="shared" si="2"/>
        <v>0</v>
      </c>
      <c r="I71" s="67">
        <f t="shared" si="3"/>
        <v>0</v>
      </c>
      <c r="J71" s="67">
        <f t="shared" si="4"/>
        <v>0</v>
      </c>
      <c r="K71" s="100">
        <f t="shared" si="6"/>
        <v>0</v>
      </c>
      <c r="O71" s="96">
        <f>Amnt_Deposited!B66</f>
        <v>2052</v>
      </c>
      <c r="P71" s="99">
        <f>Amnt_Deposited!H66</f>
        <v>0</v>
      </c>
      <c r="Q71" s="338">
        <f>MCF!R70</f>
        <v>0.4</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80">
        <f>Dry_Matter_Content!H59</f>
        <v>0.73</v>
      </c>
      <c r="E72" s="338">
        <f>MCF!R71</f>
        <v>0.4</v>
      </c>
      <c r="F72" s="67">
        <f t="shared" si="12"/>
        <v>0</v>
      </c>
      <c r="G72" s="67">
        <f t="shared" si="1"/>
        <v>0</v>
      </c>
      <c r="H72" s="67">
        <f t="shared" si="2"/>
        <v>0</v>
      </c>
      <c r="I72" s="67">
        <f t="shared" si="3"/>
        <v>0</v>
      </c>
      <c r="J72" s="67">
        <f t="shared" si="4"/>
        <v>0</v>
      </c>
      <c r="K72" s="100">
        <f t="shared" si="6"/>
        <v>0</v>
      </c>
      <c r="O72" s="96">
        <f>Amnt_Deposited!B67</f>
        <v>2053</v>
      </c>
      <c r="P72" s="99">
        <f>Amnt_Deposited!H67</f>
        <v>0</v>
      </c>
      <c r="Q72" s="338">
        <f>MCF!R71</f>
        <v>0.4</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80">
        <f>Dry_Matter_Content!H60</f>
        <v>0.73</v>
      </c>
      <c r="E73" s="338">
        <f>MCF!R72</f>
        <v>0.4</v>
      </c>
      <c r="F73" s="67">
        <f t="shared" si="12"/>
        <v>0</v>
      </c>
      <c r="G73" s="67">
        <f t="shared" si="1"/>
        <v>0</v>
      </c>
      <c r="H73" s="67">
        <f t="shared" si="2"/>
        <v>0</v>
      </c>
      <c r="I73" s="67">
        <f t="shared" si="3"/>
        <v>0</v>
      </c>
      <c r="J73" s="67">
        <f t="shared" si="4"/>
        <v>0</v>
      </c>
      <c r="K73" s="100">
        <f t="shared" si="6"/>
        <v>0</v>
      </c>
      <c r="O73" s="96">
        <f>Amnt_Deposited!B68</f>
        <v>2054</v>
      </c>
      <c r="P73" s="99">
        <f>Amnt_Deposited!H68</f>
        <v>0</v>
      </c>
      <c r="Q73" s="338">
        <f>MCF!R72</f>
        <v>0.4</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80">
        <f>Dry_Matter_Content!H61</f>
        <v>0.73</v>
      </c>
      <c r="E74" s="338">
        <f>MCF!R73</f>
        <v>0.4</v>
      </c>
      <c r="F74" s="67">
        <f t="shared" si="12"/>
        <v>0</v>
      </c>
      <c r="G74" s="67">
        <f t="shared" si="1"/>
        <v>0</v>
      </c>
      <c r="H74" s="67">
        <f t="shared" si="2"/>
        <v>0</v>
      </c>
      <c r="I74" s="67">
        <f t="shared" si="3"/>
        <v>0</v>
      </c>
      <c r="J74" s="67">
        <f t="shared" si="4"/>
        <v>0</v>
      </c>
      <c r="K74" s="100">
        <f t="shared" si="6"/>
        <v>0</v>
      </c>
      <c r="O74" s="96">
        <f>Amnt_Deposited!B69</f>
        <v>2055</v>
      </c>
      <c r="P74" s="99">
        <f>Amnt_Deposited!H69</f>
        <v>0</v>
      </c>
      <c r="Q74" s="338">
        <f>MCF!R73</f>
        <v>0.4</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80">
        <f>Dry_Matter_Content!H62</f>
        <v>0.73</v>
      </c>
      <c r="E75" s="338">
        <f>MCF!R74</f>
        <v>0.4</v>
      </c>
      <c r="F75" s="67">
        <f t="shared" si="12"/>
        <v>0</v>
      </c>
      <c r="G75" s="67">
        <f t="shared" si="1"/>
        <v>0</v>
      </c>
      <c r="H75" s="67">
        <f t="shared" si="2"/>
        <v>0</v>
      </c>
      <c r="I75" s="67">
        <f t="shared" si="3"/>
        <v>0</v>
      </c>
      <c r="J75" s="67">
        <f t="shared" si="4"/>
        <v>0</v>
      </c>
      <c r="K75" s="100">
        <f t="shared" si="6"/>
        <v>0</v>
      </c>
      <c r="O75" s="96">
        <f>Amnt_Deposited!B70</f>
        <v>2056</v>
      </c>
      <c r="P75" s="99">
        <f>Amnt_Deposited!H70</f>
        <v>0</v>
      </c>
      <c r="Q75" s="338">
        <f>MCF!R74</f>
        <v>0.4</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80">
        <f>Dry_Matter_Content!H63</f>
        <v>0.73</v>
      </c>
      <c r="E76" s="338">
        <f>MCF!R75</f>
        <v>0.4</v>
      </c>
      <c r="F76" s="67">
        <f t="shared" si="12"/>
        <v>0</v>
      </c>
      <c r="G76" s="67">
        <f t="shared" si="1"/>
        <v>0</v>
      </c>
      <c r="H76" s="67">
        <f t="shared" si="2"/>
        <v>0</v>
      </c>
      <c r="I76" s="67">
        <f t="shared" si="3"/>
        <v>0</v>
      </c>
      <c r="J76" s="67">
        <f t="shared" si="4"/>
        <v>0</v>
      </c>
      <c r="K76" s="100">
        <f t="shared" si="6"/>
        <v>0</v>
      </c>
      <c r="O76" s="96">
        <f>Amnt_Deposited!B71</f>
        <v>2057</v>
      </c>
      <c r="P76" s="99">
        <f>Amnt_Deposited!H71</f>
        <v>0</v>
      </c>
      <c r="Q76" s="338">
        <f>MCF!R75</f>
        <v>0.4</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80">
        <f>Dry_Matter_Content!H64</f>
        <v>0.73</v>
      </c>
      <c r="E77" s="338">
        <f>MCF!R76</f>
        <v>0.4</v>
      </c>
      <c r="F77" s="67">
        <f t="shared" si="12"/>
        <v>0</v>
      </c>
      <c r="G77" s="67">
        <f t="shared" si="1"/>
        <v>0</v>
      </c>
      <c r="H77" s="67">
        <f t="shared" si="2"/>
        <v>0</v>
      </c>
      <c r="I77" s="67">
        <f t="shared" si="3"/>
        <v>0</v>
      </c>
      <c r="J77" s="67">
        <f t="shared" si="4"/>
        <v>0</v>
      </c>
      <c r="K77" s="100">
        <f t="shared" si="6"/>
        <v>0</v>
      </c>
      <c r="O77" s="96">
        <f>Amnt_Deposited!B72</f>
        <v>2058</v>
      </c>
      <c r="P77" s="99">
        <f>Amnt_Deposited!H72</f>
        <v>0</v>
      </c>
      <c r="Q77" s="338">
        <f>MCF!R76</f>
        <v>0.4</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80">
        <f>Dry_Matter_Content!H65</f>
        <v>0.73</v>
      </c>
      <c r="E78" s="338">
        <f>MCF!R77</f>
        <v>0.4</v>
      </c>
      <c r="F78" s="67">
        <f t="shared" si="12"/>
        <v>0</v>
      </c>
      <c r="G78" s="67">
        <f t="shared" si="1"/>
        <v>0</v>
      </c>
      <c r="H78" s="67">
        <f t="shared" si="2"/>
        <v>0</v>
      </c>
      <c r="I78" s="67">
        <f t="shared" si="3"/>
        <v>0</v>
      </c>
      <c r="J78" s="67">
        <f t="shared" si="4"/>
        <v>0</v>
      </c>
      <c r="K78" s="100">
        <f t="shared" si="6"/>
        <v>0</v>
      </c>
      <c r="O78" s="96">
        <f>Amnt_Deposited!B73</f>
        <v>2059</v>
      </c>
      <c r="P78" s="99">
        <f>Amnt_Deposited!H73</f>
        <v>0</v>
      </c>
      <c r="Q78" s="338">
        <f>MCF!R77</f>
        <v>0.4</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80">
        <f>Dry_Matter_Content!H66</f>
        <v>0.73</v>
      </c>
      <c r="E79" s="338">
        <f>MCF!R78</f>
        <v>0.4</v>
      </c>
      <c r="F79" s="67">
        <f t="shared" si="12"/>
        <v>0</v>
      </c>
      <c r="G79" s="67">
        <f t="shared" si="1"/>
        <v>0</v>
      </c>
      <c r="H79" s="67">
        <f t="shared" si="2"/>
        <v>0</v>
      </c>
      <c r="I79" s="67">
        <f t="shared" si="3"/>
        <v>0</v>
      </c>
      <c r="J79" s="67">
        <f t="shared" si="4"/>
        <v>0</v>
      </c>
      <c r="K79" s="100">
        <f t="shared" si="6"/>
        <v>0</v>
      </c>
      <c r="O79" s="96">
        <f>Amnt_Deposited!B74</f>
        <v>2060</v>
      </c>
      <c r="P79" s="99">
        <f>Amnt_Deposited!H74</f>
        <v>0</v>
      </c>
      <c r="Q79" s="338">
        <f>MCF!R78</f>
        <v>0.4</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80">
        <f>Dry_Matter_Content!H67</f>
        <v>0.73</v>
      </c>
      <c r="E80" s="338">
        <f>MCF!R79</f>
        <v>0.4</v>
      </c>
      <c r="F80" s="67">
        <f t="shared" si="12"/>
        <v>0</v>
      </c>
      <c r="G80" s="67">
        <f t="shared" si="1"/>
        <v>0</v>
      </c>
      <c r="H80" s="67">
        <f t="shared" si="2"/>
        <v>0</v>
      </c>
      <c r="I80" s="67">
        <f t="shared" si="3"/>
        <v>0</v>
      </c>
      <c r="J80" s="67">
        <f t="shared" si="4"/>
        <v>0</v>
      </c>
      <c r="K80" s="100">
        <f t="shared" si="6"/>
        <v>0</v>
      </c>
      <c r="O80" s="96">
        <f>Amnt_Deposited!B75</f>
        <v>2061</v>
      </c>
      <c r="P80" s="99">
        <f>Amnt_Deposited!H75</f>
        <v>0</v>
      </c>
      <c r="Q80" s="338">
        <f>MCF!R79</f>
        <v>0.4</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80">
        <f>Dry_Matter_Content!H68</f>
        <v>0.73</v>
      </c>
      <c r="E81" s="338">
        <f>MCF!R80</f>
        <v>0.4</v>
      </c>
      <c r="F81" s="67">
        <f t="shared" si="12"/>
        <v>0</v>
      </c>
      <c r="G81" s="67">
        <f t="shared" si="1"/>
        <v>0</v>
      </c>
      <c r="H81" s="67">
        <f t="shared" si="2"/>
        <v>0</v>
      </c>
      <c r="I81" s="67">
        <f t="shared" si="3"/>
        <v>0</v>
      </c>
      <c r="J81" s="67">
        <f t="shared" si="4"/>
        <v>0</v>
      </c>
      <c r="K81" s="100">
        <f t="shared" si="6"/>
        <v>0</v>
      </c>
      <c r="O81" s="96">
        <f>Amnt_Deposited!B76</f>
        <v>2062</v>
      </c>
      <c r="P81" s="99">
        <f>Amnt_Deposited!H76</f>
        <v>0</v>
      </c>
      <c r="Q81" s="338">
        <f>MCF!R80</f>
        <v>0.4</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80">
        <f>Dry_Matter_Content!H69</f>
        <v>0.73</v>
      </c>
      <c r="E82" s="338">
        <f>MCF!R81</f>
        <v>0.4</v>
      </c>
      <c r="F82" s="67">
        <f t="shared" si="12"/>
        <v>0</v>
      </c>
      <c r="G82" s="67">
        <f t="shared" si="1"/>
        <v>0</v>
      </c>
      <c r="H82" s="67">
        <f t="shared" si="2"/>
        <v>0</v>
      </c>
      <c r="I82" s="67">
        <f t="shared" si="3"/>
        <v>0</v>
      </c>
      <c r="J82" s="67">
        <f t="shared" si="4"/>
        <v>0</v>
      </c>
      <c r="K82" s="100">
        <f t="shared" si="6"/>
        <v>0</v>
      </c>
      <c r="O82" s="96">
        <f>Amnt_Deposited!B77</f>
        <v>2063</v>
      </c>
      <c r="P82" s="99">
        <f>Amnt_Deposited!H77</f>
        <v>0</v>
      </c>
      <c r="Q82" s="338">
        <f>MCF!R81</f>
        <v>0.4</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80">
        <f>Dry_Matter_Content!H70</f>
        <v>0.73</v>
      </c>
      <c r="E83" s="338">
        <f>MCF!R82</f>
        <v>0.4</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338">
        <f>MCF!R82</f>
        <v>0.4</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80">
        <f>Dry_Matter_Content!H71</f>
        <v>0.73</v>
      </c>
      <c r="E84" s="338">
        <f>MCF!R83</f>
        <v>0.4</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338">
        <f>MCF!R83</f>
        <v>0.4</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80">
        <f>Dry_Matter_Content!H72</f>
        <v>0.73</v>
      </c>
      <c r="E85" s="338">
        <f>MCF!R84</f>
        <v>0.4</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338">
        <f>MCF!R84</f>
        <v>0.4</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80">
        <f>Dry_Matter_Content!H73</f>
        <v>0.73</v>
      </c>
      <c r="E86" s="338">
        <f>MCF!R85</f>
        <v>0.4</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338">
        <f>MCF!R85</f>
        <v>0.4</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80">
        <f>Dry_Matter_Content!H74</f>
        <v>0.73</v>
      </c>
      <c r="E87" s="338">
        <f>MCF!R86</f>
        <v>0.4</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338">
        <f>MCF!R86</f>
        <v>0.4</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80">
        <f>Dry_Matter_Content!H75</f>
        <v>0.73</v>
      </c>
      <c r="E88" s="338">
        <f>MCF!R87</f>
        <v>0.4</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338">
        <f>MCF!R87</f>
        <v>0.4</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80">
        <f>Dry_Matter_Content!H76</f>
        <v>0.73</v>
      </c>
      <c r="E89" s="338">
        <f>MCF!R88</f>
        <v>0.4</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338">
        <f>MCF!R88</f>
        <v>0.4</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80">
        <f>Dry_Matter_Content!H77</f>
        <v>0.73</v>
      </c>
      <c r="E90" s="338">
        <f>MCF!R89</f>
        <v>0.4</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338">
        <f>MCF!R89</f>
        <v>0.4</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80">
        <f>Dry_Matter_Content!H78</f>
        <v>0.73</v>
      </c>
      <c r="E91" s="338">
        <f>MCF!R90</f>
        <v>0.4</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338">
        <f>MCF!R90</f>
        <v>0.4</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80">
        <f>Dry_Matter_Content!H79</f>
        <v>0.73</v>
      </c>
      <c r="E92" s="338">
        <f>MCF!R91</f>
        <v>0.4</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338">
        <f>MCF!R91</f>
        <v>0.4</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80">
        <f>Dry_Matter_Content!H80</f>
        <v>0.73</v>
      </c>
      <c r="E93" s="338">
        <f>MCF!R92</f>
        <v>0.4</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338">
        <f>MCF!R92</f>
        <v>0.4</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80">
        <f>Dry_Matter_Content!H81</f>
        <v>0.73</v>
      </c>
      <c r="E94" s="338">
        <f>MCF!R93</f>
        <v>0.4</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338">
        <f>MCF!R93</f>
        <v>0.4</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80">
        <f>Dry_Matter_Content!H82</f>
        <v>0.73</v>
      </c>
      <c r="E95" s="338">
        <f>MCF!R94</f>
        <v>0.4</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338">
        <f>MCF!R94</f>
        <v>0.4</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80">
        <f>Dry_Matter_Content!H83</f>
        <v>0.73</v>
      </c>
      <c r="E96" s="338">
        <f>MCF!R95</f>
        <v>0.4</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338">
        <f>MCF!R95</f>
        <v>0.4</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80">
        <f>Dry_Matter_Content!H84</f>
        <v>0.73</v>
      </c>
      <c r="E97" s="338">
        <f>MCF!R96</f>
        <v>0.4</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338">
        <f>MCF!R96</f>
        <v>0.4</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80">
        <f>Dry_Matter_Content!H85</f>
        <v>0.73</v>
      </c>
      <c r="E98" s="338">
        <f>MCF!R97</f>
        <v>0.4</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338">
        <f>MCF!R97</f>
        <v>0.4</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81">
        <f>Dry_Matter_Content!H86</f>
        <v>0.73</v>
      </c>
      <c r="E99" s="339">
        <f>MCF!R98</f>
        <v>0.4</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339">
        <f>MCF!R98</f>
        <v>0.4</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310</v>
      </c>
      <c r="C2" s="229"/>
      <c r="D2" s="229"/>
      <c r="E2" s="230"/>
      <c r="F2" s="231"/>
      <c r="G2" s="231"/>
      <c r="H2" s="231"/>
      <c r="I2" s="231"/>
      <c r="J2" s="231"/>
      <c r="K2" s="231"/>
    </row>
    <row r="3" spans="1:23" ht="15">
      <c r="B3" s="251"/>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Parameters!O27</f>
        <v>0</v>
      </c>
      <c r="O6" s="235"/>
      <c r="P6" s="236"/>
      <c r="Q6" s="227"/>
      <c r="R6" s="108" t="s">
        <v>9</v>
      </c>
      <c r="S6" s="109"/>
      <c r="T6" s="109"/>
      <c r="U6" s="113"/>
      <c r="V6" s="120" t="s">
        <v>9</v>
      </c>
      <c r="W6" s="269">
        <f>Parameters!R27</f>
        <v>0.05</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Parameters!O46</f>
        <v>0.4</v>
      </c>
      <c r="O8" s="47"/>
      <c r="P8" s="47"/>
      <c r="Q8" s="227"/>
      <c r="R8" s="108" t="s">
        <v>192</v>
      </c>
      <c r="S8" s="109"/>
      <c r="T8" s="109"/>
      <c r="U8" s="113"/>
      <c r="V8" s="120" t="s">
        <v>188</v>
      </c>
      <c r="W8" s="114">
        <f>Parameters!O46</f>
        <v>0.4</v>
      </c>
    </row>
    <row r="9" spans="1:23" ht="15.75">
      <c r="F9" s="255" t="s">
        <v>190</v>
      </c>
      <c r="G9" s="256"/>
      <c r="H9" s="256"/>
      <c r="I9" s="257"/>
      <c r="J9" s="258" t="s">
        <v>189</v>
      </c>
      <c r="K9" s="264">
        <f>LN(2)/$K$8</f>
        <v>1.732867951399863</v>
      </c>
      <c r="O9" s="47"/>
      <c r="P9" s="47"/>
      <c r="Q9" s="227"/>
      <c r="R9" s="255" t="s">
        <v>190</v>
      </c>
      <c r="S9" s="256"/>
      <c r="T9" s="256"/>
      <c r="U9" s="257"/>
      <c r="V9" s="258" t="s">
        <v>189</v>
      </c>
      <c r="W9" s="264">
        <f>LN(2)/$W$8</f>
        <v>1.732867951399863</v>
      </c>
    </row>
    <row r="10" spans="1:23">
      <c r="F10" s="110" t="s">
        <v>84</v>
      </c>
      <c r="G10" s="111"/>
      <c r="H10" s="111"/>
      <c r="I10" s="112"/>
      <c r="J10" s="121" t="s">
        <v>148</v>
      </c>
      <c r="K10" s="49">
        <f>EXP(-$K$8)</f>
        <v>0.67032004603563933</v>
      </c>
      <c r="O10" s="47"/>
      <c r="P10" s="47"/>
      <c r="Q10" s="227"/>
      <c r="R10" s="110" t="s">
        <v>84</v>
      </c>
      <c r="S10" s="111"/>
      <c r="T10" s="111"/>
      <c r="U10" s="112"/>
      <c r="V10" s="121" t="s">
        <v>148</v>
      </c>
      <c r="W10" s="49">
        <f>EXP(-$W$8)</f>
        <v>0.67032004603563933</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78">
        <f>Dry_Matter_Content!N6</f>
        <v>0</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80">
        <f>Dry_Matter_Content!N7</f>
        <v>0</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Amnt_Deposited!N15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80">
        <f>Dry_Matter_Content!N8</f>
        <v>0</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80">
        <f>Dry_Matter_Content!N9</f>
        <v>0</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Amnt_Deposited!N17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80">
        <f>Dry_Matter_Content!N10</f>
        <v>0</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Amnt_Deposited!N18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80">
        <f>Dry_Matter_Content!N11</f>
        <v>0</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Amnt_Deposited!N19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80">
        <f>Dry_Matter_Content!N12</f>
        <v>0</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Amnt_Deposited!N20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80">
        <f>Dry_Matter_Content!N13</f>
        <v>0</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Amnt_Deposited!N21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80">
        <f>Dry_Matter_Content!N14</f>
        <v>0</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Amnt_Deposited!N22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80">
        <f>Dry_Matter_Content!N15</f>
        <v>0</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Amnt_Deposited!N23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80">
        <f>Dry_Matter_Content!N16</f>
        <v>0</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Amnt_Deposited!N24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80">
        <f>Dry_Matter_Content!N17</f>
        <v>0</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Amnt_Deposited!N25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80">
        <f>Dry_Matter_Content!N18</f>
        <v>0</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Amnt_Deposited!N26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80">
        <f>Dry_Matter_Content!N19</f>
        <v>0</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Amnt_Deposited!N27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80">
        <f>Dry_Matter_Content!N20</f>
        <v>0</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Amnt_Deposited!N28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80">
        <f>Dry_Matter_Content!N21</f>
        <v>0</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Amnt_Deposited!N29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80">
        <f>Dry_Matter_Content!N22</f>
        <v>0</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Amnt_Deposited!N30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80">
        <f>Dry_Matter_Content!N23</f>
        <v>0</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Amnt_Deposited!N31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80">
        <f>Dry_Matter_Content!N24</f>
        <v>0</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Amnt_Deposited!N32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80">
        <f>Dry_Matter_Content!N25</f>
        <v>0</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Amnt_Deposited!N33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80">
        <f>Dry_Matter_Content!N26</f>
        <v>0</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Amnt_Deposited!N34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80">
        <f>Dry_Matter_Content!N27</f>
        <v>0</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Amnt_Deposited!N35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80">
        <f>Dry_Matter_Content!N28</f>
        <v>0</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Amnt_Deposited!N36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80">
        <f>Dry_Matter_Content!N29</f>
        <v>0</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Amnt_Deposited!N37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80">
        <f>Dry_Matter_Content!N30</f>
        <v>0</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Amnt_Deposited!N38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80">
        <f>Dry_Matter_Content!N31</f>
        <v>0</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Amnt_Deposited!N39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80">
        <f>Dry_Matter_Content!N32</f>
        <v>0</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Amnt_Deposited!N40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80">
        <f>Dry_Matter_Content!N33</f>
        <v>0</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Amnt_Deposited!N41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80">
        <f>Dry_Matter_Content!N34</f>
        <v>0</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Amnt_Deposited!N42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80">
        <f>Dry_Matter_Content!N35</f>
        <v>0</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Amnt_Deposited!N43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80">
        <f>Dry_Matter_Content!N36</f>
        <v>0</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Amnt_Deposited!N44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80">
        <f>Dry_Matter_Content!N37</f>
        <v>0</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Amnt_Deposited!N45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80">
        <f>Dry_Matter_Content!N38</f>
        <v>0</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Amnt_Deposited!N46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80">
        <f>Dry_Matter_Content!N39</f>
        <v>0</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Amnt_Deposited!N47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80">
        <f>Dry_Matter_Content!N40</f>
        <v>0</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Amnt_Deposited!N48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80">
        <f>Dry_Matter_Content!N41</f>
        <v>0</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Amnt_Deposited!N49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80">
        <f>Dry_Matter_Content!N42</f>
        <v>0</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Amnt_Deposited!N50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80">
        <f>Dry_Matter_Content!N43</f>
        <v>0</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Amnt_Deposited!N51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80">
        <f>Dry_Matter_Content!N44</f>
        <v>0</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Amnt_Deposited!N52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80">
        <f>Dry_Matter_Content!N45</f>
        <v>0</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Amnt_Deposited!N53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80">
        <f>Dry_Matter_Content!N46</f>
        <v>0</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Amnt_Deposited!N54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80">
        <f>Dry_Matter_Content!N47</f>
        <v>0</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Amnt_Deposited!N55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80">
        <f>Dry_Matter_Content!N48</f>
        <v>0</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Amnt_Deposited!N56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80">
        <f>Dry_Matter_Content!N49</f>
        <v>0</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Amnt_Deposited!N57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80">
        <f>Dry_Matter_Content!N50</f>
        <v>0</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Amnt_Deposited!N58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80">
        <f>Dry_Matter_Content!N51</f>
        <v>0</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Amnt_Deposited!N59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80">
        <f>Dry_Matter_Content!N52</f>
        <v>0</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Amnt_Deposited!N60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80">
        <f>Dry_Matter_Content!N53</f>
        <v>0</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Amnt_Deposited!N61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80">
        <f>Dry_Matter_Content!N54</f>
        <v>0</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Amnt_Deposited!N62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80">
        <f>Dry_Matter_Content!N55</f>
        <v>0</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Amnt_Deposited!N63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80">
        <f>Dry_Matter_Content!N56</f>
        <v>0</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Amnt_Deposited!N64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80">
        <f>Dry_Matter_Content!N57</f>
        <v>0</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Amnt_Deposited!N65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80">
        <f>Dry_Matter_Content!N58</f>
        <v>0</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Amnt_Deposited!N66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80">
        <f>Dry_Matter_Content!N59</f>
        <v>0</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Amnt_Deposited!N67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80">
        <f>Dry_Matter_Content!N60</f>
        <v>0</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Amnt_Deposited!N68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80">
        <f>Dry_Matter_Content!N61</f>
        <v>0</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Amnt_Deposited!N69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80">
        <f>Dry_Matter_Content!N62</f>
        <v>0</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Amnt_Deposited!N70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80">
        <f>Dry_Matter_Content!N63</f>
        <v>0</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Amnt_Deposited!N71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80">
        <f>Dry_Matter_Content!N64</f>
        <v>0</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Amnt_Deposited!N72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80">
        <f>Dry_Matter_Content!N65</f>
        <v>0</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Amnt_Deposited!N73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80">
        <f>Dry_Matter_Content!N66</f>
        <v>0</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Amnt_Deposited!N74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80">
        <f>Dry_Matter_Content!N67</f>
        <v>0</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Amnt_Deposited!N75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80">
        <f>Dry_Matter_Content!N68</f>
        <v>0</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Amnt_Deposited!N76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80">
        <f>Dry_Matter_Content!N69</f>
        <v>0</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Amnt_Deposited!N77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80">
        <f>Dry_Matter_Content!N70</f>
        <v>0</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80">
        <f>Dry_Matter_Content!N71</f>
        <v>0</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80">
        <f>Dry_Matter_Content!N72</f>
        <v>0</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80">
        <f>Dry_Matter_Content!N73</f>
        <v>0</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80">
        <f>Dry_Matter_Content!N74</f>
        <v>0</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80">
        <f>Dry_Matter_Content!N75</f>
        <v>0</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80">
        <f>Dry_Matter_Content!N76</f>
        <v>0</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80">
        <f>Dry_Matter_Content!N77</f>
        <v>0</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80">
        <f>Dry_Matter_Content!N78</f>
        <v>0</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80">
        <f>Dry_Matter_Content!N79</f>
        <v>0</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80">
        <f>Dry_Matter_Content!N80</f>
        <v>0</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80">
        <f>Dry_Matter_Content!N81</f>
        <v>0</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80">
        <f>Dry_Matter_Content!N82</f>
        <v>0</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80">
        <f>Dry_Matter_Content!N83</f>
        <v>0</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80">
        <f>Dry_Matter_Content!N84</f>
        <v>0</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80">
        <f>Dry_Matter_Content!N85</f>
        <v>0</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81">
        <f>Dry_Matter_Content!N86</f>
        <v>0</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D3" sqref="D3:F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93" t="s">
        <v>337</v>
      </c>
      <c r="E2" s="794"/>
      <c r="F2" s="795"/>
    </row>
    <row r="3" spans="1:18" ht="16.5" thickBot="1">
      <c r="B3" s="12"/>
      <c r="C3" s="5" t="s">
        <v>276</v>
      </c>
      <c r="D3" s="793" t="s">
        <v>337</v>
      </c>
      <c r="E3" s="794"/>
      <c r="F3" s="795"/>
    </row>
    <row r="4" spans="1:18" ht="16.5" thickBot="1">
      <c r="B4" s="12"/>
      <c r="C4" s="5" t="s">
        <v>30</v>
      </c>
      <c r="D4" s="793" t="s">
        <v>266</v>
      </c>
      <c r="E4" s="794"/>
      <c r="F4" s="795"/>
    </row>
    <row r="5" spans="1:18" ht="16.5" thickBot="1">
      <c r="B5" s="12"/>
      <c r="C5" s="5" t="s">
        <v>117</v>
      </c>
      <c r="D5" s="796"/>
      <c r="E5" s="797"/>
      <c r="F5" s="798"/>
    </row>
    <row r="6" spans="1:18">
      <c r="B6" s="13" t="s">
        <v>201</v>
      </c>
    </row>
    <row r="7" spans="1:18">
      <c r="B7" s="20" t="s">
        <v>31</v>
      </c>
    </row>
    <row r="8" spans="1:18" ht="13.5" thickBot="1">
      <c r="B8" s="20"/>
    </row>
    <row r="9" spans="1:18" ht="12.75" customHeight="1">
      <c r="A9" s="1"/>
      <c r="C9" s="799" t="s">
        <v>18</v>
      </c>
      <c r="D9" s="800"/>
      <c r="E9" s="806" t="s">
        <v>100</v>
      </c>
      <c r="F9" s="807"/>
      <c r="H9" s="799" t="s">
        <v>18</v>
      </c>
      <c r="I9" s="800"/>
      <c r="J9" s="806" t="s">
        <v>100</v>
      </c>
      <c r="K9" s="807"/>
    </row>
    <row r="10" spans="1:18" ht="13.5" thickBot="1">
      <c r="C10" s="123"/>
      <c r="D10" s="124"/>
      <c r="E10" s="250" t="s">
        <v>13</v>
      </c>
      <c r="F10" s="153" t="s">
        <v>19</v>
      </c>
      <c r="H10" s="123"/>
      <c r="I10" s="124"/>
      <c r="J10" s="250" t="s">
        <v>13</v>
      </c>
      <c r="K10" s="153" t="s">
        <v>19</v>
      </c>
      <c r="L10" s="413" t="s">
        <v>211</v>
      </c>
    </row>
    <row r="11" spans="1:18" ht="13.5" thickBot="1">
      <c r="B11" s="35" t="s">
        <v>90</v>
      </c>
      <c r="C11" s="125"/>
      <c r="D11" s="126">
        <v>1950</v>
      </c>
      <c r="E11" s="128">
        <v>2000</v>
      </c>
      <c r="F11" s="127"/>
      <c r="H11" s="125"/>
      <c r="I11" s="126">
        <f>D11</f>
        <v>1950</v>
      </c>
      <c r="J11" s="128">
        <f>year</f>
        <v>2000</v>
      </c>
      <c r="K11" s="127"/>
    </row>
    <row r="12" spans="1:18" ht="13.5" thickBot="1">
      <c r="B12" s="22"/>
      <c r="C12" s="804" t="s">
        <v>250</v>
      </c>
      <c r="D12" s="805"/>
      <c r="E12" s="804" t="s">
        <v>250</v>
      </c>
      <c r="F12" s="805"/>
      <c r="H12" s="804" t="s">
        <v>251</v>
      </c>
      <c r="I12" s="805"/>
      <c r="J12" s="804" t="s">
        <v>251</v>
      </c>
      <c r="K12" s="805"/>
      <c r="N12" t="s">
        <v>132</v>
      </c>
    </row>
    <row r="13" spans="1:18" ht="13.5" thickBot="1">
      <c r="B13" s="35" t="s">
        <v>131</v>
      </c>
      <c r="C13" s="349"/>
      <c r="D13" s="350"/>
      <c r="E13" s="351"/>
      <c r="F13" s="36"/>
      <c r="H13" s="349"/>
      <c r="I13" s="350"/>
      <c r="J13" s="351"/>
      <c r="K13" s="36"/>
    </row>
    <row r="14" spans="1:18" ht="13.5" thickBot="1">
      <c r="B14" s="35" t="s">
        <v>249</v>
      </c>
      <c r="C14" s="352" t="s">
        <v>113</v>
      </c>
      <c r="D14" s="353" t="s">
        <v>115</v>
      </c>
      <c r="E14" s="405"/>
      <c r="F14" s="156"/>
      <c r="H14" s="352" t="s">
        <v>113</v>
      </c>
      <c r="I14" s="353" t="s">
        <v>115</v>
      </c>
      <c r="J14" s="405"/>
      <c r="K14" s="156"/>
      <c r="N14" s="451" t="s">
        <v>252</v>
      </c>
      <c r="Q14" s="451" t="s">
        <v>253</v>
      </c>
    </row>
    <row r="15" spans="1:18">
      <c r="B15" s="8" t="str">
        <f>IF(Select2=1,"Food waste","Bulk MSW")</f>
        <v>Food waste</v>
      </c>
      <c r="C15" s="163" t="str">
        <f>INDEX(DOC_table,IF(Select2=1,1,14),2)</f>
        <v>0.20-0.50</v>
      </c>
      <c r="D15" s="32">
        <f>INDEX(DOC_table,IF(Select2=1,1,14),1)</f>
        <v>0.38</v>
      </c>
      <c r="E15" s="404">
        <f>D15</f>
        <v>0.38</v>
      </c>
      <c r="F15" s="132"/>
      <c r="H15" s="163" t="str">
        <f>INDEX(DOC_table,IF(Select2=1,1,14),4)</f>
        <v>0.08-0.20</v>
      </c>
      <c r="I15" s="32">
        <f>INDEX(DOC_table,IF(Select2=1,1,14),3)</f>
        <v>0.15</v>
      </c>
      <c r="J15" s="404">
        <f>I15</f>
        <v>0.15</v>
      </c>
      <c r="K15" s="132"/>
      <c r="L15" s="403" t="str">
        <f>IF(Select2=1,"May include garden waste provided that a suitable value of DOC is used","")</f>
        <v>May include garden waste provided that a suitable value of DOC is used</v>
      </c>
      <c r="N15" s="40" t="s">
        <v>6</v>
      </c>
      <c r="O15" s="40">
        <f>IF(Select2=1,E15,0)</f>
        <v>0.38</v>
      </c>
      <c r="Q15" s="40" t="s">
        <v>6</v>
      </c>
      <c r="R15" s="448">
        <f>IF(Select2=1,J15,0)</f>
        <v>0.15</v>
      </c>
    </row>
    <row r="16" spans="1:18">
      <c r="B16" s="8" t="str">
        <f>IF(Select2=1,"Paper/cardboard","Sewage sludge")</f>
        <v>Paper/cardboard</v>
      </c>
      <c r="C16" s="163" t="str">
        <f>INDEX(DOC_table,IF(Select2=1,2,13),2)</f>
        <v>0.40-0.50</v>
      </c>
      <c r="D16" s="32">
        <f>INDEX(DOC_table,IF(Select2=1,2,13),1)</f>
        <v>0.44</v>
      </c>
      <c r="E16" s="267">
        <f>D16</f>
        <v>0.44</v>
      </c>
      <c r="F16" s="247"/>
      <c r="H16" s="163" t="str">
        <f>INDEX(DOC_table,IF(Select2=1,2,13),4)</f>
        <v>0.36-0.45</v>
      </c>
      <c r="I16" s="32">
        <f>INDEX(DOC_table,IF(Select2=1,2,13),3)</f>
        <v>0.4</v>
      </c>
      <c r="J16" s="267">
        <f>I16</f>
        <v>0.4</v>
      </c>
      <c r="K16" s="247"/>
      <c r="L16" s="40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73" t="s">
        <v>262</v>
      </c>
      <c r="O16" s="2">
        <f>IF(Select2=1,E16,E63)</f>
        <v>0.44</v>
      </c>
      <c r="Q16" s="473" t="s">
        <v>262</v>
      </c>
      <c r="R16" s="449">
        <f>IF(Select2=1,J16,J63)</f>
        <v>0.4</v>
      </c>
    </row>
    <row r="17" spans="2:18">
      <c r="B17" s="2" t="str">
        <f>IF(Select2=1,"Garden and Park waste","Industrial waste")</f>
        <v>Garden and Park waste</v>
      </c>
      <c r="C17" s="163" t="str">
        <f>INDEX(DOC_table,IF(Select2=1,3,15),2)</f>
        <v>0.45-0.55</v>
      </c>
      <c r="D17" s="32">
        <f>INDEX(DOC_table,IF(Select2=1,3,15),1)</f>
        <v>0.49</v>
      </c>
      <c r="E17" s="267">
        <f t="shared" ref="E17:E25" si="0">D17</f>
        <v>0.49</v>
      </c>
      <c r="F17" s="247"/>
      <c r="H17" s="163" t="str">
        <f>INDEX(DOC_table,IF(Select2=1,3,15),4)</f>
        <v>0.18-0.22</v>
      </c>
      <c r="I17" s="32">
        <f>INDEX(DOC_table,IF(Select2=1,3,15),3)</f>
        <v>0.2</v>
      </c>
      <c r="J17" s="267">
        <f>I17</f>
        <v>0.2</v>
      </c>
      <c r="K17" s="247"/>
      <c r="L17" s="6"/>
      <c r="N17" s="472" t="s">
        <v>261</v>
      </c>
      <c r="O17" s="2">
        <f>IF(Select2=1,E17,E62)</f>
        <v>0.49</v>
      </c>
      <c r="Q17" s="472" t="s">
        <v>261</v>
      </c>
      <c r="R17" s="449">
        <f>IF(Select2=1,J17,J62)</f>
        <v>0.2</v>
      </c>
    </row>
    <row r="18" spans="2:18">
      <c r="B18" s="2" t="str">
        <f>IF(Select2=1,"Textiles","")</f>
        <v>Textiles</v>
      </c>
      <c r="C18" s="164" t="str">
        <f>IF(Select2=1,INDEX(DOC_table,4,2),"")</f>
        <v>0.25-0.50</v>
      </c>
      <c r="D18" s="16">
        <f>IF(Select2=1,INDEX(DOC_table,4,1),"")</f>
        <v>0.3</v>
      </c>
      <c r="E18" s="267">
        <f t="shared" si="0"/>
        <v>0.3</v>
      </c>
      <c r="F18" s="247"/>
      <c r="H18" s="164" t="str">
        <f>IF(Select2=1,INDEX(DOC_table,4,4),"")</f>
        <v>0.20-0.40</v>
      </c>
      <c r="I18" s="16">
        <f>IF(Select2=1,INDEX(DOC_table,4,3),"")</f>
        <v>0.24</v>
      </c>
      <c r="J18" s="267">
        <f>I18</f>
        <v>0.24</v>
      </c>
      <c r="K18" s="247"/>
      <c r="L18" s="6"/>
      <c r="N18" s="2" t="s">
        <v>16</v>
      </c>
      <c r="O18" s="2">
        <f>IF(Select2=1,E18,0)</f>
        <v>0.3</v>
      </c>
      <c r="Q18" s="2" t="s">
        <v>16</v>
      </c>
      <c r="R18" s="449">
        <f>IF(Select2=1,J18,0)</f>
        <v>0.24</v>
      </c>
    </row>
    <row r="19" spans="2:18">
      <c r="B19" s="2" t="str">
        <f>IF(Select2=1,"Rubber and Leather","")</f>
        <v>Rubber and Leather</v>
      </c>
      <c r="C19" s="164" t="str">
        <f>IF(Select2=1,INDEX(DOC_table,5,2),"")</f>
        <v>0.47</v>
      </c>
      <c r="D19" s="16">
        <f>IF(Select2=1,INDEX(DOC_table,5,1),"")</f>
        <v>0.47</v>
      </c>
      <c r="E19" s="267">
        <f t="shared" si="0"/>
        <v>0.47</v>
      </c>
      <c r="F19" s="247"/>
      <c r="H19" s="164" t="str">
        <f>IF(Select2=1,INDEX(DOC_table,5,4),"")</f>
        <v>0.39</v>
      </c>
      <c r="I19" s="16">
        <f>IF(Select2=1,INDEX(DOC_table,5,3),"")</f>
        <v>0.39</v>
      </c>
      <c r="J19" s="267">
        <f t="shared" ref="J19:J25" si="1">I19</f>
        <v>0.39</v>
      </c>
      <c r="K19" s="247"/>
      <c r="L19" s="403"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49">
        <f>IF(Select2=1,J19,0)</f>
        <v>0.39</v>
      </c>
    </row>
    <row r="20" spans="2:18">
      <c r="B20" s="2" t="str">
        <f>IF(Select2=1,"Wood","")</f>
        <v>Wood</v>
      </c>
      <c r="C20" s="164" t="str">
        <f>IF(Select2=1,INDEX(DOC_table,6,2),"")</f>
        <v>0.46-0.54</v>
      </c>
      <c r="D20" s="16">
        <f>IF(Select2=1,INDEX(DOC_table,6,1),"")</f>
        <v>0.5</v>
      </c>
      <c r="E20" s="267">
        <f t="shared" si="0"/>
        <v>0.5</v>
      </c>
      <c r="F20" s="247"/>
      <c r="H20" s="164" t="str">
        <f>IF(Select2=1,INDEX(DOC_table,6,4),"")</f>
        <v>0.39-0.46</v>
      </c>
      <c r="I20" s="16">
        <f>IF(Select2=1,INDEX(DOC_table,6,3),"")</f>
        <v>0.43</v>
      </c>
      <c r="J20" s="267">
        <f t="shared" si="1"/>
        <v>0.43</v>
      </c>
      <c r="K20" s="247"/>
      <c r="L20" s="609"/>
      <c r="N20" s="471" t="s">
        <v>2</v>
      </c>
      <c r="O20" s="2">
        <f>IF(Select2=1,E20,E64)</f>
        <v>0.5</v>
      </c>
      <c r="Q20" s="471" t="s">
        <v>2</v>
      </c>
      <c r="R20" s="449">
        <f>IF(Select2=1,J20,J64)</f>
        <v>0.43</v>
      </c>
    </row>
    <row r="21" spans="2:18">
      <c r="B21" s="2" t="str">
        <f>IF(Select2=1,"Nappies","")</f>
        <v>Nappies</v>
      </c>
      <c r="C21" s="164" t="str">
        <f>IF(Select2=1,INDEX(DOC_table,7,2),"")</f>
        <v>0.44-0.80</v>
      </c>
      <c r="D21" s="16">
        <f>IF(Select2=1,INDEX(DOC_table,7,1),"")</f>
        <v>0.6</v>
      </c>
      <c r="E21" s="267">
        <f t="shared" si="0"/>
        <v>0.6</v>
      </c>
      <c r="F21" s="247"/>
      <c r="H21" s="164" t="str">
        <f>IF(Select2=1,INDEX(DOC_table,7,4),"")</f>
        <v>0.18-0.32</v>
      </c>
      <c r="I21" s="16">
        <f>IF(Select2=1,INDEX(DOC_table,7,3),"")</f>
        <v>0.24</v>
      </c>
      <c r="J21" s="267">
        <f t="shared" si="1"/>
        <v>0.24</v>
      </c>
      <c r="K21" s="247"/>
      <c r="L21" s="609"/>
      <c r="N21" s="471" t="s">
        <v>267</v>
      </c>
      <c r="O21" s="2">
        <f>IF(Select2=1,E21,0)</f>
        <v>0.6</v>
      </c>
      <c r="Q21" s="471" t="s">
        <v>267</v>
      </c>
      <c r="R21" s="449">
        <f>IF(Select2=1,J21,0)</f>
        <v>0.24</v>
      </c>
    </row>
    <row r="22" spans="2:18">
      <c r="B22" s="146" t="str">
        <f>IF(Select2=1,"Plastics","")</f>
        <v>Plastics</v>
      </c>
      <c r="C22" s="165">
        <f>IF(Select2=1,INDEX(DOC_table,9,2),"")</f>
        <v>0</v>
      </c>
      <c r="D22" s="198">
        <f>IF(Select2=1,INDEX(DOC_table,9,1),"")</f>
        <v>0</v>
      </c>
      <c r="E22" s="267">
        <f t="shared" si="0"/>
        <v>0</v>
      </c>
      <c r="F22" s="247"/>
      <c r="H22" s="165">
        <f>IF(Select2=1,INDEX(DOC_table,9,4),"")</f>
        <v>0</v>
      </c>
      <c r="I22" s="198">
        <f>IF(Select2=1,INDEX(DOC_table,9,3),"")</f>
        <v>0</v>
      </c>
      <c r="J22" s="267">
        <f t="shared" si="1"/>
        <v>0</v>
      </c>
      <c r="K22" s="247"/>
      <c r="L22" s="266"/>
      <c r="N22" s="146" t="s">
        <v>230</v>
      </c>
      <c r="O22" s="2">
        <f>IF(Select2=1,E22,0)</f>
        <v>0</v>
      </c>
      <c r="Q22" s="146" t="s">
        <v>230</v>
      </c>
      <c r="R22" s="449">
        <f>IF(Select2=1,J22,0)</f>
        <v>0</v>
      </c>
    </row>
    <row r="23" spans="2:18">
      <c r="B23" s="146" t="str">
        <f>IF(Select2=1,"Metal","")</f>
        <v>Metal</v>
      </c>
      <c r="C23" s="165">
        <f>IF(Select2=1,INDEX(DOC_table,10,2),"")</f>
        <v>0</v>
      </c>
      <c r="D23" s="198">
        <f>IF(Select2=1,INDEX(DOC_table,10,1),"")</f>
        <v>0</v>
      </c>
      <c r="E23" s="267">
        <f t="shared" si="0"/>
        <v>0</v>
      </c>
      <c r="F23" s="247"/>
      <c r="H23" s="165">
        <f>IF(Select2=1,INDEX(DOC_table,10,4),"")</f>
        <v>0</v>
      </c>
      <c r="I23" s="198">
        <f>IF(Select2=1,INDEX(DOC_table,10,3),"")</f>
        <v>0</v>
      </c>
      <c r="J23" s="267">
        <f t="shared" si="1"/>
        <v>0</v>
      </c>
      <c r="K23" s="247"/>
      <c r="L23" s="266"/>
      <c r="N23" s="146" t="s">
        <v>231</v>
      </c>
      <c r="O23" s="2">
        <f>IF(Select2=1,E23,0)</f>
        <v>0</v>
      </c>
      <c r="Q23" s="146" t="s">
        <v>231</v>
      </c>
      <c r="R23" s="449">
        <f>IF(Select2=1,J23,0)</f>
        <v>0</v>
      </c>
    </row>
    <row r="24" spans="2:18">
      <c r="B24" s="146" t="str">
        <f>IF(Select2=1,"Glass","")</f>
        <v>Glass</v>
      </c>
      <c r="C24" s="165">
        <f>IF(Select2=1,INDEX(DOC_table,11,2),"")</f>
        <v>0</v>
      </c>
      <c r="D24" s="198">
        <f>IF(Select2=1,INDEX(DOC_table,11,1),"")</f>
        <v>0</v>
      </c>
      <c r="E24" s="267">
        <f t="shared" si="0"/>
        <v>0</v>
      </c>
      <c r="F24" s="247"/>
      <c r="H24" s="165">
        <f>IF(Select2=1,INDEX(DOC_table,11,4),"")</f>
        <v>0</v>
      </c>
      <c r="I24" s="198">
        <f>IF(Select2=1,INDEX(DOC_table,11,3),"")</f>
        <v>0</v>
      </c>
      <c r="J24" s="267">
        <f t="shared" si="1"/>
        <v>0</v>
      </c>
      <c r="K24" s="247"/>
      <c r="L24" s="266"/>
      <c r="N24" s="146" t="s">
        <v>232</v>
      </c>
      <c r="O24" s="2">
        <f>IF(Select2=1,E24,0)</f>
        <v>0</v>
      </c>
      <c r="Q24" s="146" t="s">
        <v>232</v>
      </c>
      <c r="R24" s="449">
        <f>IF(Select2=1,J24,0)</f>
        <v>0</v>
      </c>
    </row>
    <row r="25" spans="2:18">
      <c r="B25" s="146" t="str">
        <f>IF(Select2=1,"Other","")</f>
        <v>Other</v>
      </c>
      <c r="C25" s="165">
        <f>IF(Select2=1,INDEX(DOC_table,12,2),"")</f>
        <v>0</v>
      </c>
      <c r="D25" s="198">
        <f>IF(Select2=1,INDEX(DOC_table,12,1),"")</f>
        <v>0</v>
      </c>
      <c r="E25" s="267">
        <f t="shared" si="0"/>
        <v>0</v>
      </c>
      <c r="F25" s="247"/>
      <c r="H25" s="165">
        <f>IF(Select2=1,INDEX(DOC_table,12,4),"")</f>
        <v>0</v>
      </c>
      <c r="I25" s="198">
        <f>IF(Select2=1,INDEX(DOC_table,12,3),"")</f>
        <v>0</v>
      </c>
      <c r="J25" s="267">
        <f t="shared" si="1"/>
        <v>0</v>
      </c>
      <c r="K25" s="247"/>
      <c r="L25" s="266"/>
      <c r="N25" s="146" t="s">
        <v>233</v>
      </c>
      <c r="O25" s="2">
        <f>IF(Select2=1,E25,0)</f>
        <v>0</v>
      </c>
      <c r="Q25" s="146" t="s">
        <v>233</v>
      </c>
      <c r="R25" s="449">
        <f>IF(Select2=1,J25,0)</f>
        <v>0</v>
      </c>
    </row>
    <row r="26" spans="2:18">
      <c r="B26" s="146"/>
      <c r="C26" s="165"/>
      <c r="D26" s="198"/>
      <c r="E26" s="267"/>
      <c r="F26" s="247"/>
      <c r="H26" s="165"/>
      <c r="I26" s="198"/>
      <c r="J26" s="267"/>
      <c r="K26" s="247"/>
      <c r="L26" s="266"/>
      <c r="N26" s="471" t="s">
        <v>204</v>
      </c>
      <c r="O26" s="2">
        <f>IF(Select2=1,0,E15)</f>
        <v>0</v>
      </c>
      <c r="Q26" s="471" t="s">
        <v>204</v>
      </c>
      <c r="R26" s="449">
        <f>IF(Select2=1,0,J15)</f>
        <v>0</v>
      </c>
    </row>
    <row r="27" spans="2:18" ht="13.5" thickBot="1">
      <c r="B27" s="2" t="str">
        <f>IF(Select2=1,"Sewage sludge","")</f>
        <v>Sewage sludge</v>
      </c>
      <c r="C27" s="164" t="str">
        <f>IF(Select2=1,INDEX(DOC_table,13,2),"")</f>
        <v>N.A</v>
      </c>
      <c r="D27" s="495">
        <f>IF(Select2=1,INDEX(DOC_table,13,1),"")</f>
        <v>0</v>
      </c>
      <c r="E27" s="267">
        <f t="shared" ref="E27:E28" si="2">D27</f>
        <v>0</v>
      </c>
      <c r="F27" s="247"/>
      <c r="H27" s="164" t="str">
        <f>IF(Select2=1,INDEX(DOC_table,13,4),"")</f>
        <v>0.04-0.05</v>
      </c>
      <c r="I27" s="16">
        <f>IF(Select2=1,INDEX(DOC_table,13,3),"")</f>
        <v>0.05</v>
      </c>
      <c r="J27" s="267">
        <f>I27</f>
        <v>0.05</v>
      </c>
      <c r="K27" s="247"/>
      <c r="L27" s="6"/>
      <c r="N27" s="19" t="s">
        <v>135</v>
      </c>
      <c r="O27" s="19">
        <f>IF(Select2=1,E27,E16)</f>
        <v>0</v>
      </c>
      <c r="Q27" s="19" t="s">
        <v>135</v>
      </c>
      <c r="R27" s="450">
        <f>IF(Select2=1,J27,J16)</f>
        <v>0.05</v>
      </c>
    </row>
    <row r="28" spans="2:18" ht="13.5" thickBot="1">
      <c r="B28" s="19" t="str">
        <f>IF(Select2=1,"Industrial waste","")</f>
        <v>Industrial waste</v>
      </c>
      <c r="C28" s="605" t="str">
        <f>IF(Select2=1,INDEX(DOC_table,15,2),"")</f>
        <v>N.A</v>
      </c>
      <c r="D28" s="606">
        <f>IF(Select2=1,INDEX(DOC_table,15,1),"")</f>
        <v>0</v>
      </c>
      <c r="E28" s="268">
        <f t="shared" si="2"/>
        <v>0</v>
      </c>
      <c r="F28" s="607"/>
      <c r="H28" s="605" t="str">
        <f>IF(Select2=1,INDEX(DOC_table,15,4),"")</f>
        <v>0-0.54</v>
      </c>
      <c r="I28" s="606">
        <f>IF(Select2=1,INDEX(DOC_table,15,3),"")</f>
        <v>0.15</v>
      </c>
      <c r="J28" s="268">
        <f t="shared" ref="J28" si="3">I28</f>
        <v>0.15</v>
      </c>
      <c r="K28" s="607"/>
      <c r="L28" s="608"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70"/>
      <c r="D30" s="31">
        <v>0.5</v>
      </c>
      <c r="E30" s="406">
        <f>D30</f>
        <v>0.5</v>
      </c>
      <c r="F30" s="410"/>
      <c r="L30" s="6"/>
    </row>
    <row r="31" spans="2:18" ht="13.5" thickBot="1">
      <c r="B31" s="22"/>
      <c r="C31" s="347"/>
      <c r="D31" s="348"/>
      <c r="E31" s="407"/>
      <c r="F31" s="22"/>
      <c r="L31" s="6"/>
    </row>
    <row r="32" spans="2:18" ht="13.5" thickBot="1">
      <c r="B32" s="35" t="s">
        <v>208</v>
      </c>
      <c r="C32" s="349"/>
      <c r="D32" s="350"/>
      <c r="E32" s="408"/>
      <c r="F32" s="411"/>
      <c r="L32" s="6"/>
    </row>
    <row r="33" spans="2:15" ht="15" thickBot="1">
      <c r="B33" s="152" t="s">
        <v>193</v>
      </c>
      <c r="C33" s="354" t="s">
        <v>113</v>
      </c>
      <c r="D33" s="355" t="s">
        <v>115</v>
      </c>
      <c r="E33" s="409"/>
      <c r="F33" s="412"/>
      <c r="L33" s="6"/>
      <c r="N33" t="s">
        <v>130</v>
      </c>
    </row>
    <row r="34" spans="2:15">
      <c r="B34" s="8" t="str">
        <f>IF(Select2=1,"Food waste","Bulk MSW")</f>
        <v>Food waste</v>
      </c>
      <c r="C34" s="162" t="str">
        <f>INDEX(half_life,IF(Select2=1,4,5),selected*2)</f>
        <v xml:space="preserve">0.17–0.7 </v>
      </c>
      <c r="D34" s="93">
        <f>INDEX(half_life,IF(Select2=1,4,5),selected*2-1)</f>
        <v>0.4</v>
      </c>
      <c r="E34" s="644">
        <f t="shared" ref="E34:E39" si="4">D34</f>
        <v>0.4</v>
      </c>
      <c r="F34" s="132"/>
      <c r="L34" s="403"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63" t="str">
        <f>INDEX(half_life,IF(Select2=1,1,4),selected*2)</f>
        <v>0.06–0.085</v>
      </c>
      <c r="D35" s="70">
        <f>INDEX(half_life,IF(Select2=1,1,4),selected*2-1)</f>
        <v>7.0000000000000007E-2</v>
      </c>
      <c r="E35" s="645">
        <f t="shared" si="4"/>
        <v>7.0000000000000007E-2</v>
      </c>
      <c r="F35" s="43"/>
      <c r="L35" s="40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73" t="s">
        <v>262</v>
      </c>
      <c r="O35" s="2">
        <f t="shared" si="5"/>
        <v>7.0000000000000007E-2</v>
      </c>
    </row>
    <row r="36" spans="2:15">
      <c r="B36" s="2" t="str">
        <f>IF(Select2=1,"Garden and Park waste","Industrial waste")</f>
        <v>Garden and Park waste</v>
      </c>
      <c r="C36" s="163" t="str">
        <f>INDEX(half_life,IF(Select2=1,3,5),selected*2)</f>
        <v>0.15–0.2</v>
      </c>
      <c r="D36" s="70">
        <f>INDEX(half_life,IF(Select2=1,3,5),selected*2-1)</f>
        <v>0.17</v>
      </c>
      <c r="E36" s="645">
        <f t="shared" si="4"/>
        <v>0.17</v>
      </c>
      <c r="F36" s="43"/>
      <c r="L36" s="6"/>
      <c r="N36" s="472" t="s">
        <v>261</v>
      </c>
      <c r="O36" s="2">
        <f t="shared" si="5"/>
        <v>0.17</v>
      </c>
    </row>
    <row r="37" spans="2:15">
      <c r="B37" s="2" t="str">
        <f>IF(Select2=1,"Textiles","")</f>
        <v>Textiles</v>
      </c>
      <c r="C37" s="164" t="str">
        <f>IF(Select2=1,INDEX(half_life,1,selected*2),"")</f>
        <v>0.06–0.085</v>
      </c>
      <c r="D37" s="70">
        <f>IF(Select2=1,INDEX(half_life,1,selected*2-1),"")</f>
        <v>7.0000000000000007E-2</v>
      </c>
      <c r="E37" s="645">
        <f t="shared" si="4"/>
        <v>7.0000000000000007E-2</v>
      </c>
      <c r="F37" s="43"/>
      <c r="L37" s="6"/>
      <c r="N37" s="2" t="s">
        <v>16</v>
      </c>
      <c r="O37" s="2">
        <f t="shared" si="5"/>
        <v>7.0000000000000007E-2</v>
      </c>
    </row>
    <row r="38" spans="2:15">
      <c r="B38" s="2" t="str">
        <f>IF(Select2=1,"Rubber and Leather","")</f>
        <v>Rubber and Leather</v>
      </c>
      <c r="C38" s="164" t="str">
        <f>IF(Select2=1,INDEX(half_life,2,selected*2),"")</f>
        <v>0.03–0.05</v>
      </c>
      <c r="D38" s="70">
        <f>IF(Select2=1,INDEX(half_life,2,selected*2-1),"")</f>
        <v>3.5000000000000003E-2</v>
      </c>
      <c r="E38" s="646">
        <f t="shared" si="4"/>
        <v>3.5000000000000003E-2</v>
      </c>
      <c r="F38" s="247"/>
      <c r="L38" s="403"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64" t="str">
        <f>IF(Select2=1,INDEX(half_life,2,selected*2),"")</f>
        <v>0.03–0.05</v>
      </c>
      <c r="D39" s="70">
        <f>IF(Select2=1,INDEX(half_life,2,selected*2-1),"")</f>
        <v>3.5000000000000003E-2</v>
      </c>
      <c r="E39" s="646">
        <f t="shared" si="4"/>
        <v>3.5000000000000003E-2</v>
      </c>
      <c r="F39" s="247"/>
      <c r="N39" s="471" t="s">
        <v>2</v>
      </c>
      <c r="O39" s="2">
        <f t="shared" si="5"/>
        <v>3.5000000000000003E-2</v>
      </c>
    </row>
    <row r="40" spans="2:15">
      <c r="B40" s="2" t="str">
        <f>IF(Select2=1,"Nappies","")</f>
        <v>Nappies</v>
      </c>
      <c r="C40" s="164" t="str">
        <f>IF(Select2=1,INDEX(half_life,3,selected*2),"")</f>
        <v>0.15–0.2</v>
      </c>
      <c r="D40" s="70">
        <f>IF(Select2=1,INDEX(half_life,3,selected*2-1),"")</f>
        <v>0.17</v>
      </c>
      <c r="E40" s="646">
        <f>D40</f>
        <v>0.17</v>
      </c>
      <c r="F40" s="247"/>
      <c r="N40" s="471" t="s">
        <v>267</v>
      </c>
      <c r="O40" s="2">
        <f t="shared" si="5"/>
        <v>0.17</v>
      </c>
    </row>
    <row r="41" spans="2:15">
      <c r="B41" s="146" t="str">
        <f>IF(Select2=1,"Plastics","")</f>
        <v>Plastics</v>
      </c>
      <c r="C41" s="164">
        <f t="shared" ref="C41:D44" si="6">IF(Select2=1,0,"")</f>
        <v>0</v>
      </c>
      <c r="D41" s="494">
        <f t="shared" si="6"/>
        <v>0</v>
      </c>
      <c r="E41" s="646">
        <f>D41</f>
        <v>0</v>
      </c>
      <c r="F41" s="247"/>
      <c r="N41" s="146" t="s">
        <v>230</v>
      </c>
      <c r="O41" s="2">
        <f t="shared" si="5"/>
        <v>0</v>
      </c>
    </row>
    <row r="42" spans="2:15">
      <c r="B42" s="146" t="str">
        <f>IF(Select2=1,"Metal","")</f>
        <v>Metal</v>
      </c>
      <c r="C42" s="164">
        <f t="shared" si="6"/>
        <v>0</v>
      </c>
      <c r="D42" s="494">
        <f t="shared" si="6"/>
        <v>0</v>
      </c>
      <c r="E42" s="646">
        <f>D42</f>
        <v>0</v>
      </c>
      <c r="F42" s="247"/>
      <c r="N42" s="146" t="s">
        <v>231</v>
      </c>
      <c r="O42" s="2">
        <f t="shared" si="5"/>
        <v>0</v>
      </c>
    </row>
    <row r="43" spans="2:15">
      <c r="B43" s="146" t="str">
        <f>IF(Select2=1,"Glass","")</f>
        <v>Glass</v>
      </c>
      <c r="C43" s="164">
        <f t="shared" si="6"/>
        <v>0</v>
      </c>
      <c r="D43" s="494">
        <f t="shared" si="6"/>
        <v>0</v>
      </c>
      <c r="E43" s="646">
        <f>D43</f>
        <v>0</v>
      </c>
      <c r="F43" s="247"/>
      <c r="N43" s="146" t="s">
        <v>232</v>
      </c>
      <c r="O43" s="2">
        <f t="shared" si="5"/>
        <v>0</v>
      </c>
    </row>
    <row r="44" spans="2:15">
      <c r="B44" s="146" t="str">
        <f>IF(Select2=1,"Other","")</f>
        <v>Other</v>
      </c>
      <c r="C44" s="164">
        <f t="shared" si="6"/>
        <v>0</v>
      </c>
      <c r="D44" s="494">
        <f t="shared" si="6"/>
        <v>0</v>
      </c>
      <c r="E44" s="646">
        <f>D44</f>
        <v>0</v>
      </c>
      <c r="F44" s="247"/>
      <c r="N44" s="146" t="s">
        <v>233</v>
      </c>
      <c r="O44" s="2">
        <f t="shared" si="5"/>
        <v>0</v>
      </c>
    </row>
    <row r="45" spans="2:15">
      <c r="B45" s="146"/>
      <c r="C45" s="164"/>
      <c r="D45" s="70"/>
      <c r="E45" s="646"/>
      <c r="F45" s="247"/>
      <c r="N45" s="471" t="s">
        <v>204</v>
      </c>
      <c r="O45" s="2">
        <f>IF(Select2=1,0,E$34)</f>
        <v>0</v>
      </c>
    </row>
    <row r="46" spans="2:15" ht="13.5" thickBot="1">
      <c r="B46" s="2" t="str">
        <f>IF(Select2=1,"Sewage sludge","")</f>
        <v>Sewage sludge</v>
      </c>
      <c r="C46" s="164" t="str">
        <f>IF(Select2=1,INDEX(half_life,4,selected*2),"")</f>
        <v xml:space="preserve">0.17–0.7 </v>
      </c>
      <c r="D46" s="70">
        <f>IF(Select2=1,INDEX(half_life,4,selected*2-1),"")</f>
        <v>0.4</v>
      </c>
      <c r="E46" s="646">
        <f>D46</f>
        <v>0.4</v>
      </c>
      <c r="F46" s="247"/>
      <c r="N46" s="19" t="s">
        <v>135</v>
      </c>
      <c r="O46" s="19">
        <f>IF(Select2=1,E46,E$35)</f>
        <v>0.4</v>
      </c>
    </row>
    <row r="47" spans="2:15" ht="13.5" thickBot="1">
      <c r="B47" s="19" t="str">
        <f>IF(Select2=1,"Industrial waste","")</f>
        <v>Industrial waste</v>
      </c>
      <c r="C47" s="605" t="str">
        <f>IF(Select2=1,INDEX(half_life,5,selected*2),"")</f>
        <v>0.15–0.2</v>
      </c>
      <c r="D47" s="610">
        <f>IF(Select2=1,INDEX(half_life,5,selected*2-1),"")</f>
        <v>0.17</v>
      </c>
      <c r="E47" s="647">
        <f t="shared" ref="E47" si="7">D47</f>
        <v>0.17</v>
      </c>
      <c r="F47" s="607"/>
      <c r="L47" s="611"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648">
        <v>6</v>
      </c>
      <c r="F49" s="42"/>
    </row>
    <row r="50" spans="1:18" ht="13.5" thickBot="1">
      <c r="B50" s="22"/>
      <c r="C50" s="14"/>
      <c r="D50" s="23"/>
      <c r="E50" s="24"/>
      <c r="F50" s="23"/>
    </row>
    <row r="51" spans="1:18" ht="13.5" thickBot="1">
      <c r="B51" s="35" t="s">
        <v>207</v>
      </c>
      <c r="C51" s="38"/>
      <c r="D51" s="21">
        <v>0.5</v>
      </c>
      <c r="E51" s="648">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648">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327" t="s">
        <v>195</v>
      </c>
      <c r="C58" s="319"/>
      <c r="D58" s="324">
        <v>0</v>
      </c>
      <c r="E58" s="649">
        <f>D58</f>
        <v>0</v>
      </c>
      <c r="F58" s="94"/>
      <c r="L58" s="18"/>
    </row>
    <row r="59" spans="1:18" ht="13.5" thickBot="1">
      <c r="B59" s="328" t="s">
        <v>196</v>
      </c>
      <c r="C59" s="325"/>
      <c r="D59" s="326">
        <v>0</v>
      </c>
      <c r="E59" s="650">
        <f>D59</f>
        <v>0</v>
      </c>
      <c r="F59" s="41"/>
    </row>
    <row r="60" spans="1:18" ht="13.5" thickBot="1">
      <c r="B60" s="138"/>
      <c r="C60" s="270"/>
      <c r="D60" s="271"/>
      <c r="E60" s="273"/>
      <c r="F60" s="272"/>
    </row>
    <row r="61" spans="1:18" s="18" customFormat="1" ht="26.25" thickBot="1">
      <c r="A61"/>
      <c r="B61" s="315" t="s">
        <v>209</v>
      </c>
      <c r="C61" s="155"/>
      <c r="D61" s="801" t="s">
        <v>250</v>
      </c>
      <c r="E61" s="802"/>
      <c r="F61" s="803"/>
      <c r="H61" s="38"/>
      <c r="I61" s="801" t="s">
        <v>251</v>
      </c>
      <c r="J61" s="802"/>
      <c r="K61" s="803"/>
      <c r="L61"/>
      <c r="N61"/>
      <c r="O61"/>
      <c r="P61"/>
    </row>
    <row r="62" spans="1:18" s="18" customFormat="1" ht="13.5" thickBot="1">
      <c r="A62"/>
      <c r="B62" s="316" t="str">
        <f>IF(Select2=1,"","DOC for garden waste")</f>
        <v/>
      </c>
      <c r="C62" s="319"/>
      <c r="D62" s="322" t="str">
        <f>IF(Select2=1,"",INDEX(DOC_table,3,1))</f>
        <v/>
      </c>
      <c r="E62" s="341" t="str">
        <f>D62</f>
        <v/>
      </c>
      <c r="F62" s="342"/>
      <c r="H62" s="319"/>
      <c r="I62" s="322" t="str">
        <f>IF(Select2=1,"",INDEX(DOC_table,3,3))</f>
        <v/>
      </c>
      <c r="J62" s="341" t="str">
        <f>I62</f>
        <v/>
      </c>
      <c r="K62" s="342"/>
      <c r="L62"/>
      <c r="N62" s="492" t="s">
        <v>278</v>
      </c>
      <c r="O62" s="40" t="str">
        <f>IF(Select2=2,E62,"")</f>
        <v/>
      </c>
      <c r="Q62" s="492" t="s">
        <v>278</v>
      </c>
      <c r="R62" s="40" t="str">
        <f>IF(Select2=2,J62,"")</f>
        <v/>
      </c>
    </row>
    <row r="63" spans="1:18" ht="13.5" thickBot="1">
      <c r="B63" s="317" t="str">
        <f>IF(Select2=1,"","DOC for paper and cardboard")</f>
        <v/>
      </c>
      <c r="C63" s="320"/>
      <c r="D63" s="323" t="str">
        <f>IF(Select2=1,"",INDEX(DOC_table,2,1))</f>
        <v/>
      </c>
      <c r="E63" s="343" t="str">
        <f>D63</f>
        <v/>
      </c>
      <c r="F63" s="344"/>
      <c r="H63" s="320"/>
      <c r="I63" s="323" t="str">
        <f>IF(Select2=1,"",INDEX(DOC_table,2,3))</f>
        <v/>
      </c>
      <c r="J63" s="343" t="str">
        <f>I63</f>
        <v/>
      </c>
      <c r="K63" s="344"/>
      <c r="N63" s="492" t="s">
        <v>279</v>
      </c>
      <c r="O63" s="2" t="str">
        <f>IF(Select2=2,E63,"")</f>
        <v/>
      </c>
      <c r="P63" s="18"/>
      <c r="Q63" s="492" t="s">
        <v>279</v>
      </c>
      <c r="R63" s="2" t="str">
        <f>IF(Select2=2,J63,"")</f>
        <v/>
      </c>
    </row>
    <row r="64" spans="1:18" ht="13.5" thickBot="1">
      <c r="B64" s="318" t="str">
        <f>IF(Select2=1,"","DOC for wood and straw")</f>
        <v/>
      </c>
      <c r="C64" s="321"/>
      <c r="D64" s="329" t="str">
        <f>IF(Select2=1,"",INDEX(DOC_table,6,1))</f>
        <v/>
      </c>
      <c r="E64" s="345" t="str">
        <f>D64</f>
        <v/>
      </c>
      <c r="F64" s="346"/>
      <c r="H64" s="321"/>
      <c r="I64" s="329" t="str">
        <f>IF(Select2=1,"",INDEX(DOC_table,6,3))</f>
        <v/>
      </c>
      <c r="J64" s="345" t="str">
        <f>I64</f>
        <v/>
      </c>
      <c r="K64" s="346"/>
      <c r="N64" s="492" t="s">
        <v>280</v>
      </c>
      <c r="O64" s="19" t="str">
        <f>IF(Select2=2,E64,"")</f>
        <v/>
      </c>
      <c r="Q64" s="492" t="s">
        <v>280</v>
      </c>
      <c r="R64" s="19" t="str">
        <f>IF(Select2=2,J64,"")</f>
        <v/>
      </c>
    </row>
    <row r="69" spans="2:8">
      <c r="B69" s="628" t="s">
        <v>336</v>
      </c>
    </row>
    <row r="71" spans="2:8">
      <c r="B71" s="788" t="s">
        <v>317</v>
      </c>
      <c r="C71" s="788"/>
      <c r="D71" s="789" t="s">
        <v>318</v>
      </c>
      <c r="E71" s="789"/>
      <c r="F71" s="789"/>
      <c r="G71" s="789"/>
      <c r="H71" s="789"/>
    </row>
    <row r="72" spans="2:8">
      <c r="B72" s="788" t="s">
        <v>319</v>
      </c>
      <c r="C72" s="788"/>
      <c r="D72" s="789" t="s">
        <v>320</v>
      </c>
      <c r="E72" s="789"/>
      <c r="F72" s="789"/>
      <c r="G72" s="789"/>
      <c r="H72" s="789"/>
    </row>
    <row r="73" spans="2:8">
      <c r="B73" s="788" t="s">
        <v>321</v>
      </c>
      <c r="C73" s="788"/>
      <c r="D73" s="789" t="s">
        <v>322</v>
      </c>
      <c r="E73" s="789"/>
      <c r="F73" s="789"/>
      <c r="G73" s="789"/>
      <c r="H73" s="789"/>
    </row>
    <row r="74" spans="2:8">
      <c r="B74" s="788" t="s">
        <v>323</v>
      </c>
      <c r="C74" s="788"/>
      <c r="D74" s="789" t="s">
        <v>324</v>
      </c>
      <c r="E74" s="789"/>
      <c r="F74" s="789"/>
      <c r="G74" s="789"/>
      <c r="H74" s="789"/>
    </row>
    <row r="75" spans="2:8">
      <c r="B75" s="626"/>
      <c r="C75" s="627"/>
      <c r="D75" s="627"/>
      <c r="E75" s="627"/>
      <c r="F75" s="627"/>
      <c r="G75" s="627"/>
      <c r="H75" s="627"/>
    </row>
    <row r="76" spans="2:8">
      <c r="B76" s="629"/>
      <c r="C76" s="630" t="s">
        <v>325</v>
      </c>
      <c r="D76" s="631" t="s">
        <v>87</v>
      </c>
      <c r="E76" s="631" t="s">
        <v>88</v>
      </c>
    </row>
    <row r="77" spans="2:8">
      <c r="B77" s="790" t="s">
        <v>133</v>
      </c>
      <c r="C77" s="632" t="s">
        <v>326</v>
      </c>
      <c r="D77" s="633" t="s">
        <v>327</v>
      </c>
      <c r="E77" s="633" t="s">
        <v>9</v>
      </c>
      <c r="F77" s="553"/>
      <c r="G77" s="612"/>
      <c r="H77" s="6"/>
    </row>
    <row r="78" spans="2:8">
      <c r="B78" s="791"/>
      <c r="C78" s="634"/>
      <c r="D78" s="635"/>
      <c r="E78" s="636"/>
      <c r="F78" s="6"/>
      <c r="G78" s="553"/>
      <c r="H78" s="6"/>
    </row>
    <row r="79" spans="2:8">
      <c r="B79" s="791"/>
      <c r="C79" s="634"/>
      <c r="D79" s="635"/>
      <c r="E79" s="636"/>
      <c r="F79" s="6"/>
      <c r="G79" s="553"/>
      <c r="H79" s="6"/>
    </row>
    <row r="80" spans="2:8">
      <c r="B80" s="791"/>
      <c r="C80" s="634"/>
      <c r="D80" s="635"/>
      <c r="E80" s="636"/>
      <c r="F80" s="6"/>
      <c r="G80" s="553"/>
      <c r="H80" s="6"/>
    </row>
    <row r="81" spans="2:8">
      <c r="B81" s="791"/>
      <c r="C81" s="634"/>
      <c r="D81" s="635"/>
      <c r="E81" s="636"/>
      <c r="F81" s="6"/>
      <c r="G81" s="553"/>
      <c r="H81" s="6"/>
    </row>
    <row r="82" spans="2:8">
      <c r="B82" s="791"/>
      <c r="C82" s="634"/>
      <c r="D82" s="635" t="s">
        <v>328</v>
      </c>
      <c r="E82" s="636"/>
      <c r="F82" s="6"/>
      <c r="G82" s="553"/>
      <c r="H82" s="6"/>
    </row>
    <row r="83" spans="2:8" ht="13.5" thickBot="1">
      <c r="B83" s="792"/>
      <c r="C83" s="637"/>
      <c r="D83" s="637"/>
      <c r="E83" s="638" t="s">
        <v>329</v>
      </c>
      <c r="F83" s="6"/>
      <c r="G83" s="6"/>
      <c r="H83" s="6"/>
    </row>
    <row r="84" spans="2:8" ht="13.5" thickTop="1">
      <c r="B84" s="629"/>
      <c r="C84" s="636"/>
      <c r="D84" s="629"/>
      <c r="E84" s="639"/>
      <c r="F84" s="6"/>
      <c r="G84" s="6"/>
      <c r="H84" s="6"/>
    </row>
    <row r="85" spans="2:8">
      <c r="B85" s="784" t="s">
        <v>330</v>
      </c>
      <c r="C85" s="785"/>
      <c r="D85" s="785"/>
      <c r="E85" s="786"/>
      <c r="F85" s="6"/>
      <c r="G85" s="6"/>
      <c r="H85" s="6"/>
    </row>
    <row r="86" spans="2:8">
      <c r="B86" s="640" t="s">
        <v>6</v>
      </c>
      <c r="C86" s="641">
        <v>0.63560000000000005</v>
      </c>
      <c r="D86" s="642">
        <v>0.15</v>
      </c>
      <c r="E86" s="642">
        <f>C86*D86</f>
        <v>9.5340000000000008E-2</v>
      </c>
      <c r="F86" s="6"/>
      <c r="G86" s="6"/>
      <c r="H86" s="6"/>
    </row>
    <row r="87" spans="2:8">
      <c r="B87" s="640" t="s">
        <v>256</v>
      </c>
      <c r="C87" s="641">
        <v>0.1042</v>
      </c>
      <c r="D87" s="642">
        <v>0.4</v>
      </c>
      <c r="E87" s="642">
        <f t="shared" ref="E87:E94" si="8">C87*D87</f>
        <v>4.1680000000000002E-2</v>
      </c>
      <c r="F87" s="6"/>
      <c r="G87" s="6"/>
      <c r="H87" s="6"/>
    </row>
    <row r="88" spans="2:8">
      <c r="B88" s="640" t="s">
        <v>2</v>
      </c>
      <c r="C88" s="641">
        <v>0</v>
      </c>
      <c r="D88" s="642">
        <v>0.43</v>
      </c>
      <c r="E88" s="642">
        <f t="shared" si="8"/>
        <v>0</v>
      </c>
      <c r="F88" s="6"/>
      <c r="G88" s="6"/>
      <c r="H88" s="6"/>
    </row>
    <row r="89" spans="2:8">
      <c r="B89" s="640" t="s">
        <v>16</v>
      </c>
      <c r="C89" s="641">
        <v>0</v>
      </c>
      <c r="D89" s="642">
        <v>0.24</v>
      </c>
      <c r="E89" s="642">
        <f t="shared" si="8"/>
        <v>0</v>
      </c>
      <c r="F89" s="6"/>
      <c r="G89" s="6"/>
      <c r="H89" s="6"/>
    </row>
    <row r="90" spans="2:8">
      <c r="B90" s="640" t="s">
        <v>331</v>
      </c>
      <c r="C90" s="641">
        <v>0</v>
      </c>
      <c r="D90" s="642">
        <v>0.39</v>
      </c>
      <c r="E90" s="642">
        <f t="shared" si="8"/>
        <v>0</v>
      </c>
    </row>
    <row r="91" spans="2:8">
      <c r="B91" s="640" t="s">
        <v>332</v>
      </c>
      <c r="C91" s="641">
        <v>1.4500000000000001E-2</v>
      </c>
      <c r="D91" s="642">
        <v>0</v>
      </c>
      <c r="E91" s="642">
        <f t="shared" si="8"/>
        <v>0</v>
      </c>
    </row>
    <row r="92" spans="2:8">
      <c r="B92" s="640" t="s">
        <v>231</v>
      </c>
      <c r="C92" s="641">
        <v>9.7600000000000006E-2</v>
      </c>
      <c r="D92" s="642">
        <v>0</v>
      </c>
      <c r="E92" s="642">
        <f t="shared" si="8"/>
        <v>0</v>
      </c>
    </row>
    <row r="93" spans="2:8">
      <c r="B93" s="640" t="s">
        <v>232</v>
      </c>
      <c r="C93" s="641">
        <v>1.7000000000000001E-2</v>
      </c>
      <c r="D93" s="642">
        <v>0</v>
      </c>
      <c r="E93" s="642">
        <f t="shared" si="8"/>
        <v>0</v>
      </c>
    </row>
    <row r="94" spans="2:8">
      <c r="B94" s="640" t="s">
        <v>233</v>
      </c>
      <c r="C94" s="641">
        <f>(0.95+12.16)/100</f>
        <v>0.13109999999999999</v>
      </c>
      <c r="D94" s="642">
        <v>0</v>
      </c>
      <c r="E94" s="642">
        <f t="shared" si="8"/>
        <v>0</v>
      </c>
    </row>
    <row r="95" spans="2:8">
      <c r="B95" s="787" t="s">
        <v>333</v>
      </c>
      <c r="C95" s="787"/>
      <c r="D95" s="787"/>
      <c r="E95" s="643">
        <f>SUM(E86:E94)</f>
        <v>0.13702</v>
      </c>
    </row>
    <row r="96" spans="2:8">
      <c r="B96" s="784" t="s">
        <v>334</v>
      </c>
      <c r="C96" s="785"/>
      <c r="D96" s="785"/>
      <c r="E96" s="786"/>
    </row>
    <row r="97" spans="2:5">
      <c r="B97" s="640" t="s">
        <v>6</v>
      </c>
      <c r="C97" s="641">
        <f>79.37/100</f>
        <v>0.79370000000000007</v>
      </c>
      <c r="D97" s="642">
        <v>0.15</v>
      </c>
      <c r="E97" s="642">
        <f>C97*D97</f>
        <v>0.11905500000000001</v>
      </c>
    </row>
    <row r="98" spans="2:5">
      <c r="B98" s="640" t="s">
        <v>256</v>
      </c>
      <c r="C98" s="641">
        <f>8.57/100</f>
        <v>8.5699999999999998E-2</v>
      </c>
      <c r="D98" s="642">
        <v>0.4</v>
      </c>
      <c r="E98" s="642">
        <f t="shared" ref="E98:E105" si="9">C98*D98</f>
        <v>3.4279999999999998E-2</v>
      </c>
    </row>
    <row r="99" spans="2:5">
      <c r="B99" s="640" t="s">
        <v>2</v>
      </c>
      <c r="C99" s="641">
        <f>0.75/100</f>
        <v>7.4999999999999997E-3</v>
      </c>
      <c r="D99" s="642">
        <v>0.43</v>
      </c>
      <c r="E99" s="642">
        <f t="shared" si="9"/>
        <v>3.225E-3</v>
      </c>
    </row>
    <row r="100" spans="2:5">
      <c r="B100" s="640" t="s">
        <v>16</v>
      </c>
      <c r="C100" s="641">
        <f>0.79/100</f>
        <v>7.9000000000000008E-3</v>
      </c>
      <c r="D100" s="642">
        <v>0.24</v>
      </c>
      <c r="E100" s="642">
        <f t="shared" si="9"/>
        <v>1.8960000000000001E-3</v>
      </c>
    </row>
    <row r="101" spans="2:5">
      <c r="B101" s="640" t="s">
        <v>331</v>
      </c>
      <c r="C101" s="641">
        <f>0.35/100</f>
        <v>3.4999999999999996E-3</v>
      </c>
      <c r="D101" s="642">
        <v>0.39</v>
      </c>
      <c r="E101" s="642">
        <f t="shared" si="9"/>
        <v>1.3649999999999999E-3</v>
      </c>
    </row>
    <row r="102" spans="2:5">
      <c r="B102" s="640" t="s">
        <v>332</v>
      </c>
      <c r="C102" s="641">
        <f>6.51/100</f>
        <v>6.5099999999999991E-2</v>
      </c>
      <c r="D102" s="642">
        <v>0</v>
      </c>
      <c r="E102" s="642">
        <f t="shared" si="9"/>
        <v>0</v>
      </c>
    </row>
    <row r="103" spans="2:5">
      <c r="B103" s="640" t="s">
        <v>231</v>
      </c>
      <c r="C103" s="641">
        <f>1.45/100</f>
        <v>1.4499999999999999E-2</v>
      </c>
      <c r="D103" s="642">
        <v>0</v>
      </c>
      <c r="E103" s="642">
        <f t="shared" si="9"/>
        <v>0</v>
      </c>
    </row>
    <row r="104" spans="2:5">
      <c r="B104" s="640" t="s">
        <v>232</v>
      </c>
      <c r="C104" s="641">
        <f>1.54/100</f>
        <v>1.54E-2</v>
      </c>
      <c r="D104" s="642">
        <v>0</v>
      </c>
      <c r="E104" s="642">
        <f t="shared" si="9"/>
        <v>0</v>
      </c>
    </row>
    <row r="105" spans="2:5">
      <c r="B105" s="640" t="s">
        <v>233</v>
      </c>
      <c r="C105" s="641">
        <f>0.67/100</f>
        <v>6.7000000000000002E-3</v>
      </c>
      <c r="D105" s="642">
        <v>0</v>
      </c>
      <c r="E105" s="642">
        <f t="shared" si="9"/>
        <v>0</v>
      </c>
    </row>
    <row r="106" spans="2:5">
      <c r="B106" s="787" t="s">
        <v>333</v>
      </c>
      <c r="C106" s="787"/>
      <c r="D106" s="787"/>
      <c r="E106" s="643">
        <f>SUM(E97:E105)</f>
        <v>0.15982100000000002</v>
      </c>
    </row>
    <row r="107" spans="2:5">
      <c r="B107" s="784" t="s">
        <v>335</v>
      </c>
      <c r="C107" s="785"/>
      <c r="D107" s="785"/>
      <c r="E107" s="786"/>
    </row>
    <row r="108" spans="2:5">
      <c r="B108" s="640" t="s">
        <v>6</v>
      </c>
      <c r="C108" s="641">
        <f>(59.47+6.92)/100</f>
        <v>0.66390000000000005</v>
      </c>
      <c r="D108" s="642">
        <v>0.15</v>
      </c>
      <c r="E108" s="642">
        <f>C108*D108</f>
        <v>9.9585000000000007E-2</v>
      </c>
    </row>
    <row r="109" spans="2:5">
      <c r="B109" s="640" t="s">
        <v>256</v>
      </c>
      <c r="C109" s="641">
        <f>12.85/100</f>
        <v>0.1285</v>
      </c>
      <c r="D109" s="642">
        <v>0.4</v>
      </c>
      <c r="E109" s="642">
        <f t="shared" ref="E109:E116" si="10">C109*D109</f>
        <v>5.1400000000000001E-2</v>
      </c>
    </row>
    <row r="110" spans="2:5">
      <c r="B110" s="640" t="s">
        <v>2</v>
      </c>
      <c r="C110" s="641">
        <v>0</v>
      </c>
      <c r="D110" s="642">
        <v>0.43</v>
      </c>
      <c r="E110" s="642">
        <f t="shared" si="10"/>
        <v>0</v>
      </c>
    </row>
    <row r="111" spans="2:5">
      <c r="B111" s="640" t="s">
        <v>16</v>
      </c>
      <c r="C111" s="641">
        <f>0.81/100</f>
        <v>8.1000000000000013E-3</v>
      </c>
      <c r="D111" s="642">
        <v>0.24</v>
      </c>
      <c r="E111" s="642">
        <f t="shared" si="10"/>
        <v>1.9440000000000002E-3</v>
      </c>
    </row>
    <row r="112" spans="2:5">
      <c r="B112" s="640" t="s">
        <v>331</v>
      </c>
      <c r="C112" s="641">
        <v>0</v>
      </c>
      <c r="D112" s="642">
        <v>0.39</v>
      </c>
      <c r="E112" s="642">
        <f t="shared" si="10"/>
        <v>0</v>
      </c>
    </row>
    <row r="113" spans="2:5">
      <c r="B113" s="640" t="s">
        <v>332</v>
      </c>
      <c r="C113" s="641">
        <f>10.71/100</f>
        <v>0.10710000000000001</v>
      </c>
      <c r="D113" s="642">
        <v>0</v>
      </c>
      <c r="E113" s="642">
        <f t="shared" si="10"/>
        <v>0</v>
      </c>
    </row>
    <row r="114" spans="2:5">
      <c r="B114" s="640" t="s">
        <v>231</v>
      </c>
      <c r="C114" s="641">
        <f>1.77/100</f>
        <v>1.77E-2</v>
      </c>
      <c r="D114" s="642">
        <v>0</v>
      </c>
      <c r="E114" s="642">
        <f t="shared" si="10"/>
        <v>0</v>
      </c>
    </row>
    <row r="115" spans="2:5">
      <c r="B115" s="640" t="s">
        <v>232</v>
      </c>
      <c r="C115" s="641">
        <f>1.33/100</f>
        <v>1.3300000000000001E-2</v>
      </c>
      <c r="D115" s="642">
        <v>0</v>
      </c>
      <c r="E115" s="642">
        <f t="shared" si="10"/>
        <v>0</v>
      </c>
    </row>
    <row r="116" spans="2:5">
      <c r="B116" s="640" t="s">
        <v>233</v>
      </c>
      <c r="C116" s="641">
        <f>6.21/100</f>
        <v>6.2100000000000002E-2</v>
      </c>
      <c r="D116" s="642">
        <v>0</v>
      </c>
      <c r="E116" s="642">
        <f t="shared" si="10"/>
        <v>0</v>
      </c>
    </row>
    <row r="117" spans="2:5">
      <c r="B117" s="787" t="s">
        <v>333</v>
      </c>
      <c r="C117" s="787"/>
      <c r="D117" s="787"/>
      <c r="E117" s="643">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309</v>
      </c>
      <c r="C2" s="229"/>
      <c r="D2" s="229"/>
      <c r="E2" s="230"/>
      <c r="F2" s="231"/>
      <c r="G2" s="231"/>
      <c r="H2" s="231"/>
      <c r="I2" s="231"/>
      <c r="J2" s="231"/>
      <c r="K2" s="231"/>
    </row>
    <row r="3" spans="1:23" ht="15">
      <c r="B3" s="251" t="str">
        <f>IF(Select2=1,"This sheet applies only to the bulk waste option and can be deleted when the waste composition option has been chosen","")</f>
        <v>This sheet applies only to the bulk waste option and can be deleted when the waste composition option has been chosen</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Parameters!O26</f>
        <v>0</v>
      </c>
      <c r="O6" s="235"/>
      <c r="P6" s="236"/>
      <c r="Q6" s="227"/>
      <c r="R6" s="108" t="s">
        <v>9</v>
      </c>
      <c r="S6" s="109"/>
      <c r="T6" s="109"/>
      <c r="U6" s="113"/>
      <c r="V6" s="120" t="s">
        <v>9</v>
      </c>
      <c r="W6" s="269">
        <f>Parameters!R26</f>
        <v>0</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Parameters!O45</f>
        <v>0</v>
      </c>
      <c r="O8" s="47"/>
      <c r="P8" s="47"/>
      <c r="Q8" s="227"/>
      <c r="R8" s="108" t="s">
        <v>192</v>
      </c>
      <c r="S8" s="109"/>
      <c r="T8" s="109"/>
      <c r="U8" s="113"/>
      <c r="V8" s="120" t="s">
        <v>188</v>
      </c>
      <c r="W8" s="114">
        <f>Parameters!O45</f>
        <v>0</v>
      </c>
    </row>
    <row r="9" spans="1:23" ht="15.75">
      <c r="F9" s="255" t="s">
        <v>190</v>
      </c>
      <c r="G9" s="256"/>
      <c r="H9" s="256"/>
      <c r="I9" s="257"/>
      <c r="J9" s="258" t="s">
        <v>189</v>
      </c>
      <c r="K9" s="264" t="e">
        <f>LN(2)/$K$8</f>
        <v>#DIV/0!</v>
      </c>
      <c r="O9" s="47"/>
      <c r="P9" s="47"/>
      <c r="Q9" s="227"/>
      <c r="R9" s="255" t="s">
        <v>190</v>
      </c>
      <c r="S9" s="256"/>
      <c r="T9" s="256"/>
      <c r="U9" s="257"/>
      <c r="V9" s="258" t="s">
        <v>189</v>
      </c>
      <c r="W9" s="264" t="e">
        <f>LN(2)/$W$8</f>
        <v>#DIV/0!</v>
      </c>
    </row>
    <row r="10" spans="1:23">
      <c r="F10" s="110" t="s">
        <v>84</v>
      </c>
      <c r="G10" s="111"/>
      <c r="H10" s="111"/>
      <c r="I10" s="112"/>
      <c r="J10" s="121" t="s">
        <v>148</v>
      </c>
      <c r="K10" s="49">
        <f>EXP(-$K$8)</f>
        <v>1</v>
      </c>
      <c r="O10" s="47"/>
      <c r="P10" s="47"/>
      <c r="Q10" s="227"/>
      <c r="R10" s="110" t="s">
        <v>84</v>
      </c>
      <c r="S10" s="111"/>
      <c r="T10" s="111"/>
      <c r="U10" s="112"/>
      <c r="V10" s="121" t="s">
        <v>148</v>
      </c>
      <c r="W10" s="49">
        <f>EXP(-$W$8)</f>
        <v>1</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0</v>
      </c>
      <c r="D19" s="478">
        <f>Dry_Matter_Content!O6</f>
        <v>0</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0</v>
      </c>
      <c r="D20" s="480">
        <f>Dry_Matter_Content!O7</f>
        <v>0</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Amnt_Deposited!O15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0</v>
      </c>
      <c r="D21" s="480">
        <f>Dry_Matter_Content!O8</f>
        <v>0</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0</v>
      </c>
      <c r="D22" s="480">
        <f>Dry_Matter_Content!O9</f>
        <v>0</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Amnt_Deposited!O17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0</v>
      </c>
      <c r="D23" s="480">
        <f>Dry_Matter_Content!O10</f>
        <v>0</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Amnt_Deposited!O18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0</v>
      </c>
      <c r="D24" s="480">
        <f>Dry_Matter_Content!O11</f>
        <v>0</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Amnt_Deposited!O19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0</v>
      </c>
      <c r="D25" s="480">
        <f>Dry_Matter_Content!O12</f>
        <v>0</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Amnt_Deposited!O20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0</v>
      </c>
      <c r="D26" s="480">
        <f>Dry_Matter_Content!O13</f>
        <v>0</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Amnt_Deposited!O21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0</v>
      </c>
      <c r="D27" s="480">
        <f>Dry_Matter_Content!O14</f>
        <v>0</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Amnt_Deposited!O22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0</v>
      </c>
      <c r="D28" s="480">
        <f>Dry_Matter_Content!O15</f>
        <v>0</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Amnt_Deposited!O23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0</v>
      </c>
      <c r="D29" s="480">
        <f>Dry_Matter_Content!O16</f>
        <v>0</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Amnt_Deposited!O24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0</v>
      </c>
      <c r="D30" s="480">
        <f>Dry_Matter_Content!O17</f>
        <v>0</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Amnt_Deposited!O25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0</v>
      </c>
      <c r="D31" s="480">
        <f>Dry_Matter_Content!O18</f>
        <v>0</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Amnt_Deposited!O26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0</v>
      </c>
      <c r="D32" s="480">
        <f>Dry_Matter_Content!O19</f>
        <v>0</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Amnt_Deposited!O27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0</v>
      </c>
      <c r="D33" s="480">
        <f>Dry_Matter_Content!O20</f>
        <v>0</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Amnt_Deposited!O28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0</v>
      </c>
      <c r="D34" s="480">
        <f>Dry_Matter_Content!O21</f>
        <v>0</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Amnt_Deposited!O29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0</v>
      </c>
      <c r="D35" s="480">
        <f>Dry_Matter_Content!O22</f>
        <v>0</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Amnt_Deposited!O30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0</v>
      </c>
      <c r="D36" s="480">
        <f>Dry_Matter_Content!O23</f>
        <v>0</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Amnt_Deposited!O31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0</v>
      </c>
      <c r="D37" s="480">
        <f>Dry_Matter_Content!O24</f>
        <v>0</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Amnt_Deposited!O32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0</v>
      </c>
      <c r="D38" s="480">
        <f>Dry_Matter_Content!O25</f>
        <v>0</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Amnt_Deposited!O33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0</v>
      </c>
      <c r="D39" s="480">
        <f>Dry_Matter_Content!O26</f>
        <v>0</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Amnt_Deposited!O34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0</v>
      </c>
      <c r="D40" s="480">
        <f>Dry_Matter_Content!O27</f>
        <v>0</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Amnt_Deposited!O35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0</v>
      </c>
      <c r="D41" s="480">
        <f>Dry_Matter_Content!O28</f>
        <v>0</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Amnt_Deposited!O36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0</v>
      </c>
      <c r="D42" s="480">
        <f>Dry_Matter_Content!O29</f>
        <v>0</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Amnt_Deposited!O37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0</v>
      </c>
      <c r="D43" s="480">
        <f>Dry_Matter_Content!O30</f>
        <v>0</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Amnt_Deposited!O38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0</v>
      </c>
      <c r="D44" s="480">
        <f>Dry_Matter_Content!O31</f>
        <v>0</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Amnt_Deposited!O39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0</v>
      </c>
      <c r="D45" s="480">
        <f>Dry_Matter_Content!O32</f>
        <v>0</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Amnt_Deposited!O40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0</v>
      </c>
      <c r="D46" s="480">
        <f>Dry_Matter_Content!O33</f>
        <v>0</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Amnt_Deposited!O41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0</v>
      </c>
      <c r="D47" s="480">
        <f>Dry_Matter_Content!O34</f>
        <v>0</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Amnt_Deposited!O42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0</v>
      </c>
      <c r="D48" s="480">
        <f>Dry_Matter_Content!O35</f>
        <v>0</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Amnt_Deposited!O43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0</v>
      </c>
      <c r="D49" s="480">
        <f>Dry_Matter_Content!O36</f>
        <v>0</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Amnt_Deposited!O44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80">
        <f>Dry_Matter_Content!O37</f>
        <v>0</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Amnt_Deposited!O45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80">
        <f>Dry_Matter_Content!O38</f>
        <v>0</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Amnt_Deposited!O46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80">
        <f>Dry_Matter_Content!O39</f>
        <v>0</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Amnt_Deposited!O47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80">
        <f>Dry_Matter_Content!O40</f>
        <v>0</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Amnt_Deposited!O48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80">
        <f>Dry_Matter_Content!O41</f>
        <v>0</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Amnt_Deposited!O49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80">
        <f>Dry_Matter_Content!O42</f>
        <v>0</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Amnt_Deposited!O50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80">
        <f>Dry_Matter_Content!O43</f>
        <v>0</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Amnt_Deposited!O51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80">
        <f>Dry_Matter_Content!O44</f>
        <v>0</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Amnt_Deposited!O52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80">
        <f>Dry_Matter_Content!O45</f>
        <v>0</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Amnt_Deposited!O53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80">
        <f>Dry_Matter_Content!O46</f>
        <v>0</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Amnt_Deposited!O54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80">
        <f>Dry_Matter_Content!O47</f>
        <v>0</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Amnt_Deposited!O55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80">
        <f>Dry_Matter_Content!O48</f>
        <v>0</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Amnt_Deposited!O56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80">
        <f>Dry_Matter_Content!O49</f>
        <v>0</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Amnt_Deposited!O57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80">
        <f>Dry_Matter_Content!O50</f>
        <v>0</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Amnt_Deposited!O58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80">
        <f>Dry_Matter_Content!O51</f>
        <v>0</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Amnt_Deposited!O59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80">
        <f>Dry_Matter_Content!O52</f>
        <v>0</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Amnt_Deposited!O60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80">
        <f>Dry_Matter_Content!O53</f>
        <v>0</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Amnt_Deposited!O61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80">
        <f>Dry_Matter_Content!O54</f>
        <v>0</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Amnt_Deposited!O62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80">
        <f>Dry_Matter_Content!O55</f>
        <v>0</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Amnt_Deposited!O63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80">
        <f>Dry_Matter_Content!O56</f>
        <v>0</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Amnt_Deposited!O64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80">
        <f>Dry_Matter_Content!O57</f>
        <v>0</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Amnt_Deposited!O65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80">
        <f>Dry_Matter_Content!O58</f>
        <v>0</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Amnt_Deposited!O66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80">
        <f>Dry_Matter_Content!O59</f>
        <v>0</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Amnt_Deposited!O67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80">
        <f>Dry_Matter_Content!O60</f>
        <v>0</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Amnt_Deposited!O68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80">
        <f>Dry_Matter_Content!O61</f>
        <v>0</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Amnt_Deposited!O69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80">
        <f>Dry_Matter_Content!O62</f>
        <v>0</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Amnt_Deposited!O70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80">
        <f>Dry_Matter_Content!O63</f>
        <v>0</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Amnt_Deposited!O71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80">
        <f>Dry_Matter_Content!O64</f>
        <v>0</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Amnt_Deposited!O72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80">
        <f>Dry_Matter_Content!O65</f>
        <v>0</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Amnt_Deposited!O73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80">
        <f>Dry_Matter_Content!O66</f>
        <v>0</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Amnt_Deposited!O74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80">
        <f>Dry_Matter_Content!O67</f>
        <v>0</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Amnt_Deposited!O75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80">
        <f>Dry_Matter_Content!O68</f>
        <v>0</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Amnt_Deposited!O76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80">
        <f>Dry_Matter_Content!O69</f>
        <v>0</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Amnt_Deposited!O77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80">
        <f>Dry_Matter_Content!O70</f>
        <v>0</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80">
        <f>Dry_Matter_Content!O71</f>
        <v>0</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80">
        <f>Dry_Matter_Content!O72</f>
        <v>0</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80">
        <f>Dry_Matter_Content!O73</f>
        <v>0</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80">
        <f>Dry_Matter_Content!O74</f>
        <v>0</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80">
        <f>Dry_Matter_Content!O75</f>
        <v>0</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80">
        <f>Dry_Matter_Content!O76</f>
        <v>0</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80">
        <f>Dry_Matter_Content!O77</f>
        <v>0</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80">
        <f>Dry_Matter_Content!O78</f>
        <v>0</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80">
        <f>Dry_Matter_Content!O79</f>
        <v>0</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80">
        <f>Dry_Matter_Content!O80</f>
        <v>0</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80">
        <f>Dry_Matter_Content!O81</f>
        <v>0</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80">
        <f>Dry_Matter_Content!O82</f>
        <v>0</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80">
        <f>Dry_Matter_Content!O83</f>
        <v>0</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80">
        <f>Dry_Matter_Content!O84</f>
        <v>0</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80">
        <f>Dry_Matter_Content!O85</f>
        <v>0</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81">
        <f>Dry_Matter_Content!O86</f>
        <v>0</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310</v>
      </c>
      <c r="C2" s="229"/>
      <c r="D2" s="229"/>
      <c r="E2" s="230"/>
      <c r="F2" s="231"/>
      <c r="G2" s="231"/>
      <c r="H2" s="231"/>
      <c r="I2" s="231"/>
      <c r="J2" s="231"/>
      <c r="K2" s="231"/>
    </row>
    <row r="3" spans="1:23" ht="15">
      <c r="B3" s="251"/>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Parameters!O28</f>
        <v>0</v>
      </c>
      <c r="O6" s="235"/>
      <c r="P6" s="236"/>
      <c r="Q6" s="227"/>
      <c r="R6" s="108" t="s">
        <v>9</v>
      </c>
      <c r="S6" s="109"/>
      <c r="T6" s="109"/>
      <c r="U6" s="113"/>
      <c r="V6" s="120" t="s">
        <v>9</v>
      </c>
      <c r="W6" s="269">
        <f>Parameters!R28</f>
        <v>0.15</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Parameters!O47</f>
        <v>0.17</v>
      </c>
      <c r="O8" s="47"/>
      <c r="P8" s="47"/>
      <c r="Q8" s="227"/>
      <c r="R8" s="108" t="s">
        <v>192</v>
      </c>
      <c r="S8" s="109"/>
      <c r="T8" s="109"/>
      <c r="U8" s="113"/>
      <c r="V8" s="120" t="s">
        <v>188</v>
      </c>
      <c r="W8" s="114">
        <f>Parameters!O47</f>
        <v>0.17</v>
      </c>
    </row>
    <row r="9" spans="1:23" ht="15.75">
      <c r="F9" s="255" t="s">
        <v>190</v>
      </c>
      <c r="G9" s="256"/>
      <c r="H9" s="256"/>
      <c r="I9" s="257"/>
      <c r="J9" s="258" t="s">
        <v>189</v>
      </c>
      <c r="K9" s="264">
        <f>LN(2)/$K$8</f>
        <v>4.077336356234972</v>
      </c>
      <c r="O9" s="47"/>
      <c r="P9" s="47"/>
      <c r="Q9" s="227"/>
      <c r="R9" s="255" t="s">
        <v>190</v>
      </c>
      <c r="S9" s="256"/>
      <c r="T9" s="256"/>
      <c r="U9" s="257"/>
      <c r="V9" s="258" t="s">
        <v>189</v>
      </c>
      <c r="W9" s="264">
        <f>LN(2)/$W$8</f>
        <v>4.077336356234972</v>
      </c>
    </row>
    <row r="10" spans="1:23">
      <c r="F10" s="110" t="s">
        <v>84</v>
      </c>
      <c r="G10" s="111"/>
      <c r="H10" s="111"/>
      <c r="I10" s="112"/>
      <c r="J10" s="121" t="s">
        <v>148</v>
      </c>
      <c r="K10" s="49">
        <f>EXP(-$K$8)</f>
        <v>0.8436648165963837</v>
      </c>
      <c r="O10" s="47"/>
      <c r="P10" s="47"/>
      <c r="Q10" s="227"/>
      <c r="R10" s="110" t="s">
        <v>84</v>
      </c>
      <c r="S10" s="111"/>
      <c r="T10" s="111"/>
      <c r="U10" s="112"/>
      <c r="V10" s="121" t="s">
        <v>148</v>
      </c>
      <c r="W10" s="49">
        <f>EXP(-$W$8)</f>
        <v>0.8436648165963837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78">
        <f>Dry_Matter_Content!P6</f>
        <v>0</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80">
        <f>Dry_Matter_Content!P7</f>
        <v>0</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Amnt_Deposited!P15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80">
        <f>Dry_Matter_Content!P8</f>
        <v>0</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80">
        <f>Dry_Matter_Content!P9</f>
        <v>0</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Amnt_Deposited!P17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80">
        <f>Dry_Matter_Content!P10</f>
        <v>0</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Amnt_Deposited!P18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80">
        <f>Dry_Matter_Content!P11</f>
        <v>0</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Amnt_Deposited!P19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80">
        <f>Dry_Matter_Content!P12</f>
        <v>0</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Amnt_Deposited!P20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80">
        <f>Dry_Matter_Content!P13</f>
        <v>0</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Amnt_Deposited!P21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80">
        <f>Dry_Matter_Content!P14</f>
        <v>0</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Amnt_Deposited!P22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80">
        <f>Dry_Matter_Content!P15</f>
        <v>0</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Amnt_Deposited!P23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80">
        <f>Dry_Matter_Content!P16</f>
        <v>0</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Amnt_Deposited!P24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80">
        <f>Dry_Matter_Content!P17</f>
        <v>0</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Amnt_Deposited!P25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80">
        <f>Dry_Matter_Content!P18</f>
        <v>0</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Amnt_Deposited!P26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80">
        <f>Dry_Matter_Content!P19</f>
        <v>0</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Amnt_Deposited!P27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80">
        <f>Dry_Matter_Content!P20</f>
        <v>0</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Amnt_Deposited!P28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80">
        <f>Dry_Matter_Content!P21</f>
        <v>0</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Amnt_Deposited!P29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80">
        <f>Dry_Matter_Content!P22</f>
        <v>0</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Amnt_Deposited!P30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80">
        <f>Dry_Matter_Content!P23</f>
        <v>0</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Amnt_Deposited!P31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80">
        <f>Dry_Matter_Content!P24</f>
        <v>0</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Amnt_Deposited!P32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80">
        <f>Dry_Matter_Content!P25</f>
        <v>0</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Amnt_Deposited!P33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80">
        <f>Dry_Matter_Content!P26</f>
        <v>0</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Amnt_Deposited!P34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80">
        <f>Dry_Matter_Content!P27</f>
        <v>0</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Amnt_Deposited!P35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80">
        <f>Dry_Matter_Content!P28</f>
        <v>0</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Amnt_Deposited!P36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80">
        <f>Dry_Matter_Content!P29</f>
        <v>0</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Amnt_Deposited!P37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80">
        <f>Dry_Matter_Content!P30</f>
        <v>0</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Amnt_Deposited!P38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80">
        <f>Dry_Matter_Content!P31</f>
        <v>0</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Amnt_Deposited!P39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80">
        <f>Dry_Matter_Content!P32</f>
        <v>0</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Amnt_Deposited!P40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80">
        <f>Dry_Matter_Content!P33</f>
        <v>0</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Amnt_Deposited!P41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80">
        <f>Dry_Matter_Content!P34</f>
        <v>0</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Amnt_Deposited!P42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80">
        <f>Dry_Matter_Content!P35</f>
        <v>0</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Amnt_Deposited!P43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80">
        <f>Dry_Matter_Content!P36</f>
        <v>0</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Amnt_Deposited!P44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80">
        <f>Dry_Matter_Content!P37</f>
        <v>0</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Amnt_Deposited!P45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80">
        <f>Dry_Matter_Content!P38</f>
        <v>0</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Amnt_Deposited!P46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80">
        <f>Dry_Matter_Content!P39</f>
        <v>0</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Amnt_Deposited!P47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80">
        <f>Dry_Matter_Content!P40</f>
        <v>0</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Amnt_Deposited!P48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80">
        <f>Dry_Matter_Content!P41</f>
        <v>0</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Amnt_Deposited!P49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80">
        <f>Dry_Matter_Content!P42</f>
        <v>0</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Amnt_Deposited!P50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80">
        <f>Dry_Matter_Content!P43</f>
        <v>0</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Amnt_Deposited!P51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80">
        <f>Dry_Matter_Content!P44</f>
        <v>0</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Amnt_Deposited!P52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80">
        <f>Dry_Matter_Content!P45</f>
        <v>0</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Amnt_Deposited!P53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80">
        <f>Dry_Matter_Content!P46</f>
        <v>0</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Amnt_Deposited!P54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80">
        <f>Dry_Matter_Content!P47</f>
        <v>0</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Amnt_Deposited!P55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80">
        <f>Dry_Matter_Content!P48</f>
        <v>0</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Amnt_Deposited!P56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80">
        <f>Dry_Matter_Content!P49</f>
        <v>0</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Amnt_Deposited!P57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80">
        <f>Dry_Matter_Content!P50</f>
        <v>0</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Amnt_Deposited!P58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80">
        <f>Dry_Matter_Content!P51</f>
        <v>0</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Amnt_Deposited!P59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80">
        <f>Dry_Matter_Content!P52</f>
        <v>0</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Amnt_Deposited!P60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80">
        <f>Dry_Matter_Content!P53</f>
        <v>0</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Amnt_Deposited!P61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80">
        <f>Dry_Matter_Content!P54</f>
        <v>0</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Amnt_Deposited!P62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80">
        <f>Dry_Matter_Content!P55</f>
        <v>0</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Amnt_Deposited!P63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80">
        <f>Dry_Matter_Content!P56</f>
        <v>0</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Amnt_Deposited!P64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80">
        <f>Dry_Matter_Content!P57</f>
        <v>0</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Amnt_Deposited!P65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80">
        <f>Dry_Matter_Content!P58</f>
        <v>0</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Amnt_Deposited!P66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80">
        <f>Dry_Matter_Content!P59</f>
        <v>0</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Amnt_Deposited!P67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80">
        <f>Dry_Matter_Content!P60</f>
        <v>0</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Amnt_Deposited!P68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80">
        <f>Dry_Matter_Content!P61</f>
        <v>0</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Amnt_Deposited!P69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80">
        <f>Dry_Matter_Content!P62</f>
        <v>0</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Amnt_Deposited!P70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80">
        <f>Dry_Matter_Content!P63</f>
        <v>0</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Amnt_Deposited!P71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80">
        <f>Dry_Matter_Content!P64</f>
        <v>0</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Amnt_Deposited!P72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80">
        <f>Dry_Matter_Content!P65</f>
        <v>0</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Amnt_Deposited!P73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80">
        <f>Dry_Matter_Content!P66</f>
        <v>0</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Amnt_Deposited!P74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80">
        <f>Dry_Matter_Content!P67</f>
        <v>0</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Amnt_Deposited!P75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80">
        <f>Dry_Matter_Content!P68</f>
        <v>0</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Amnt_Deposited!P76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80">
        <f>Dry_Matter_Content!P69</f>
        <v>0</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Amnt_Deposited!P77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80">
        <f>Dry_Matter_Content!P70</f>
        <v>0</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80">
        <f>Dry_Matter_Content!P71</f>
        <v>0</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80">
        <f>Dry_Matter_Content!P72</f>
        <v>0</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80">
        <f>Dry_Matter_Content!P73</f>
        <v>0</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80">
        <f>Dry_Matter_Content!P74</f>
        <v>0</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80">
        <f>Dry_Matter_Content!P75</f>
        <v>0</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80">
        <f>Dry_Matter_Content!P76</f>
        <v>0</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80">
        <f>Dry_Matter_Content!P77</f>
        <v>0</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80">
        <f>Dry_Matter_Content!P78</f>
        <v>0</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80">
        <f>Dry_Matter_Content!P79</f>
        <v>0</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80">
        <f>Dry_Matter_Content!P80</f>
        <v>0</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80">
        <f>Dry_Matter_Content!P81</f>
        <v>0</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80">
        <f>Dry_Matter_Content!P82</f>
        <v>0</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80">
        <f>Dry_Matter_Content!P83</f>
        <v>0</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80">
        <f>Dry_Matter_Content!P84</f>
        <v>0</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80">
        <f>Dry_Matter_Content!P85</f>
        <v>0</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80">
        <f>Dry_Matter_Content!P86</f>
        <v>0</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21" activePane="bottomRight" state="frozen"/>
      <selection activeCell="E19" sqref="E19"/>
      <selection pane="topRight" activeCell="E19" sqref="E19"/>
      <selection pane="bottomLeft" activeCell="E19" sqref="E19"/>
      <selection pane="bottomRight" activeCell="J23" sqref="J23"/>
    </sheetView>
  </sheetViews>
  <sheetFormatPr defaultColWidth="11.42578125" defaultRowHeight="12.75"/>
  <cols>
    <col min="1" max="1" width="3.42578125" style="662" customWidth="1"/>
    <col min="2" max="2" width="15.28515625" style="662" customWidth="1"/>
    <col min="3" max="4" width="10.140625" style="662" bestFit="1" customWidth="1"/>
    <col min="5" max="5" width="9.42578125" style="662" customWidth="1"/>
    <col min="6" max="6" width="11.28515625" style="662" customWidth="1"/>
    <col min="7" max="7" width="9.42578125" style="662" customWidth="1"/>
    <col min="8" max="8" width="8.42578125" style="662" customWidth="1"/>
    <col min="9" max="10" width="10.85546875" style="662" customWidth="1"/>
    <col min="11" max="11" width="9.42578125" style="662" bestFit="1" customWidth="1"/>
    <col min="12" max="12" width="10.28515625" style="662" customWidth="1"/>
    <col min="13" max="13" width="10.140625" style="662" customWidth="1"/>
    <col min="14" max="14" width="8.42578125" style="662" customWidth="1"/>
    <col min="15" max="15" width="23.7109375" style="662" customWidth="1"/>
    <col min="16" max="16" width="9.28515625" style="662" customWidth="1"/>
    <col min="17" max="17" width="3.85546875" style="662" customWidth="1"/>
    <col min="18" max="19" width="13" style="662" customWidth="1"/>
    <col min="20" max="20" width="9.42578125" style="662" customWidth="1"/>
    <col min="21" max="16384" width="11.42578125" style="662"/>
  </cols>
  <sheetData>
    <row r="2" spans="2:20" ht="15.75">
      <c r="C2" s="715" t="s">
        <v>106</v>
      </c>
      <c r="Q2" s="811" t="s">
        <v>107</v>
      </c>
      <c r="R2" s="811"/>
      <c r="S2" s="811"/>
      <c r="T2" s="811"/>
    </row>
    <row r="4" spans="2:20">
      <c r="C4" s="662" t="s">
        <v>26</v>
      </c>
    </row>
    <row r="5" spans="2:20">
      <c r="C5" s="662" t="s">
        <v>281</v>
      </c>
    </row>
    <row r="6" spans="2:20">
      <c r="C6" s="662" t="s">
        <v>29</v>
      </c>
    </row>
    <row r="7" spans="2:20">
      <c r="C7" s="662" t="s">
        <v>109</v>
      </c>
    </row>
    <row r="8" spans="2:20" ht="13.5" thickBot="1"/>
    <row r="9" spans="2:20" ht="13.5" thickBot="1">
      <c r="C9" s="812" t="s">
        <v>95</v>
      </c>
      <c r="D9" s="813"/>
      <c r="E9" s="813"/>
      <c r="F9" s="813"/>
      <c r="G9" s="813"/>
      <c r="H9" s="814"/>
      <c r="I9" s="820" t="s">
        <v>308</v>
      </c>
      <c r="J9" s="821"/>
      <c r="K9" s="821"/>
      <c r="L9" s="821"/>
      <c r="M9" s="821"/>
      <c r="N9" s="822"/>
      <c r="R9" s="716" t="s">
        <v>95</v>
      </c>
      <c r="S9" s="714" t="s">
        <v>308</v>
      </c>
    </row>
    <row r="10" spans="2:20" s="723" customFormat="1" ht="38.25" customHeight="1">
      <c r="B10" s="717"/>
      <c r="C10" s="717" t="s">
        <v>341</v>
      </c>
      <c r="D10" s="718" t="s">
        <v>340</v>
      </c>
      <c r="E10" s="718" t="s">
        <v>339</v>
      </c>
      <c r="F10" s="718" t="s">
        <v>206</v>
      </c>
      <c r="G10" s="718" t="s">
        <v>338</v>
      </c>
      <c r="H10" s="719" t="s">
        <v>161</v>
      </c>
      <c r="I10" s="720" t="s">
        <v>104</v>
      </c>
      <c r="J10" s="721" t="s">
        <v>105</v>
      </c>
      <c r="K10" s="721" t="s">
        <v>0</v>
      </c>
      <c r="L10" s="721" t="s">
        <v>206</v>
      </c>
      <c r="M10" s="721" t="s">
        <v>103</v>
      </c>
      <c r="N10" s="722" t="s">
        <v>161</v>
      </c>
      <c r="O10" s="713" t="s">
        <v>28</v>
      </c>
      <c r="R10" s="815" t="s">
        <v>147</v>
      </c>
      <c r="S10" s="815" t="s">
        <v>315</v>
      </c>
    </row>
    <row r="11" spans="2:20" s="728" customFormat="1" ht="13.5" thickBot="1">
      <c r="B11" s="724"/>
      <c r="C11" s="724" t="s">
        <v>11</v>
      </c>
      <c r="D11" s="725" t="s">
        <v>11</v>
      </c>
      <c r="E11" s="725" t="s">
        <v>11</v>
      </c>
      <c r="F11" s="725" t="s">
        <v>11</v>
      </c>
      <c r="G11" s="725" t="s">
        <v>11</v>
      </c>
      <c r="H11" s="726"/>
      <c r="I11" s="724" t="s">
        <v>11</v>
      </c>
      <c r="J11" s="725" t="s">
        <v>11</v>
      </c>
      <c r="K11" s="725" t="s">
        <v>11</v>
      </c>
      <c r="L11" s="725" t="s">
        <v>11</v>
      </c>
      <c r="M11" s="725" t="s">
        <v>11</v>
      </c>
      <c r="N11" s="726"/>
      <c r="O11" s="727"/>
      <c r="R11" s="816"/>
      <c r="S11" s="816"/>
    </row>
    <row r="12" spans="2:20" s="728" customFormat="1" ht="13.5" thickBot="1">
      <c r="B12" s="729" t="s">
        <v>25</v>
      </c>
      <c r="C12" s="730">
        <v>0.4</v>
      </c>
      <c r="D12" s="731">
        <v>0.8</v>
      </c>
      <c r="E12" s="731">
        <v>1</v>
      </c>
      <c r="F12" s="731">
        <v>0.5</v>
      </c>
      <c r="G12" s="731">
        <v>0.6</v>
      </c>
      <c r="H12" s="732"/>
      <c r="I12" s="730">
        <v>0.4</v>
      </c>
      <c r="J12" s="731">
        <v>0.8</v>
      </c>
      <c r="K12" s="731">
        <v>1</v>
      </c>
      <c r="L12" s="731">
        <v>0.5</v>
      </c>
      <c r="M12" s="731">
        <v>0.6</v>
      </c>
      <c r="N12" s="732"/>
      <c r="O12" s="733"/>
      <c r="R12" s="816"/>
      <c r="S12" s="816"/>
    </row>
    <row r="13" spans="2:20" s="728" customFormat="1" ht="26.25" thickBot="1">
      <c r="B13" s="729" t="s">
        <v>159</v>
      </c>
      <c r="C13" s="734">
        <f>C12</f>
        <v>0.4</v>
      </c>
      <c r="D13" s="735">
        <f>D12</f>
        <v>0.8</v>
      </c>
      <c r="E13" s="735">
        <f>E12</f>
        <v>1</v>
      </c>
      <c r="F13" s="735">
        <f>F12</f>
        <v>0.5</v>
      </c>
      <c r="G13" s="735">
        <f>G12</f>
        <v>0.6</v>
      </c>
      <c r="H13" s="736"/>
      <c r="I13" s="734">
        <v>0.4</v>
      </c>
      <c r="J13" s="735">
        <v>0.8</v>
      </c>
      <c r="K13" s="735">
        <v>1</v>
      </c>
      <c r="L13" s="735">
        <v>0.5</v>
      </c>
      <c r="M13" s="735">
        <v>0.6</v>
      </c>
      <c r="N13" s="736"/>
      <c r="O13" s="737"/>
      <c r="R13" s="816"/>
      <c r="S13" s="816"/>
    </row>
    <row r="14" spans="2:20" s="728" customFormat="1" ht="13.5" thickBot="1">
      <c r="B14" s="738"/>
      <c r="C14" s="738"/>
      <c r="D14" s="739"/>
      <c r="E14" s="739"/>
      <c r="F14" s="739"/>
      <c r="G14" s="739"/>
      <c r="H14" s="740"/>
      <c r="I14" s="738"/>
      <c r="J14" s="739"/>
      <c r="K14" s="739"/>
      <c r="L14" s="739"/>
      <c r="M14" s="739"/>
      <c r="N14" s="740"/>
      <c r="O14" s="741"/>
      <c r="R14" s="816"/>
      <c r="S14" s="816"/>
    </row>
    <row r="15" spans="2:20" s="728" customFormat="1" ht="12.75" customHeight="1" thickBot="1">
      <c r="B15" s="742"/>
      <c r="C15" s="808" t="s">
        <v>158</v>
      </c>
      <c r="D15" s="809"/>
      <c r="E15" s="809"/>
      <c r="F15" s="809"/>
      <c r="G15" s="809"/>
      <c r="H15" s="810"/>
      <c r="I15" s="808" t="s">
        <v>158</v>
      </c>
      <c r="J15" s="809"/>
      <c r="K15" s="809"/>
      <c r="L15" s="809"/>
      <c r="M15" s="809"/>
      <c r="N15" s="810"/>
      <c r="O15" s="743"/>
      <c r="R15" s="816"/>
      <c r="S15" s="816"/>
    </row>
    <row r="16" spans="2:20" s="728" customFormat="1" ht="26.25" thickBot="1">
      <c r="B16" s="729" t="s">
        <v>160</v>
      </c>
      <c r="C16" s="780">
        <v>1</v>
      </c>
      <c r="D16" s="781">
        <v>0</v>
      </c>
      <c r="E16" s="781">
        <v>0</v>
      </c>
      <c r="F16" s="781">
        <v>0</v>
      </c>
      <c r="G16" s="781">
        <v>0</v>
      </c>
      <c r="H16" s="818" t="s">
        <v>36</v>
      </c>
      <c r="I16" s="744">
        <v>0.2</v>
      </c>
      <c r="J16" s="745">
        <v>0.3</v>
      </c>
      <c r="K16" s="745">
        <v>0.25</v>
      </c>
      <c r="L16" s="745">
        <v>0.05</v>
      </c>
      <c r="M16" s="745">
        <v>0.2</v>
      </c>
      <c r="N16" s="818" t="s">
        <v>36</v>
      </c>
      <c r="O16" s="746"/>
      <c r="R16" s="817"/>
      <c r="S16" s="817"/>
    </row>
    <row r="17" spans="2:19" s="728" customFormat="1" ht="13.5" thickBot="1">
      <c r="B17" s="747" t="s">
        <v>1</v>
      </c>
      <c r="C17" s="747" t="s">
        <v>24</v>
      </c>
      <c r="D17" s="748" t="s">
        <v>24</v>
      </c>
      <c r="E17" s="748" t="s">
        <v>24</v>
      </c>
      <c r="F17" s="748" t="s">
        <v>24</v>
      </c>
      <c r="G17" s="748" t="s">
        <v>24</v>
      </c>
      <c r="H17" s="819"/>
      <c r="I17" s="747" t="s">
        <v>24</v>
      </c>
      <c r="J17" s="748" t="s">
        <v>24</v>
      </c>
      <c r="K17" s="748" t="s">
        <v>24</v>
      </c>
      <c r="L17" s="748" t="s">
        <v>24</v>
      </c>
      <c r="M17" s="748" t="s">
        <v>24</v>
      </c>
      <c r="N17" s="819"/>
      <c r="O17" s="727"/>
      <c r="R17" s="729" t="s">
        <v>157</v>
      </c>
      <c r="S17" s="749" t="s">
        <v>157</v>
      </c>
    </row>
    <row r="18" spans="2:19">
      <c r="B18" s="750">
        <f>year</f>
        <v>2000</v>
      </c>
      <c r="C18" s="751">
        <f>C$16</f>
        <v>1</v>
      </c>
      <c r="D18" s="752">
        <f t="shared" ref="D18:G33" si="0">D$16</f>
        <v>0</v>
      </c>
      <c r="E18" s="752">
        <f t="shared" si="0"/>
        <v>0</v>
      </c>
      <c r="F18" s="752">
        <f t="shared" si="0"/>
        <v>0</v>
      </c>
      <c r="G18" s="752">
        <f t="shared" si="0"/>
        <v>0</v>
      </c>
      <c r="H18" s="753">
        <f>SUM(C18:G18)</f>
        <v>1</v>
      </c>
      <c r="I18" s="751">
        <f>I$16</f>
        <v>0.2</v>
      </c>
      <c r="J18" s="752">
        <f t="shared" ref="J18:M33" si="1">J$16</f>
        <v>0.3</v>
      </c>
      <c r="K18" s="752">
        <f t="shared" si="1"/>
        <v>0.25</v>
      </c>
      <c r="L18" s="752">
        <f t="shared" si="1"/>
        <v>0.05</v>
      </c>
      <c r="M18" s="752">
        <f t="shared" si="1"/>
        <v>0.2</v>
      </c>
      <c r="N18" s="753">
        <f>SUM(I18:M18)</f>
        <v>1</v>
      </c>
      <c r="O18" s="698"/>
      <c r="R18" s="754">
        <f>C18*C$13+D18*D$13+E18*E$13+F18*F$13+G18*G$13</f>
        <v>0.4</v>
      </c>
      <c r="S18" s="755">
        <f>I18*I$13+J18*J$13+K18*K$13+L18*L$13+M18*M$13</f>
        <v>0.71500000000000008</v>
      </c>
    </row>
    <row r="19" spans="2:19">
      <c r="B19" s="756">
        <f t="shared" ref="B19:B50" si="2">B18+1</f>
        <v>2001</v>
      </c>
      <c r="C19" s="757">
        <f t="shared" ref="C19:G50" si="3">C$16</f>
        <v>1</v>
      </c>
      <c r="D19" s="758">
        <f t="shared" si="0"/>
        <v>0</v>
      </c>
      <c r="E19" s="758">
        <f t="shared" si="0"/>
        <v>0</v>
      </c>
      <c r="F19" s="758">
        <f t="shared" si="0"/>
        <v>0</v>
      </c>
      <c r="G19" s="758">
        <f t="shared" si="0"/>
        <v>0</v>
      </c>
      <c r="H19" s="759">
        <f t="shared" ref="H19:H82" si="4">SUM(C19:G19)</f>
        <v>1</v>
      </c>
      <c r="I19" s="757">
        <f t="shared" ref="I19:M50" si="5">I$16</f>
        <v>0.2</v>
      </c>
      <c r="J19" s="758">
        <f t="shared" si="1"/>
        <v>0.3</v>
      </c>
      <c r="K19" s="758">
        <f t="shared" si="1"/>
        <v>0.25</v>
      </c>
      <c r="L19" s="758">
        <f t="shared" si="1"/>
        <v>0.05</v>
      </c>
      <c r="M19" s="758">
        <f t="shared" si="1"/>
        <v>0.2</v>
      </c>
      <c r="N19" s="759">
        <f t="shared" ref="N19:N82" si="6">SUM(I19:M19)</f>
        <v>1</v>
      </c>
      <c r="O19" s="760"/>
      <c r="R19" s="754">
        <f>C19*C$13+D19*D$13+E19*E$13+F19*F$13+G19*G$13</f>
        <v>0.4</v>
      </c>
      <c r="S19" s="755">
        <f t="shared" ref="S19:S82" si="7">I19*I$13+J19*J$13+K19*K$13+L19*L$13+M19*M$13</f>
        <v>0.71500000000000008</v>
      </c>
    </row>
    <row r="20" spans="2:19">
      <c r="B20" s="756">
        <f t="shared" si="2"/>
        <v>2002</v>
      </c>
      <c r="C20" s="757">
        <f t="shared" si="3"/>
        <v>1</v>
      </c>
      <c r="D20" s="758">
        <f t="shared" si="0"/>
        <v>0</v>
      </c>
      <c r="E20" s="758">
        <f t="shared" si="0"/>
        <v>0</v>
      </c>
      <c r="F20" s="758">
        <f t="shared" si="0"/>
        <v>0</v>
      </c>
      <c r="G20" s="758">
        <f t="shared" si="0"/>
        <v>0</v>
      </c>
      <c r="H20" s="759">
        <f t="shared" si="4"/>
        <v>1</v>
      </c>
      <c r="I20" s="757">
        <f t="shared" si="5"/>
        <v>0.2</v>
      </c>
      <c r="J20" s="758">
        <f t="shared" si="1"/>
        <v>0.3</v>
      </c>
      <c r="K20" s="758">
        <f t="shared" si="1"/>
        <v>0.25</v>
      </c>
      <c r="L20" s="758">
        <f t="shared" si="1"/>
        <v>0.05</v>
      </c>
      <c r="M20" s="758">
        <f t="shared" si="1"/>
        <v>0.2</v>
      </c>
      <c r="N20" s="759">
        <f t="shared" si="6"/>
        <v>1</v>
      </c>
      <c r="O20" s="760"/>
      <c r="R20" s="754">
        <f t="shared" ref="R20:R82" si="8">C20*C$13+D20*D$13+E20*E$13+F20*F$13+G20*G$13</f>
        <v>0.4</v>
      </c>
      <c r="S20" s="755">
        <f t="shared" si="7"/>
        <v>0.71500000000000008</v>
      </c>
    </row>
    <row r="21" spans="2:19">
      <c r="B21" s="756">
        <f t="shared" si="2"/>
        <v>2003</v>
      </c>
      <c r="C21" s="757">
        <f t="shared" si="3"/>
        <v>1</v>
      </c>
      <c r="D21" s="758">
        <f t="shared" si="0"/>
        <v>0</v>
      </c>
      <c r="E21" s="758">
        <f t="shared" si="0"/>
        <v>0</v>
      </c>
      <c r="F21" s="758">
        <f t="shared" si="0"/>
        <v>0</v>
      </c>
      <c r="G21" s="758">
        <f t="shared" si="0"/>
        <v>0</v>
      </c>
      <c r="H21" s="759">
        <f t="shared" si="4"/>
        <v>1</v>
      </c>
      <c r="I21" s="757">
        <f t="shared" si="5"/>
        <v>0.2</v>
      </c>
      <c r="J21" s="758">
        <f t="shared" si="1"/>
        <v>0.3</v>
      </c>
      <c r="K21" s="758">
        <f t="shared" si="1"/>
        <v>0.25</v>
      </c>
      <c r="L21" s="758">
        <f t="shared" si="1"/>
        <v>0.05</v>
      </c>
      <c r="M21" s="758">
        <f t="shared" si="1"/>
        <v>0.2</v>
      </c>
      <c r="N21" s="759">
        <f t="shared" si="6"/>
        <v>1</v>
      </c>
      <c r="O21" s="760"/>
      <c r="R21" s="754">
        <f t="shared" si="8"/>
        <v>0.4</v>
      </c>
      <c r="S21" s="755">
        <f t="shared" si="7"/>
        <v>0.71500000000000008</v>
      </c>
    </row>
    <row r="22" spans="2:19">
      <c r="B22" s="756">
        <f t="shared" si="2"/>
        <v>2004</v>
      </c>
      <c r="C22" s="757">
        <f t="shared" si="3"/>
        <v>1</v>
      </c>
      <c r="D22" s="758">
        <f t="shared" si="0"/>
        <v>0</v>
      </c>
      <c r="E22" s="758">
        <f t="shared" si="0"/>
        <v>0</v>
      </c>
      <c r="F22" s="758">
        <f t="shared" si="0"/>
        <v>0</v>
      </c>
      <c r="G22" s="758">
        <f t="shared" si="0"/>
        <v>0</v>
      </c>
      <c r="H22" s="759">
        <f t="shared" si="4"/>
        <v>1</v>
      </c>
      <c r="I22" s="757">
        <f t="shared" si="5"/>
        <v>0.2</v>
      </c>
      <c r="J22" s="758">
        <f t="shared" si="1"/>
        <v>0.3</v>
      </c>
      <c r="K22" s="758">
        <f t="shared" si="1"/>
        <v>0.25</v>
      </c>
      <c r="L22" s="758">
        <f t="shared" si="1"/>
        <v>0.05</v>
      </c>
      <c r="M22" s="758">
        <f t="shared" si="1"/>
        <v>0.2</v>
      </c>
      <c r="N22" s="759">
        <f t="shared" si="6"/>
        <v>1</v>
      </c>
      <c r="O22" s="760"/>
      <c r="R22" s="754">
        <f t="shared" si="8"/>
        <v>0.4</v>
      </c>
      <c r="S22" s="755">
        <f t="shared" si="7"/>
        <v>0.71500000000000008</v>
      </c>
    </row>
    <row r="23" spans="2:19">
      <c r="B23" s="756">
        <f t="shared" si="2"/>
        <v>2005</v>
      </c>
      <c r="C23" s="757">
        <f t="shared" si="3"/>
        <v>1</v>
      </c>
      <c r="D23" s="758">
        <f t="shared" si="0"/>
        <v>0</v>
      </c>
      <c r="E23" s="758">
        <f t="shared" si="0"/>
        <v>0</v>
      </c>
      <c r="F23" s="758">
        <f t="shared" si="0"/>
        <v>0</v>
      </c>
      <c r="G23" s="758">
        <f t="shared" si="0"/>
        <v>0</v>
      </c>
      <c r="H23" s="759">
        <f t="shared" si="4"/>
        <v>1</v>
      </c>
      <c r="I23" s="757">
        <f t="shared" si="5"/>
        <v>0.2</v>
      </c>
      <c r="J23" s="758">
        <f t="shared" si="1"/>
        <v>0.3</v>
      </c>
      <c r="K23" s="758">
        <f t="shared" si="1"/>
        <v>0.25</v>
      </c>
      <c r="L23" s="758">
        <f t="shared" si="1"/>
        <v>0.05</v>
      </c>
      <c r="M23" s="758">
        <f t="shared" si="1"/>
        <v>0.2</v>
      </c>
      <c r="N23" s="759">
        <f t="shared" si="6"/>
        <v>1</v>
      </c>
      <c r="O23" s="760"/>
      <c r="R23" s="754">
        <f t="shared" si="8"/>
        <v>0.4</v>
      </c>
      <c r="S23" s="755">
        <f t="shared" si="7"/>
        <v>0.71500000000000008</v>
      </c>
    </row>
    <row r="24" spans="2:19">
      <c r="B24" s="756">
        <f t="shared" si="2"/>
        <v>2006</v>
      </c>
      <c r="C24" s="757">
        <f t="shared" si="3"/>
        <v>1</v>
      </c>
      <c r="D24" s="758">
        <f t="shared" si="0"/>
        <v>0</v>
      </c>
      <c r="E24" s="758">
        <f t="shared" si="0"/>
        <v>0</v>
      </c>
      <c r="F24" s="758">
        <f t="shared" si="0"/>
        <v>0</v>
      </c>
      <c r="G24" s="758">
        <f t="shared" si="0"/>
        <v>0</v>
      </c>
      <c r="H24" s="759">
        <f t="shared" si="4"/>
        <v>1</v>
      </c>
      <c r="I24" s="757">
        <f t="shared" si="5"/>
        <v>0.2</v>
      </c>
      <c r="J24" s="758">
        <f t="shared" si="1"/>
        <v>0.3</v>
      </c>
      <c r="K24" s="758">
        <f t="shared" si="1"/>
        <v>0.25</v>
      </c>
      <c r="L24" s="758">
        <f t="shared" si="1"/>
        <v>0.05</v>
      </c>
      <c r="M24" s="758">
        <f t="shared" si="1"/>
        <v>0.2</v>
      </c>
      <c r="N24" s="759">
        <f t="shared" si="6"/>
        <v>1</v>
      </c>
      <c r="O24" s="760"/>
      <c r="R24" s="754">
        <f t="shared" si="8"/>
        <v>0.4</v>
      </c>
      <c r="S24" s="755">
        <f t="shared" si="7"/>
        <v>0.71500000000000008</v>
      </c>
    </row>
    <row r="25" spans="2:19">
      <c r="B25" s="756">
        <f t="shared" si="2"/>
        <v>2007</v>
      </c>
      <c r="C25" s="757">
        <f t="shared" si="3"/>
        <v>1</v>
      </c>
      <c r="D25" s="758">
        <f t="shared" si="0"/>
        <v>0</v>
      </c>
      <c r="E25" s="758">
        <f t="shared" si="0"/>
        <v>0</v>
      </c>
      <c r="F25" s="758">
        <f t="shared" si="0"/>
        <v>0</v>
      </c>
      <c r="G25" s="758">
        <f t="shared" si="0"/>
        <v>0</v>
      </c>
      <c r="H25" s="759">
        <f t="shared" si="4"/>
        <v>1</v>
      </c>
      <c r="I25" s="757">
        <f t="shared" si="5"/>
        <v>0.2</v>
      </c>
      <c r="J25" s="758">
        <f t="shared" si="1"/>
        <v>0.3</v>
      </c>
      <c r="K25" s="758">
        <f t="shared" si="1"/>
        <v>0.25</v>
      </c>
      <c r="L25" s="758">
        <f t="shared" si="1"/>
        <v>0.05</v>
      </c>
      <c r="M25" s="758">
        <f t="shared" si="1"/>
        <v>0.2</v>
      </c>
      <c r="N25" s="759">
        <f t="shared" si="6"/>
        <v>1</v>
      </c>
      <c r="O25" s="760"/>
      <c r="R25" s="754">
        <f t="shared" si="8"/>
        <v>0.4</v>
      </c>
      <c r="S25" s="755">
        <f t="shared" si="7"/>
        <v>0.71500000000000008</v>
      </c>
    </row>
    <row r="26" spans="2:19">
      <c r="B26" s="756">
        <f t="shared" si="2"/>
        <v>2008</v>
      </c>
      <c r="C26" s="757">
        <f t="shared" si="3"/>
        <v>1</v>
      </c>
      <c r="D26" s="758">
        <f t="shared" si="0"/>
        <v>0</v>
      </c>
      <c r="E26" s="758">
        <f t="shared" si="0"/>
        <v>0</v>
      </c>
      <c r="F26" s="758">
        <f t="shared" si="0"/>
        <v>0</v>
      </c>
      <c r="G26" s="758">
        <f t="shared" si="0"/>
        <v>0</v>
      </c>
      <c r="H26" s="759">
        <f t="shared" si="4"/>
        <v>1</v>
      </c>
      <c r="I26" s="757">
        <f t="shared" si="5"/>
        <v>0.2</v>
      </c>
      <c r="J26" s="758">
        <f t="shared" si="1"/>
        <v>0.3</v>
      </c>
      <c r="K26" s="758">
        <f t="shared" si="1"/>
        <v>0.25</v>
      </c>
      <c r="L26" s="758">
        <f t="shared" si="1"/>
        <v>0.05</v>
      </c>
      <c r="M26" s="758">
        <f t="shared" si="1"/>
        <v>0.2</v>
      </c>
      <c r="N26" s="759">
        <f t="shared" si="6"/>
        <v>1</v>
      </c>
      <c r="O26" s="760"/>
      <c r="R26" s="754">
        <f t="shared" si="8"/>
        <v>0.4</v>
      </c>
      <c r="S26" s="755">
        <f t="shared" si="7"/>
        <v>0.71500000000000008</v>
      </c>
    </row>
    <row r="27" spans="2:19">
      <c r="B27" s="756">
        <f t="shared" si="2"/>
        <v>2009</v>
      </c>
      <c r="C27" s="757">
        <f t="shared" si="3"/>
        <v>1</v>
      </c>
      <c r="D27" s="758">
        <f t="shared" si="0"/>
        <v>0</v>
      </c>
      <c r="E27" s="758">
        <f t="shared" si="0"/>
        <v>0</v>
      </c>
      <c r="F27" s="758">
        <f t="shared" si="0"/>
        <v>0</v>
      </c>
      <c r="G27" s="758">
        <f t="shared" si="0"/>
        <v>0</v>
      </c>
      <c r="H27" s="759">
        <f t="shared" si="4"/>
        <v>1</v>
      </c>
      <c r="I27" s="757">
        <f t="shared" si="5"/>
        <v>0.2</v>
      </c>
      <c r="J27" s="758">
        <f t="shared" si="1"/>
        <v>0.3</v>
      </c>
      <c r="K27" s="758">
        <f t="shared" si="1"/>
        <v>0.25</v>
      </c>
      <c r="L27" s="758">
        <f t="shared" si="1"/>
        <v>0.05</v>
      </c>
      <c r="M27" s="758">
        <f t="shared" si="1"/>
        <v>0.2</v>
      </c>
      <c r="N27" s="759">
        <f t="shared" si="6"/>
        <v>1</v>
      </c>
      <c r="O27" s="760"/>
      <c r="R27" s="754">
        <f t="shared" si="8"/>
        <v>0.4</v>
      </c>
      <c r="S27" s="755">
        <f t="shared" si="7"/>
        <v>0.71500000000000008</v>
      </c>
    </row>
    <row r="28" spans="2:19">
      <c r="B28" s="756">
        <f t="shared" si="2"/>
        <v>2010</v>
      </c>
      <c r="C28" s="757">
        <f t="shared" si="3"/>
        <v>1</v>
      </c>
      <c r="D28" s="758">
        <f t="shared" si="0"/>
        <v>0</v>
      </c>
      <c r="E28" s="758">
        <f t="shared" si="0"/>
        <v>0</v>
      </c>
      <c r="F28" s="758">
        <f t="shared" si="0"/>
        <v>0</v>
      </c>
      <c r="G28" s="758">
        <f t="shared" si="0"/>
        <v>0</v>
      </c>
      <c r="H28" s="759">
        <f t="shared" si="4"/>
        <v>1</v>
      </c>
      <c r="I28" s="757">
        <f t="shared" si="5"/>
        <v>0.2</v>
      </c>
      <c r="J28" s="758">
        <f t="shared" si="1"/>
        <v>0.3</v>
      </c>
      <c r="K28" s="758">
        <f t="shared" si="1"/>
        <v>0.25</v>
      </c>
      <c r="L28" s="758">
        <f t="shared" si="1"/>
        <v>0.05</v>
      </c>
      <c r="M28" s="758">
        <f t="shared" si="1"/>
        <v>0.2</v>
      </c>
      <c r="N28" s="759">
        <f t="shared" si="6"/>
        <v>1</v>
      </c>
      <c r="O28" s="760"/>
      <c r="R28" s="754">
        <f t="shared" si="8"/>
        <v>0.4</v>
      </c>
      <c r="S28" s="755">
        <f t="shared" si="7"/>
        <v>0.71500000000000008</v>
      </c>
    </row>
    <row r="29" spans="2:19">
      <c r="B29" s="756">
        <f t="shared" si="2"/>
        <v>2011</v>
      </c>
      <c r="C29" s="757">
        <f t="shared" si="3"/>
        <v>1</v>
      </c>
      <c r="D29" s="758">
        <f t="shared" si="0"/>
        <v>0</v>
      </c>
      <c r="E29" s="758">
        <f t="shared" si="0"/>
        <v>0</v>
      </c>
      <c r="F29" s="758">
        <f t="shared" si="0"/>
        <v>0</v>
      </c>
      <c r="G29" s="758">
        <f t="shared" si="0"/>
        <v>0</v>
      </c>
      <c r="H29" s="759">
        <f t="shared" si="4"/>
        <v>1</v>
      </c>
      <c r="I29" s="757">
        <f t="shared" si="5"/>
        <v>0.2</v>
      </c>
      <c r="J29" s="758">
        <f t="shared" si="1"/>
        <v>0.3</v>
      </c>
      <c r="K29" s="758">
        <f t="shared" si="1"/>
        <v>0.25</v>
      </c>
      <c r="L29" s="758">
        <f t="shared" si="1"/>
        <v>0.05</v>
      </c>
      <c r="M29" s="758">
        <f t="shared" si="1"/>
        <v>0.2</v>
      </c>
      <c r="N29" s="759">
        <f t="shared" si="6"/>
        <v>1</v>
      </c>
      <c r="O29" s="760"/>
      <c r="R29" s="754">
        <f t="shared" si="8"/>
        <v>0.4</v>
      </c>
      <c r="S29" s="755">
        <f t="shared" si="7"/>
        <v>0.71500000000000008</v>
      </c>
    </row>
    <row r="30" spans="2:19">
      <c r="B30" s="756">
        <f t="shared" si="2"/>
        <v>2012</v>
      </c>
      <c r="C30" s="757">
        <f t="shared" si="3"/>
        <v>1</v>
      </c>
      <c r="D30" s="758">
        <f t="shared" si="0"/>
        <v>0</v>
      </c>
      <c r="E30" s="758">
        <f t="shared" si="0"/>
        <v>0</v>
      </c>
      <c r="F30" s="758">
        <f t="shared" si="0"/>
        <v>0</v>
      </c>
      <c r="G30" s="758">
        <f t="shared" si="0"/>
        <v>0</v>
      </c>
      <c r="H30" s="759">
        <f t="shared" si="4"/>
        <v>1</v>
      </c>
      <c r="I30" s="757">
        <f t="shared" si="5"/>
        <v>0.2</v>
      </c>
      <c r="J30" s="758">
        <f t="shared" si="1"/>
        <v>0.3</v>
      </c>
      <c r="K30" s="758">
        <f t="shared" si="1"/>
        <v>0.25</v>
      </c>
      <c r="L30" s="758">
        <f t="shared" si="1"/>
        <v>0.05</v>
      </c>
      <c r="M30" s="758">
        <f t="shared" si="1"/>
        <v>0.2</v>
      </c>
      <c r="N30" s="759">
        <f t="shared" si="6"/>
        <v>1</v>
      </c>
      <c r="O30" s="760"/>
      <c r="R30" s="754">
        <f t="shared" si="8"/>
        <v>0.4</v>
      </c>
      <c r="S30" s="755">
        <f t="shared" si="7"/>
        <v>0.71500000000000008</v>
      </c>
    </row>
    <row r="31" spans="2:19">
      <c r="B31" s="756">
        <f t="shared" si="2"/>
        <v>2013</v>
      </c>
      <c r="C31" s="757">
        <f t="shared" si="3"/>
        <v>1</v>
      </c>
      <c r="D31" s="758">
        <f t="shared" si="0"/>
        <v>0</v>
      </c>
      <c r="E31" s="758">
        <f t="shared" si="0"/>
        <v>0</v>
      </c>
      <c r="F31" s="758">
        <f t="shared" si="0"/>
        <v>0</v>
      </c>
      <c r="G31" s="758">
        <f t="shared" si="0"/>
        <v>0</v>
      </c>
      <c r="H31" s="759">
        <f t="shared" si="4"/>
        <v>1</v>
      </c>
      <c r="I31" s="757">
        <f t="shared" si="5"/>
        <v>0.2</v>
      </c>
      <c r="J31" s="758">
        <f t="shared" si="1"/>
        <v>0.3</v>
      </c>
      <c r="K31" s="758">
        <f t="shared" si="1"/>
        <v>0.25</v>
      </c>
      <c r="L31" s="758">
        <f t="shared" si="1"/>
        <v>0.05</v>
      </c>
      <c r="M31" s="758">
        <f t="shared" si="1"/>
        <v>0.2</v>
      </c>
      <c r="N31" s="759">
        <f t="shared" si="6"/>
        <v>1</v>
      </c>
      <c r="O31" s="760"/>
      <c r="R31" s="754">
        <f t="shared" si="8"/>
        <v>0.4</v>
      </c>
      <c r="S31" s="755">
        <f t="shared" si="7"/>
        <v>0.71500000000000008</v>
      </c>
    </row>
    <row r="32" spans="2:19">
      <c r="B32" s="756">
        <f t="shared" si="2"/>
        <v>2014</v>
      </c>
      <c r="C32" s="757">
        <f t="shared" si="3"/>
        <v>1</v>
      </c>
      <c r="D32" s="758">
        <f t="shared" si="0"/>
        <v>0</v>
      </c>
      <c r="E32" s="758">
        <f t="shared" si="0"/>
        <v>0</v>
      </c>
      <c r="F32" s="758">
        <f t="shared" si="0"/>
        <v>0</v>
      </c>
      <c r="G32" s="758">
        <f t="shared" si="0"/>
        <v>0</v>
      </c>
      <c r="H32" s="759">
        <f t="shared" si="4"/>
        <v>1</v>
      </c>
      <c r="I32" s="757">
        <f t="shared" si="5"/>
        <v>0.2</v>
      </c>
      <c r="J32" s="758">
        <f t="shared" si="1"/>
        <v>0.3</v>
      </c>
      <c r="K32" s="758">
        <f t="shared" si="1"/>
        <v>0.25</v>
      </c>
      <c r="L32" s="758">
        <f t="shared" si="1"/>
        <v>0.05</v>
      </c>
      <c r="M32" s="758">
        <f t="shared" si="1"/>
        <v>0.2</v>
      </c>
      <c r="N32" s="759">
        <f t="shared" si="6"/>
        <v>1</v>
      </c>
      <c r="O32" s="760"/>
      <c r="R32" s="754">
        <f t="shared" si="8"/>
        <v>0.4</v>
      </c>
      <c r="S32" s="755">
        <f t="shared" si="7"/>
        <v>0.71500000000000008</v>
      </c>
    </row>
    <row r="33" spans="2:19">
      <c r="B33" s="756">
        <f t="shared" si="2"/>
        <v>2015</v>
      </c>
      <c r="C33" s="757">
        <f t="shared" si="3"/>
        <v>1</v>
      </c>
      <c r="D33" s="758">
        <f t="shared" si="0"/>
        <v>0</v>
      </c>
      <c r="E33" s="758">
        <f t="shared" si="0"/>
        <v>0</v>
      </c>
      <c r="F33" s="758">
        <f t="shared" si="0"/>
        <v>0</v>
      </c>
      <c r="G33" s="758">
        <f t="shared" si="0"/>
        <v>0</v>
      </c>
      <c r="H33" s="759">
        <f t="shared" si="4"/>
        <v>1</v>
      </c>
      <c r="I33" s="757">
        <f t="shared" si="5"/>
        <v>0.2</v>
      </c>
      <c r="J33" s="758">
        <f t="shared" si="1"/>
        <v>0.3</v>
      </c>
      <c r="K33" s="758">
        <f t="shared" si="1"/>
        <v>0.25</v>
      </c>
      <c r="L33" s="758">
        <f t="shared" si="1"/>
        <v>0.05</v>
      </c>
      <c r="M33" s="758">
        <f t="shared" si="1"/>
        <v>0.2</v>
      </c>
      <c r="N33" s="759">
        <f t="shared" si="6"/>
        <v>1</v>
      </c>
      <c r="O33" s="760"/>
      <c r="R33" s="754">
        <f t="shared" si="8"/>
        <v>0.4</v>
      </c>
      <c r="S33" s="755">
        <f t="shared" si="7"/>
        <v>0.71500000000000008</v>
      </c>
    </row>
    <row r="34" spans="2:19">
      <c r="B34" s="756">
        <f t="shared" si="2"/>
        <v>2016</v>
      </c>
      <c r="C34" s="757">
        <f t="shared" si="3"/>
        <v>1</v>
      </c>
      <c r="D34" s="758">
        <f t="shared" si="3"/>
        <v>0</v>
      </c>
      <c r="E34" s="758">
        <f t="shared" si="3"/>
        <v>0</v>
      </c>
      <c r="F34" s="758">
        <f t="shared" si="3"/>
        <v>0</v>
      </c>
      <c r="G34" s="758">
        <f t="shared" si="3"/>
        <v>0</v>
      </c>
      <c r="H34" s="759">
        <f t="shared" si="4"/>
        <v>1</v>
      </c>
      <c r="I34" s="757">
        <f t="shared" si="5"/>
        <v>0.2</v>
      </c>
      <c r="J34" s="758">
        <f t="shared" si="5"/>
        <v>0.3</v>
      </c>
      <c r="K34" s="758">
        <f t="shared" si="5"/>
        <v>0.25</v>
      </c>
      <c r="L34" s="758">
        <f t="shared" si="5"/>
        <v>0.05</v>
      </c>
      <c r="M34" s="758">
        <f t="shared" si="5"/>
        <v>0.2</v>
      </c>
      <c r="N34" s="759">
        <f t="shared" si="6"/>
        <v>1</v>
      </c>
      <c r="O34" s="760"/>
      <c r="R34" s="754">
        <f t="shared" si="8"/>
        <v>0.4</v>
      </c>
      <c r="S34" s="755">
        <f t="shared" si="7"/>
        <v>0.71500000000000008</v>
      </c>
    </row>
    <row r="35" spans="2:19">
      <c r="B35" s="756">
        <f t="shared" si="2"/>
        <v>2017</v>
      </c>
      <c r="C35" s="757">
        <f t="shared" si="3"/>
        <v>1</v>
      </c>
      <c r="D35" s="758">
        <f t="shared" si="3"/>
        <v>0</v>
      </c>
      <c r="E35" s="758">
        <f t="shared" si="3"/>
        <v>0</v>
      </c>
      <c r="F35" s="758">
        <f t="shared" si="3"/>
        <v>0</v>
      </c>
      <c r="G35" s="758">
        <f t="shared" si="3"/>
        <v>0</v>
      </c>
      <c r="H35" s="759">
        <f t="shared" si="4"/>
        <v>1</v>
      </c>
      <c r="I35" s="757">
        <f t="shared" si="5"/>
        <v>0.2</v>
      </c>
      <c r="J35" s="758">
        <f t="shared" si="5"/>
        <v>0.3</v>
      </c>
      <c r="K35" s="758">
        <f t="shared" si="5"/>
        <v>0.25</v>
      </c>
      <c r="L35" s="758">
        <f t="shared" si="5"/>
        <v>0.05</v>
      </c>
      <c r="M35" s="758">
        <f t="shared" si="5"/>
        <v>0.2</v>
      </c>
      <c r="N35" s="759">
        <f t="shared" si="6"/>
        <v>1</v>
      </c>
      <c r="O35" s="760"/>
      <c r="R35" s="754">
        <f t="shared" si="8"/>
        <v>0.4</v>
      </c>
      <c r="S35" s="755">
        <f t="shared" si="7"/>
        <v>0.71500000000000008</v>
      </c>
    </row>
    <row r="36" spans="2:19">
      <c r="B36" s="756">
        <f t="shared" si="2"/>
        <v>2018</v>
      </c>
      <c r="C36" s="757">
        <f t="shared" si="3"/>
        <v>1</v>
      </c>
      <c r="D36" s="758">
        <f t="shared" si="3"/>
        <v>0</v>
      </c>
      <c r="E36" s="758">
        <f t="shared" si="3"/>
        <v>0</v>
      </c>
      <c r="F36" s="758">
        <f t="shared" si="3"/>
        <v>0</v>
      </c>
      <c r="G36" s="758">
        <f t="shared" si="3"/>
        <v>0</v>
      </c>
      <c r="H36" s="759">
        <f t="shared" si="4"/>
        <v>1</v>
      </c>
      <c r="I36" s="757">
        <f t="shared" si="5"/>
        <v>0.2</v>
      </c>
      <c r="J36" s="758">
        <f t="shared" si="5"/>
        <v>0.3</v>
      </c>
      <c r="K36" s="758">
        <f t="shared" si="5"/>
        <v>0.25</v>
      </c>
      <c r="L36" s="758">
        <f t="shared" si="5"/>
        <v>0.05</v>
      </c>
      <c r="M36" s="758">
        <f t="shared" si="5"/>
        <v>0.2</v>
      </c>
      <c r="N36" s="759">
        <f t="shared" si="6"/>
        <v>1</v>
      </c>
      <c r="O36" s="760"/>
      <c r="R36" s="754">
        <f t="shared" si="8"/>
        <v>0.4</v>
      </c>
      <c r="S36" s="755">
        <f t="shared" si="7"/>
        <v>0.71500000000000008</v>
      </c>
    </row>
    <row r="37" spans="2:19">
      <c r="B37" s="756">
        <f t="shared" si="2"/>
        <v>2019</v>
      </c>
      <c r="C37" s="757">
        <f t="shared" si="3"/>
        <v>1</v>
      </c>
      <c r="D37" s="758">
        <f t="shared" si="3"/>
        <v>0</v>
      </c>
      <c r="E37" s="758">
        <f t="shared" si="3"/>
        <v>0</v>
      </c>
      <c r="F37" s="758">
        <f t="shared" si="3"/>
        <v>0</v>
      </c>
      <c r="G37" s="758">
        <f t="shared" si="3"/>
        <v>0</v>
      </c>
      <c r="H37" s="759">
        <f t="shared" si="4"/>
        <v>1</v>
      </c>
      <c r="I37" s="757">
        <f t="shared" si="5"/>
        <v>0.2</v>
      </c>
      <c r="J37" s="758">
        <f t="shared" si="5"/>
        <v>0.3</v>
      </c>
      <c r="K37" s="758">
        <f t="shared" si="5"/>
        <v>0.25</v>
      </c>
      <c r="L37" s="758">
        <f t="shared" si="5"/>
        <v>0.05</v>
      </c>
      <c r="M37" s="758">
        <f t="shared" si="5"/>
        <v>0.2</v>
      </c>
      <c r="N37" s="759">
        <f t="shared" si="6"/>
        <v>1</v>
      </c>
      <c r="O37" s="760"/>
      <c r="R37" s="754">
        <f t="shared" si="8"/>
        <v>0.4</v>
      </c>
      <c r="S37" s="755">
        <f t="shared" si="7"/>
        <v>0.71500000000000008</v>
      </c>
    </row>
    <row r="38" spans="2:19">
      <c r="B38" s="756">
        <f t="shared" si="2"/>
        <v>2020</v>
      </c>
      <c r="C38" s="757">
        <f t="shared" si="3"/>
        <v>1</v>
      </c>
      <c r="D38" s="758">
        <f t="shared" si="3"/>
        <v>0</v>
      </c>
      <c r="E38" s="758">
        <f t="shared" si="3"/>
        <v>0</v>
      </c>
      <c r="F38" s="758">
        <f t="shared" si="3"/>
        <v>0</v>
      </c>
      <c r="G38" s="758">
        <f t="shared" si="3"/>
        <v>0</v>
      </c>
      <c r="H38" s="759">
        <f t="shared" si="4"/>
        <v>1</v>
      </c>
      <c r="I38" s="757">
        <f t="shared" si="5"/>
        <v>0.2</v>
      </c>
      <c r="J38" s="758">
        <f t="shared" si="5"/>
        <v>0.3</v>
      </c>
      <c r="K38" s="758">
        <f t="shared" si="5"/>
        <v>0.25</v>
      </c>
      <c r="L38" s="758">
        <f t="shared" si="5"/>
        <v>0.05</v>
      </c>
      <c r="M38" s="758">
        <f t="shared" si="5"/>
        <v>0.2</v>
      </c>
      <c r="N38" s="759">
        <f t="shared" si="6"/>
        <v>1</v>
      </c>
      <c r="O38" s="760"/>
      <c r="R38" s="754">
        <f t="shared" si="8"/>
        <v>0.4</v>
      </c>
      <c r="S38" s="755">
        <f t="shared" si="7"/>
        <v>0.71500000000000008</v>
      </c>
    </row>
    <row r="39" spans="2:19">
      <c r="B39" s="756">
        <f t="shared" si="2"/>
        <v>2021</v>
      </c>
      <c r="C39" s="757">
        <f t="shared" si="3"/>
        <v>1</v>
      </c>
      <c r="D39" s="758">
        <f t="shared" si="3"/>
        <v>0</v>
      </c>
      <c r="E39" s="758">
        <f t="shared" si="3"/>
        <v>0</v>
      </c>
      <c r="F39" s="758">
        <f t="shared" si="3"/>
        <v>0</v>
      </c>
      <c r="G39" s="758">
        <f t="shared" si="3"/>
        <v>0</v>
      </c>
      <c r="H39" s="759">
        <f t="shared" si="4"/>
        <v>1</v>
      </c>
      <c r="I39" s="757">
        <f t="shared" si="5"/>
        <v>0.2</v>
      </c>
      <c r="J39" s="758">
        <f t="shared" si="5"/>
        <v>0.3</v>
      </c>
      <c r="K39" s="758">
        <f t="shared" si="5"/>
        <v>0.25</v>
      </c>
      <c r="L39" s="758">
        <f t="shared" si="5"/>
        <v>0.05</v>
      </c>
      <c r="M39" s="758">
        <f t="shared" si="5"/>
        <v>0.2</v>
      </c>
      <c r="N39" s="759">
        <f t="shared" si="6"/>
        <v>1</v>
      </c>
      <c r="O39" s="760"/>
      <c r="R39" s="754">
        <f t="shared" si="8"/>
        <v>0.4</v>
      </c>
      <c r="S39" s="755">
        <f t="shared" si="7"/>
        <v>0.71500000000000008</v>
      </c>
    </row>
    <row r="40" spans="2:19">
      <c r="B40" s="756">
        <f t="shared" si="2"/>
        <v>2022</v>
      </c>
      <c r="C40" s="757">
        <f t="shared" si="3"/>
        <v>1</v>
      </c>
      <c r="D40" s="758">
        <f t="shared" si="3"/>
        <v>0</v>
      </c>
      <c r="E40" s="758">
        <f t="shared" si="3"/>
        <v>0</v>
      </c>
      <c r="F40" s="758">
        <f t="shared" si="3"/>
        <v>0</v>
      </c>
      <c r="G40" s="758">
        <f t="shared" si="3"/>
        <v>0</v>
      </c>
      <c r="H40" s="759">
        <f t="shared" si="4"/>
        <v>1</v>
      </c>
      <c r="I40" s="757">
        <f t="shared" si="5"/>
        <v>0.2</v>
      </c>
      <c r="J40" s="758">
        <f t="shared" si="5"/>
        <v>0.3</v>
      </c>
      <c r="K40" s="758">
        <f t="shared" si="5"/>
        <v>0.25</v>
      </c>
      <c r="L40" s="758">
        <f t="shared" si="5"/>
        <v>0.05</v>
      </c>
      <c r="M40" s="758">
        <f t="shared" si="5"/>
        <v>0.2</v>
      </c>
      <c r="N40" s="759">
        <f t="shared" si="6"/>
        <v>1</v>
      </c>
      <c r="O40" s="760"/>
      <c r="R40" s="754">
        <f t="shared" si="8"/>
        <v>0.4</v>
      </c>
      <c r="S40" s="755">
        <f t="shared" si="7"/>
        <v>0.71500000000000008</v>
      </c>
    </row>
    <row r="41" spans="2:19">
      <c r="B41" s="756">
        <f t="shared" si="2"/>
        <v>2023</v>
      </c>
      <c r="C41" s="757">
        <f t="shared" si="3"/>
        <v>1</v>
      </c>
      <c r="D41" s="758">
        <f t="shared" si="3"/>
        <v>0</v>
      </c>
      <c r="E41" s="758">
        <f t="shared" si="3"/>
        <v>0</v>
      </c>
      <c r="F41" s="758">
        <f t="shared" si="3"/>
        <v>0</v>
      </c>
      <c r="G41" s="758">
        <f t="shared" si="3"/>
        <v>0</v>
      </c>
      <c r="H41" s="759">
        <f t="shared" si="4"/>
        <v>1</v>
      </c>
      <c r="I41" s="757">
        <f t="shared" si="5"/>
        <v>0.2</v>
      </c>
      <c r="J41" s="758">
        <f t="shared" si="5"/>
        <v>0.3</v>
      </c>
      <c r="K41" s="758">
        <f t="shared" si="5"/>
        <v>0.25</v>
      </c>
      <c r="L41" s="758">
        <f t="shared" si="5"/>
        <v>0.05</v>
      </c>
      <c r="M41" s="758">
        <f t="shared" si="5"/>
        <v>0.2</v>
      </c>
      <c r="N41" s="759">
        <f t="shared" si="6"/>
        <v>1</v>
      </c>
      <c r="O41" s="760"/>
      <c r="R41" s="754">
        <f t="shared" si="8"/>
        <v>0.4</v>
      </c>
      <c r="S41" s="755">
        <f t="shared" si="7"/>
        <v>0.71500000000000008</v>
      </c>
    </row>
    <row r="42" spans="2:19">
      <c r="B42" s="756">
        <f t="shared" si="2"/>
        <v>2024</v>
      </c>
      <c r="C42" s="757">
        <f t="shared" si="3"/>
        <v>1</v>
      </c>
      <c r="D42" s="758">
        <f t="shared" si="3"/>
        <v>0</v>
      </c>
      <c r="E42" s="758">
        <f t="shared" si="3"/>
        <v>0</v>
      </c>
      <c r="F42" s="758">
        <f t="shared" si="3"/>
        <v>0</v>
      </c>
      <c r="G42" s="758">
        <f t="shared" si="3"/>
        <v>0</v>
      </c>
      <c r="H42" s="759">
        <f t="shared" si="4"/>
        <v>1</v>
      </c>
      <c r="I42" s="757">
        <f t="shared" si="5"/>
        <v>0.2</v>
      </c>
      <c r="J42" s="758">
        <f t="shared" si="5"/>
        <v>0.3</v>
      </c>
      <c r="K42" s="758">
        <f t="shared" si="5"/>
        <v>0.25</v>
      </c>
      <c r="L42" s="758">
        <f t="shared" si="5"/>
        <v>0.05</v>
      </c>
      <c r="M42" s="758">
        <f t="shared" si="5"/>
        <v>0.2</v>
      </c>
      <c r="N42" s="759">
        <f t="shared" si="6"/>
        <v>1</v>
      </c>
      <c r="O42" s="760"/>
      <c r="R42" s="754">
        <f t="shared" si="8"/>
        <v>0.4</v>
      </c>
      <c r="S42" s="755">
        <f t="shared" si="7"/>
        <v>0.71500000000000008</v>
      </c>
    </row>
    <row r="43" spans="2:19">
      <c r="B43" s="756">
        <f t="shared" si="2"/>
        <v>2025</v>
      </c>
      <c r="C43" s="757">
        <f t="shared" si="3"/>
        <v>1</v>
      </c>
      <c r="D43" s="758">
        <f t="shared" si="3"/>
        <v>0</v>
      </c>
      <c r="E43" s="758">
        <f t="shared" si="3"/>
        <v>0</v>
      </c>
      <c r="F43" s="758">
        <f t="shared" si="3"/>
        <v>0</v>
      </c>
      <c r="G43" s="758">
        <f t="shared" si="3"/>
        <v>0</v>
      </c>
      <c r="H43" s="759">
        <f t="shared" si="4"/>
        <v>1</v>
      </c>
      <c r="I43" s="757">
        <f t="shared" si="5"/>
        <v>0.2</v>
      </c>
      <c r="J43" s="758">
        <f t="shared" si="5"/>
        <v>0.3</v>
      </c>
      <c r="K43" s="758">
        <f t="shared" si="5"/>
        <v>0.25</v>
      </c>
      <c r="L43" s="758">
        <f t="shared" si="5"/>
        <v>0.05</v>
      </c>
      <c r="M43" s="758">
        <f t="shared" si="5"/>
        <v>0.2</v>
      </c>
      <c r="N43" s="759">
        <f t="shared" si="6"/>
        <v>1</v>
      </c>
      <c r="O43" s="760"/>
      <c r="R43" s="754">
        <f t="shared" si="8"/>
        <v>0.4</v>
      </c>
      <c r="S43" s="755">
        <f t="shared" si="7"/>
        <v>0.71500000000000008</v>
      </c>
    </row>
    <row r="44" spans="2:19">
      <c r="B44" s="756">
        <f t="shared" si="2"/>
        <v>2026</v>
      </c>
      <c r="C44" s="757">
        <f t="shared" si="3"/>
        <v>1</v>
      </c>
      <c r="D44" s="758">
        <f t="shared" si="3"/>
        <v>0</v>
      </c>
      <c r="E44" s="758">
        <f t="shared" si="3"/>
        <v>0</v>
      </c>
      <c r="F44" s="758">
        <f t="shared" si="3"/>
        <v>0</v>
      </c>
      <c r="G44" s="758">
        <f t="shared" si="3"/>
        <v>0</v>
      </c>
      <c r="H44" s="759">
        <f t="shared" si="4"/>
        <v>1</v>
      </c>
      <c r="I44" s="757">
        <f t="shared" si="5"/>
        <v>0.2</v>
      </c>
      <c r="J44" s="758">
        <f t="shared" si="5"/>
        <v>0.3</v>
      </c>
      <c r="K44" s="758">
        <f t="shared" si="5"/>
        <v>0.25</v>
      </c>
      <c r="L44" s="758">
        <f t="shared" si="5"/>
        <v>0.05</v>
      </c>
      <c r="M44" s="758">
        <f t="shared" si="5"/>
        <v>0.2</v>
      </c>
      <c r="N44" s="759">
        <f t="shared" si="6"/>
        <v>1</v>
      </c>
      <c r="O44" s="760"/>
      <c r="R44" s="754">
        <f t="shared" si="8"/>
        <v>0.4</v>
      </c>
      <c r="S44" s="755">
        <f t="shared" si="7"/>
        <v>0.71500000000000008</v>
      </c>
    </row>
    <row r="45" spans="2:19">
      <c r="B45" s="756">
        <f t="shared" si="2"/>
        <v>2027</v>
      </c>
      <c r="C45" s="757">
        <f t="shared" si="3"/>
        <v>1</v>
      </c>
      <c r="D45" s="758">
        <f t="shared" si="3"/>
        <v>0</v>
      </c>
      <c r="E45" s="758">
        <f t="shared" si="3"/>
        <v>0</v>
      </c>
      <c r="F45" s="758">
        <f t="shared" si="3"/>
        <v>0</v>
      </c>
      <c r="G45" s="758">
        <f t="shared" si="3"/>
        <v>0</v>
      </c>
      <c r="H45" s="759">
        <f t="shared" si="4"/>
        <v>1</v>
      </c>
      <c r="I45" s="757">
        <f t="shared" si="5"/>
        <v>0.2</v>
      </c>
      <c r="J45" s="758">
        <f t="shared" si="5"/>
        <v>0.3</v>
      </c>
      <c r="K45" s="758">
        <f t="shared" si="5"/>
        <v>0.25</v>
      </c>
      <c r="L45" s="758">
        <f t="shared" si="5"/>
        <v>0.05</v>
      </c>
      <c r="M45" s="758">
        <f t="shared" si="5"/>
        <v>0.2</v>
      </c>
      <c r="N45" s="759">
        <f t="shared" si="6"/>
        <v>1</v>
      </c>
      <c r="O45" s="760"/>
      <c r="R45" s="754">
        <f t="shared" si="8"/>
        <v>0.4</v>
      </c>
      <c r="S45" s="755">
        <f t="shared" si="7"/>
        <v>0.71500000000000008</v>
      </c>
    </row>
    <row r="46" spans="2:19">
      <c r="B46" s="756">
        <f t="shared" si="2"/>
        <v>2028</v>
      </c>
      <c r="C46" s="757">
        <f t="shared" si="3"/>
        <v>1</v>
      </c>
      <c r="D46" s="758">
        <f t="shared" si="3"/>
        <v>0</v>
      </c>
      <c r="E46" s="758">
        <f t="shared" si="3"/>
        <v>0</v>
      </c>
      <c r="F46" s="758">
        <f t="shared" si="3"/>
        <v>0</v>
      </c>
      <c r="G46" s="758">
        <f t="shared" si="3"/>
        <v>0</v>
      </c>
      <c r="H46" s="759">
        <f t="shared" si="4"/>
        <v>1</v>
      </c>
      <c r="I46" s="757">
        <f t="shared" si="5"/>
        <v>0.2</v>
      </c>
      <c r="J46" s="758">
        <f t="shared" si="5"/>
        <v>0.3</v>
      </c>
      <c r="K46" s="758">
        <f t="shared" si="5"/>
        <v>0.25</v>
      </c>
      <c r="L46" s="758">
        <f t="shared" si="5"/>
        <v>0.05</v>
      </c>
      <c r="M46" s="758">
        <f t="shared" si="5"/>
        <v>0.2</v>
      </c>
      <c r="N46" s="759">
        <f t="shared" si="6"/>
        <v>1</v>
      </c>
      <c r="O46" s="760"/>
      <c r="R46" s="754">
        <f t="shared" si="8"/>
        <v>0.4</v>
      </c>
      <c r="S46" s="755">
        <f t="shared" si="7"/>
        <v>0.71500000000000008</v>
      </c>
    </row>
    <row r="47" spans="2:19">
      <c r="B47" s="756">
        <f t="shared" si="2"/>
        <v>2029</v>
      </c>
      <c r="C47" s="757">
        <f t="shared" si="3"/>
        <v>1</v>
      </c>
      <c r="D47" s="758">
        <f t="shared" si="3"/>
        <v>0</v>
      </c>
      <c r="E47" s="758">
        <f t="shared" si="3"/>
        <v>0</v>
      </c>
      <c r="F47" s="758">
        <f t="shared" si="3"/>
        <v>0</v>
      </c>
      <c r="G47" s="758">
        <f t="shared" si="3"/>
        <v>0</v>
      </c>
      <c r="H47" s="759">
        <f t="shared" si="4"/>
        <v>1</v>
      </c>
      <c r="I47" s="757">
        <f t="shared" si="5"/>
        <v>0.2</v>
      </c>
      <c r="J47" s="758">
        <f t="shared" si="5"/>
        <v>0.3</v>
      </c>
      <c r="K47" s="758">
        <f t="shared" si="5"/>
        <v>0.25</v>
      </c>
      <c r="L47" s="758">
        <f t="shared" si="5"/>
        <v>0.05</v>
      </c>
      <c r="M47" s="758">
        <f t="shared" si="5"/>
        <v>0.2</v>
      </c>
      <c r="N47" s="759">
        <f t="shared" si="6"/>
        <v>1</v>
      </c>
      <c r="O47" s="760"/>
      <c r="R47" s="754">
        <f t="shared" si="8"/>
        <v>0.4</v>
      </c>
      <c r="S47" s="755">
        <f t="shared" si="7"/>
        <v>0.71500000000000008</v>
      </c>
    </row>
    <row r="48" spans="2:19">
      <c r="B48" s="756">
        <f t="shared" si="2"/>
        <v>2030</v>
      </c>
      <c r="C48" s="757">
        <f t="shared" si="3"/>
        <v>1</v>
      </c>
      <c r="D48" s="758">
        <f t="shared" si="3"/>
        <v>0</v>
      </c>
      <c r="E48" s="758">
        <f t="shared" si="3"/>
        <v>0</v>
      </c>
      <c r="F48" s="758">
        <f t="shared" si="3"/>
        <v>0</v>
      </c>
      <c r="G48" s="758">
        <f t="shared" si="3"/>
        <v>0</v>
      </c>
      <c r="H48" s="759">
        <f t="shared" si="4"/>
        <v>1</v>
      </c>
      <c r="I48" s="757">
        <f t="shared" si="5"/>
        <v>0.2</v>
      </c>
      <c r="J48" s="758">
        <f t="shared" si="5"/>
        <v>0.3</v>
      </c>
      <c r="K48" s="758">
        <f t="shared" si="5"/>
        <v>0.25</v>
      </c>
      <c r="L48" s="758">
        <f t="shared" si="5"/>
        <v>0.05</v>
      </c>
      <c r="M48" s="758">
        <f t="shared" si="5"/>
        <v>0.2</v>
      </c>
      <c r="N48" s="759">
        <f t="shared" si="6"/>
        <v>1</v>
      </c>
      <c r="O48" s="760"/>
      <c r="R48" s="754">
        <f t="shared" si="8"/>
        <v>0.4</v>
      </c>
      <c r="S48" s="755">
        <f t="shared" si="7"/>
        <v>0.71500000000000008</v>
      </c>
    </row>
    <row r="49" spans="2:19">
      <c r="B49" s="756">
        <f t="shared" si="2"/>
        <v>2031</v>
      </c>
      <c r="C49" s="757">
        <f t="shared" si="3"/>
        <v>1</v>
      </c>
      <c r="D49" s="758">
        <f t="shared" si="3"/>
        <v>0</v>
      </c>
      <c r="E49" s="758">
        <f t="shared" si="3"/>
        <v>0</v>
      </c>
      <c r="F49" s="758">
        <f t="shared" si="3"/>
        <v>0</v>
      </c>
      <c r="G49" s="758">
        <f t="shared" si="3"/>
        <v>0</v>
      </c>
      <c r="H49" s="759">
        <f t="shared" si="4"/>
        <v>1</v>
      </c>
      <c r="I49" s="757">
        <f t="shared" si="5"/>
        <v>0.2</v>
      </c>
      <c r="J49" s="758">
        <f t="shared" si="5"/>
        <v>0.3</v>
      </c>
      <c r="K49" s="758">
        <f t="shared" si="5"/>
        <v>0.25</v>
      </c>
      <c r="L49" s="758">
        <f t="shared" si="5"/>
        <v>0.05</v>
      </c>
      <c r="M49" s="758">
        <f t="shared" si="5"/>
        <v>0.2</v>
      </c>
      <c r="N49" s="759">
        <f t="shared" si="6"/>
        <v>1</v>
      </c>
      <c r="O49" s="760"/>
      <c r="R49" s="754">
        <f t="shared" si="8"/>
        <v>0.4</v>
      </c>
      <c r="S49" s="755">
        <f t="shared" si="7"/>
        <v>0.71500000000000008</v>
      </c>
    </row>
    <row r="50" spans="2:19">
      <c r="B50" s="756">
        <f t="shared" si="2"/>
        <v>2032</v>
      </c>
      <c r="C50" s="757">
        <f t="shared" si="3"/>
        <v>1</v>
      </c>
      <c r="D50" s="758">
        <f t="shared" si="3"/>
        <v>0</v>
      </c>
      <c r="E50" s="758">
        <f t="shared" si="3"/>
        <v>0</v>
      </c>
      <c r="F50" s="758">
        <f t="shared" si="3"/>
        <v>0</v>
      </c>
      <c r="G50" s="758">
        <f t="shared" si="3"/>
        <v>0</v>
      </c>
      <c r="H50" s="759">
        <f t="shared" si="4"/>
        <v>1</v>
      </c>
      <c r="I50" s="757">
        <f t="shared" si="5"/>
        <v>0.2</v>
      </c>
      <c r="J50" s="758">
        <f t="shared" si="5"/>
        <v>0.3</v>
      </c>
      <c r="K50" s="758">
        <f t="shared" si="5"/>
        <v>0.25</v>
      </c>
      <c r="L50" s="758">
        <f t="shared" si="5"/>
        <v>0.05</v>
      </c>
      <c r="M50" s="758">
        <f t="shared" si="5"/>
        <v>0.2</v>
      </c>
      <c r="N50" s="759">
        <f t="shared" si="6"/>
        <v>1</v>
      </c>
      <c r="O50" s="760"/>
      <c r="R50" s="754">
        <f t="shared" si="8"/>
        <v>0.4</v>
      </c>
      <c r="S50" s="755">
        <f t="shared" si="7"/>
        <v>0.71500000000000008</v>
      </c>
    </row>
    <row r="51" spans="2:19">
      <c r="B51" s="756">
        <f t="shared" ref="B51:B82" si="9">B50+1</f>
        <v>2033</v>
      </c>
      <c r="C51" s="757">
        <f t="shared" ref="C51:G98" si="10">C$16</f>
        <v>1</v>
      </c>
      <c r="D51" s="758">
        <f t="shared" si="10"/>
        <v>0</v>
      </c>
      <c r="E51" s="758">
        <f t="shared" si="10"/>
        <v>0</v>
      </c>
      <c r="F51" s="758">
        <f t="shared" si="10"/>
        <v>0</v>
      </c>
      <c r="G51" s="758">
        <f t="shared" si="10"/>
        <v>0</v>
      </c>
      <c r="H51" s="759">
        <f t="shared" si="4"/>
        <v>1</v>
      </c>
      <c r="I51" s="757">
        <f t="shared" ref="I51:M98" si="11">I$16</f>
        <v>0.2</v>
      </c>
      <c r="J51" s="758">
        <f t="shared" si="11"/>
        <v>0.3</v>
      </c>
      <c r="K51" s="758">
        <f t="shared" si="11"/>
        <v>0.25</v>
      </c>
      <c r="L51" s="758">
        <f t="shared" si="11"/>
        <v>0.05</v>
      </c>
      <c r="M51" s="758">
        <f t="shared" si="11"/>
        <v>0.2</v>
      </c>
      <c r="N51" s="759">
        <f t="shared" si="6"/>
        <v>1</v>
      </c>
      <c r="O51" s="760"/>
      <c r="R51" s="754">
        <f t="shared" si="8"/>
        <v>0.4</v>
      </c>
      <c r="S51" s="755">
        <f t="shared" si="7"/>
        <v>0.71500000000000008</v>
      </c>
    </row>
    <row r="52" spans="2:19">
      <c r="B52" s="756">
        <f t="shared" si="9"/>
        <v>2034</v>
      </c>
      <c r="C52" s="757">
        <f t="shared" si="10"/>
        <v>1</v>
      </c>
      <c r="D52" s="758">
        <f t="shared" si="10"/>
        <v>0</v>
      </c>
      <c r="E52" s="758">
        <f t="shared" si="10"/>
        <v>0</v>
      </c>
      <c r="F52" s="758">
        <f t="shared" si="10"/>
        <v>0</v>
      </c>
      <c r="G52" s="758">
        <f t="shared" si="10"/>
        <v>0</v>
      </c>
      <c r="H52" s="759">
        <f t="shared" si="4"/>
        <v>1</v>
      </c>
      <c r="I52" s="757">
        <f t="shared" si="11"/>
        <v>0.2</v>
      </c>
      <c r="J52" s="758">
        <f t="shared" si="11"/>
        <v>0.3</v>
      </c>
      <c r="K52" s="758">
        <f t="shared" si="11"/>
        <v>0.25</v>
      </c>
      <c r="L52" s="758">
        <f t="shared" si="11"/>
        <v>0.05</v>
      </c>
      <c r="M52" s="758">
        <f t="shared" si="11"/>
        <v>0.2</v>
      </c>
      <c r="N52" s="759">
        <f t="shared" si="6"/>
        <v>1</v>
      </c>
      <c r="O52" s="760"/>
      <c r="R52" s="754">
        <f t="shared" si="8"/>
        <v>0.4</v>
      </c>
      <c r="S52" s="755">
        <f t="shared" si="7"/>
        <v>0.71500000000000008</v>
      </c>
    </row>
    <row r="53" spans="2:19">
      <c r="B53" s="756">
        <f t="shared" si="9"/>
        <v>2035</v>
      </c>
      <c r="C53" s="757">
        <f t="shared" si="10"/>
        <v>1</v>
      </c>
      <c r="D53" s="758">
        <f t="shared" si="10"/>
        <v>0</v>
      </c>
      <c r="E53" s="758">
        <f t="shared" si="10"/>
        <v>0</v>
      </c>
      <c r="F53" s="758">
        <f t="shared" si="10"/>
        <v>0</v>
      </c>
      <c r="G53" s="758">
        <f t="shared" si="10"/>
        <v>0</v>
      </c>
      <c r="H53" s="759">
        <f t="shared" si="4"/>
        <v>1</v>
      </c>
      <c r="I53" s="757">
        <f t="shared" si="11"/>
        <v>0.2</v>
      </c>
      <c r="J53" s="758">
        <f t="shared" si="11"/>
        <v>0.3</v>
      </c>
      <c r="K53" s="758">
        <f t="shared" si="11"/>
        <v>0.25</v>
      </c>
      <c r="L53" s="758">
        <f t="shared" si="11"/>
        <v>0.05</v>
      </c>
      <c r="M53" s="758">
        <f t="shared" si="11"/>
        <v>0.2</v>
      </c>
      <c r="N53" s="759">
        <f t="shared" si="6"/>
        <v>1</v>
      </c>
      <c r="O53" s="760"/>
      <c r="R53" s="754">
        <f t="shared" si="8"/>
        <v>0.4</v>
      </c>
      <c r="S53" s="755">
        <f t="shared" si="7"/>
        <v>0.71500000000000008</v>
      </c>
    </row>
    <row r="54" spans="2:19">
      <c r="B54" s="756">
        <f t="shared" si="9"/>
        <v>2036</v>
      </c>
      <c r="C54" s="757">
        <f t="shared" si="10"/>
        <v>1</v>
      </c>
      <c r="D54" s="758">
        <f t="shared" si="10"/>
        <v>0</v>
      </c>
      <c r="E54" s="758">
        <f t="shared" si="10"/>
        <v>0</v>
      </c>
      <c r="F54" s="758">
        <f t="shared" si="10"/>
        <v>0</v>
      </c>
      <c r="G54" s="758">
        <f t="shared" si="10"/>
        <v>0</v>
      </c>
      <c r="H54" s="759">
        <f t="shared" si="4"/>
        <v>1</v>
      </c>
      <c r="I54" s="757">
        <f t="shared" si="11"/>
        <v>0.2</v>
      </c>
      <c r="J54" s="758">
        <f t="shared" si="11"/>
        <v>0.3</v>
      </c>
      <c r="K54" s="758">
        <f t="shared" si="11"/>
        <v>0.25</v>
      </c>
      <c r="L54" s="758">
        <f t="shared" si="11"/>
        <v>0.05</v>
      </c>
      <c r="M54" s="758">
        <f t="shared" si="11"/>
        <v>0.2</v>
      </c>
      <c r="N54" s="759">
        <f t="shared" si="6"/>
        <v>1</v>
      </c>
      <c r="O54" s="760"/>
      <c r="R54" s="754">
        <f t="shared" si="8"/>
        <v>0.4</v>
      </c>
      <c r="S54" s="755">
        <f t="shared" si="7"/>
        <v>0.71500000000000008</v>
      </c>
    </row>
    <row r="55" spans="2:19">
      <c r="B55" s="756">
        <f t="shared" si="9"/>
        <v>2037</v>
      </c>
      <c r="C55" s="757">
        <f t="shared" si="10"/>
        <v>1</v>
      </c>
      <c r="D55" s="758">
        <f t="shared" si="10"/>
        <v>0</v>
      </c>
      <c r="E55" s="758">
        <f t="shared" si="10"/>
        <v>0</v>
      </c>
      <c r="F55" s="758">
        <f t="shared" si="10"/>
        <v>0</v>
      </c>
      <c r="G55" s="758">
        <f t="shared" si="10"/>
        <v>0</v>
      </c>
      <c r="H55" s="759">
        <f t="shared" si="4"/>
        <v>1</v>
      </c>
      <c r="I55" s="757">
        <f t="shared" si="11"/>
        <v>0.2</v>
      </c>
      <c r="J55" s="758">
        <f t="shared" si="11"/>
        <v>0.3</v>
      </c>
      <c r="K55" s="758">
        <f t="shared" si="11"/>
        <v>0.25</v>
      </c>
      <c r="L55" s="758">
        <f t="shared" si="11"/>
        <v>0.05</v>
      </c>
      <c r="M55" s="758">
        <f t="shared" si="11"/>
        <v>0.2</v>
      </c>
      <c r="N55" s="759">
        <f t="shared" si="6"/>
        <v>1</v>
      </c>
      <c r="O55" s="760"/>
      <c r="R55" s="754">
        <f t="shared" si="8"/>
        <v>0.4</v>
      </c>
      <c r="S55" s="755">
        <f t="shared" si="7"/>
        <v>0.71500000000000008</v>
      </c>
    </row>
    <row r="56" spans="2:19">
      <c r="B56" s="756">
        <f t="shared" si="9"/>
        <v>2038</v>
      </c>
      <c r="C56" s="757">
        <f t="shared" si="10"/>
        <v>1</v>
      </c>
      <c r="D56" s="758">
        <f t="shared" si="10"/>
        <v>0</v>
      </c>
      <c r="E56" s="758">
        <f t="shared" si="10"/>
        <v>0</v>
      </c>
      <c r="F56" s="758">
        <f t="shared" si="10"/>
        <v>0</v>
      </c>
      <c r="G56" s="758">
        <f t="shared" si="10"/>
        <v>0</v>
      </c>
      <c r="H56" s="759">
        <f t="shared" si="4"/>
        <v>1</v>
      </c>
      <c r="I56" s="757">
        <f t="shared" si="11"/>
        <v>0.2</v>
      </c>
      <c r="J56" s="758">
        <f t="shared" si="11"/>
        <v>0.3</v>
      </c>
      <c r="K56" s="758">
        <f t="shared" si="11"/>
        <v>0.25</v>
      </c>
      <c r="L56" s="758">
        <f t="shared" si="11"/>
        <v>0.05</v>
      </c>
      <c r="M56" s="758">
        <f t="shared" si="11"/>
        <v>0.2</v>
      </c>
      <c r="N56" s="759">
        <f t="shared" si="6"/>
        <v>1</v>
      </c>
      <c r="O56" s="760"/>
      <c r="R56" s="754">
        <f t="shared" si="8"/>
        <v>0.4</v>
      </c>
      <c r="S56" s="755">
        <f t="shared" si="7"/>
        <v>0.71500000000000008</v>
      </c>
    </row>
    <row r="57" spans="2:19">
      <c r="B57" s="756">
        <f t="shared" si="9"/>
        <v>2039</v>
      </c>
      <c r="C57" s="757">
        <f t="shared" si="10"/>
        <v>1</v>
      </c>
      <c r="D57" s="758">
        <f t="shared" si="10"/>
        <v>0</v>
      </c>
      <c r="E57" s="758">
        <f t="shared" si="10"/>
        <v>0</v>
      </c>
      <c r="F57" s="758">
        <f t="shared" si="10"/>
        <v>0</v>
      </c>
      <c r="G57" s="758">
        <f t="shared" si="10"/>
        <v>0</v>
      </c>
      <c r="H57" s="759">
        <f t="shared" si="4"/>
        <v>1</v>
      </c>
      <c r="I57" s="757">
        <f t="shared" si="11"/>
        <v>0.2</v>
      </c>
      <c r="J57" s="758">
        <f t="shared" si="11"/>
        <v>0.3</v>
      </c>
      <c r="K57" s="758">
        <f t="shared" si="11"/>
        <v>0.25</v>
      </c>
      <c r="L57" s="758">
        <f t="shared" si="11"/>
        <v>0.05</v>
      </c>
      <c r="M57" s="758">
        <f t="shared" si="11"/>
        <v>0.2</v>
      </c>
      <c r="N57" s="759">
        <f t="shared" si="6"/>
        <v>1</v>
      </c>
      <c r="O57" s="760"/>
      <c r="R57" s="754">
        <f t="shared" si="8"/>
        <v>0.4</v>
      </c>
      <c r="S57" s="755">
        <f t="shared" si="7"/>
        <v>0.71500000000000008</v>
      </c>
    </row>
    <row r="58" spans="2:19">
      <c r="B58" s="756">
        <f t="shared" si="9"/>
        <v>2040</v>
      </c>
      <c r="C58" s="757">
        <f t="shared" si="10"/>
        <v>1</v>
      </c>
      <c r="D58" s="758">
        <f t="shared" si="10"/>
        <v>0</v>
      </c>
      <c r="E58" s="758">
        <f t="shared" si="10"/>
        <v>0</v>
      </c>
      <c r="F58" s="758">
        <f t="shared" si="10"/>
        <v>0</v>
      </c>
      <c r="G58" s="758">
        <f t="shared" si="10"/>
        <v>0</v>
      </c>
      <c r="H58" s="759">
        <f t="shared" si="4"/>
        <v>1</v>
      </c>
      <c r="I58" s="757">
        <f t="shared" si="11"/>
        <v>0.2</v>
      </c>
      <c r="J58" s="758">
        <f t="shared" si="11"/>
        <v>0.3</v>
      </c>
      <c r="K58" s="758">
        <f t="shared" si="11"/>
        <v>0.25</v>
      </c>
      <c r="L58" s="758">
        <f t="shared" si="11"/>
        <v>0.05</v>
      </c>
      <c r="M58" s="758">
        <f t="shared" si="11"/>
        <v>0.2</v>
      </c>
      <c r="N58" s="759">
        <f t="shared" si="6"/>
        <v>1</v>
      </c>
      <c r="O58" s="760"/>
      <c r="R58" s="754">
        <f t="shared" si="8"/>
        <v>0.4</v>
      </c>
      <c r="S58" s="755">
        <f t="shared" si="7"/>
        <v>0.71500000000000008</v>
      </c>
    </row>
    <row r="59" spans="2:19">
      <c r="B59" s="756">
        <f t="shared" si="9"/>
        <v>2041</v>
      </c>
      <c r="C59" s="757">
        <f t="shared" si="10"/>
        <v>1</v>
      </c>
      <c r="D59" s="758">
        <f t="shared" si="10"/>
        <v>0</v>
      </c>
      <c r="E59" s="758">
        <f t="shared" si="10"/>
        <v>0</v>
      </c>
      <c r="F59" s="758">
        <f t="shared" si="10"/>
        <v>0</v>
      </c>
      <c r="G59" s="758">
        <f t="shared" si="10"/>
        <v>0</v>
      </c>
      <c r="H59" s="759">
        <f t="shared" si="4"/>
        <v>1</v>
      </c>
      <c r="I59" s="757">
        <f t="shared" si="11"/>
        <v>0.2</v>
      </c>
      <c r="J59" s="758">
        <f t="shared" si="11"/>
        <v>0.3</v>
      </c>
      <c r="K59" s="758">
        <f t="shared" si="11"/>
        <v>0.25</v>
      </c>
      <c r="L59" s="758">
        <f t="shared" si="11"/>
        <v>0.05</v>
      </c>
      <c r="M59" s="758">
        <f t="shared" si="11"/>
        <v>0.2</v>
      </c>
      <c r="N59" s="759">
        <f t="shared" si="6"/>
        <v>1</v>
      </c>
      <c r="O59" s="760"/>
      <c r="R59" s="754">
        <f t="shared" si="8"/>
        <v>0.4</v>
      </c>
      <c r="S59" s="755">
        <f t="shared" si="7"/>
        <v>0.71500000000000008</v>
      </c>
    </row>
    <row r="60" spans="2:19">
      <c r="B60" s="756">
        <f t="shared" si="9"/>
        <v>2042</v>
      </c>
      <c r="C60" s="757">
        <f t="shared" si="10"/>
        <v>1</v>
      </c>
      <c r="D60" s="758">
        <f t="shared" si="10"/>
        <v>0</v>
      </c>
      <c r="E60" s="758">
        <f t="shared" si="10"/>
        <v>0</v>
      </c>
      <c r="F60" s="758">
        <f t="shared" si="10"/>
        <v>0</v>
      </c>
      <c r="G60" s="758">
        <f t="shared" si="10"/>
        <v>0</v>
      </c>
      <c r="H60" s="759">
        <f t="shared" si="4"/>
        <v>1</v>
      </c>
      <c r="I60" s="757">
        <f t="shared" si="11"/>
        <v>0.2</v>
      </c>
      <c r="J60" s="758">
        <f t="shared" si="11"/>
        <v>0.3</v>
      </c>
      <c r="K60" s="758">
        <f t="shared" si="11"/>
        <v>0.25</v>
      </c>
      <c r="L60" s="758">
        <f t="shared" si="11"/>
        <v>0.05</v>
      </c>
      <c r="M60" s="758">
        <f t="shared" si="11"/>
        <v>0.2</v>
      </c>
      <c r="N60" s="759">
        <f t="shared" si="6"/>
        <v>1</v>
      </c>
      <c r="O60" s="760"/>
      <c r="R60" s="754">
        <f t="shared" si="8"/>
        <v>0.4</v>
      </c>
      <c r="S60" s="755">
        <f t="shared" si="7"/>
        <v>0.71500000000000008</v>
      </c>
    </row>
    <row r="61" spans="2:19">
      <c r="B61" s="756">
        <f t="shared" si="9"/>
        <v>2043</v>
      </c>
      <c r="C61" s="757">
        <f t="shared" si="10"/>
        <v>1</v>
      </c>
      <c r="D61" s="758">
        <f t="shared" si="10"/>
        <v>0</v>
      </c>
      <c r="E61" s="758">
        <f t="shared" si="10"/>
        <v>0</v>
      </c>
      <c r="F61" s="758">
        <f t="shared" si="10"/>
        <v>0</v>
      </c>
      <c r="G61" s="758">
        <f t="shared" si="10"/>
        <v>0</v>
      </c>
      <c r="H61" s="759">
        <f t="shared" si="4"/>
        <v>1</v>
      </c>
      <c r="I61" s="757">
        <f t="shared" si="11"/>
        <v>0.2</v>
      </c>
      <c r="J61" s="758">
        <f t="shared" si="11"/>
        <v>0.3</v>
      </c>
      <c r="K61" s="758">
        <f t="shared" si="11"/>
        <v>0.25</v>
      </c>
      <c r="L61" s="758">
        <f t="shared" si="11"/>
        <v>0.05</v>
      </c>
      <c r="M61" s="758">
        <f t="shared" si="11"/>
        <v>0.2</v>
      </c>
      <c r="N61" s="759">
        <f t="shared" si="6"/>
        <v>1</v>
      </c>
      <c r="O61" s="760"/>
      <c r="R61" s="754">
        <f t="shared" si="8"/>
        <v>0.4</v>
      </c>
      <c r="S61" s="755">
        <f t="shared" si="7"/>
        <v>0.71500000000000008</v>
      </c>
    </row>
    <row r="62" spans="2:19">
      <c r="B62" s="756">
        <f t="shared" si="9"/>
        <v>2044</v>
      </c>
      <c r="C62" s="757">
        <f t="shared" si="10"/>
        <v>1</v>
      </c>
      <c r="D62" s="758">
        <f t="shared" si="10"/>
        <v>0</v>
      </c>
      <c r="E62" s="758">
        <f t="shared" si="10"/>
        <v>0</v>
      </c>
      <c r="F62" s="758">
        <f t="shared" si="10"/>
        <v>0</v>
      </c>
      <c r="G62" s="758">
        <f t="shared" si="10"/>
        <v>0</v>
      </c>
      <c r="H62" s="759">
        <f t="shared" si="4"/>
        <v>1</v>
      </c>
      <c r="I62" s="757">
        <f t="shared" si="11"/>
        <v>0.2</v>
      </c>
      <c r="J62" s="758">
        <f t="shared" si="11"/>
        <v>0.3</v>
      </c>
      <c r="K62" s="758">
        <f t="shared" si="11"/>
        <v>0.25</v>
      </c>
      <c r="L62" s="758">
        <f t="shared" si="11"/>
        <v>0.05</v>
      </c>
      <c r="M62" s="758">
        <f t="shared" si="11"/>
        <v>0.2</v>
      </c>
      <c r="N62" s="759">
        <f t="shared" si="6"/>
        <v>1</v>
      </c>
      <c r="O62" s="760"/>
      <c r="R62" s="754">
        <f t="shared" si="8"/>
        <v>0.4</v>
      </c>
      <c r="S62" s="755">
        <f t="shared" si="7"/>
        <v>0.71500000000000008</v>
      </c>
    </row>
    <row r="63" spans="2:19">
      <c r="B63" s="756">
        <f t="shared" si="9"/>
        <v>2045</v>
      </c>
      <c r="C63" s="757">
        <f t="shared" si="10"/>
        <v>1</v>
      </c>
      <c r="D63" s="758">
        <f t="shared" si="10"/>
        <v>0</v>
      </c>
      <c r="E63" s="758">
        <f t="shared" si="10"/>
        <v>0</v>
      </c>
      <c r="F63" s="758">
        <f t="shared" si="10"/>
        <v>0</v>
      </c>
      <c r="G63" s="758">
        <f t="shared" si="10"/>
        <v>0</v>
      </c>
      <c r="H63" s="759">
        <f t="shared" si="4"/>
        <v>1</v>
      </c>
      <c r="I63" s="757">
        <f t="shared" si="11"/>
        <v>0.2</v>
      </c>
      <c r="J63" s="758">
        <f t="shared" si="11"/>
        <v>0.3</v>
      </c>
      <c r="K63" s="758">
        <f t="shared" si="11"/>
        <v>0.25</v>
      </c>
      <c r="L63" s="758">
        <f t="shared" si="11"/>
        <v>0.05</v>
      </c>
      <c r="M63" s="758">
        <f t="shared" si="11"/>
        <v>0.2</v>
      </c>
      <c r="N63" s="759">
        <f t="shared" si="6"/>
        <v>1</v>
      </c>
      <c r="O63" s="760"/>
      <c r="R63" s="754">
        <f t="shared" si="8"/>
        <v>0.4</v>
      </c>
      <c r="S63" s="755">
        <f t="shared" si="7"/>
        <v>0.71500000000000008</v>
      </c>
    </row>
    <row r="64" spans="2:19">
      <c r="B64" s="756">
        <f t="shared" si="9"/>
        <v>2046</v>
      </c>
      <c r="C64" s="757">
        <f t="shared" si="10"/>
        <v>1</v>
      </c>
      <c r="D64" s="758">
        <f t="shared" si="10"/>
        <v>0</v>
      </c>
      <c r="E64" s="758">
        <f t="shared" si="10"/>
        <v>0</v>
      </c>
      <c r="F64" s="758">
        <f t="shared" si="10"/>
        <v>0</v>
      </c>
      <c r="G64" s="758">
        <f t="shared" si="10"/>
        <v>0</v>
      </c>
      <c r="H64" s="759">
        <f t="shared" si="4"/>
        <v>1</v>
      </c>
      <c r="I64" s="757">
        <f t="shared" si="11"/>
        <v>0.2</v>
      </c>
      <c r="J64" s="758">
        <f t="shared" si="11"/>
        <v>0.3</v>
      </c>
      <c r="K64" s="758">
        <f t="shared" si="11"/>
        <v>0.25</v>
      </c>
      <c r="L64" s="758">
        <f t="shared" si="11"/>
        <v>0.05</v>
      </c>
      <c r="M64" s="758">
        <f t="shared" si="11"/>
        <v>0.2</v>
      </c>
      <c r="N64" s="759">
        <f t="shared" si="6"/>
        <v>1</v>
      </c>
      <c r="O64" s="760"/>
      <c r="R64" s="754">
        <f t="shared" si="8"/>
        <v>0.4</v>
      </c>
      <c r="S64" s="755">
        <f t="shared" si="7"/>
        <v>0.71500000000000008</v>
      </c>
    </row>
    <row r="65" spans="2:19">
      <c r="B65" s="756">
        <f t="shared" si="9"/>
        <v>2047</v>
      </c>
      <c r="C65" s="757">
        <f t="shared" si="10"/>
        <v>1</v>
      </c>
      <c r="D65" s="758">
        <f t="shared" si="10"/>
        <v>0</v>
      </c>
      <c r="E65" s="758">
        <f t="shared" si="10"/>
        <v>0</v>
      </c>
      <c r="F65" s="758">
        <f t="shared" si="10"/>
        <v>0</v>
      </c>
      <c r="G65" s="758">
        <f t="shared" si="10"/>
        <v>0</v>
      </c>
      <c r="H65" s="759">
        <f t="shared" si="4"/>
        <v>1</v>
      </c>
      <c r="I65" s="757">
        <f t="shared" si="11"/>
        <v>0.2</v>
      </c>
      <c r="J65" s="758">
        <f t="shared" si="11"/>
        <v>0.3</v>
      </c>
      <c r="K65" s="758">
        <f t="shared" si="11"/>
        <v>0.25</v>
      </c>
      <c r="L65" s="758">
        <f t="shared" si="11"/>
        <v>0.05</v>
      </c>
      <c r="M65" s="758">
        <f t="shared" si="11"/>
        <v>0.2</v>
      </c>
      <c r="N65" s="759">
        <f t="shared" si="6"/>
        <v>1</v>
      </c>
      <c r="O65" s="760"/>
      <c r="R65" s="754">
        <f t="shared" si="8"/>
        <v>0.4</v>
      </c>
      <c r="S65" s="755">
        <f t="shared" si="7"/>
        <v>0.71500000000000008</v>
      </c>
    </row>
    <row r="66" spans="2:19">
      <c r="B66" s="756">
        <f t="shared" si="9"/>
        <v>2048</v>
      </c>
      <c r="C66" s="757">
        <f t="shared" si="10"/>
        <v>1</v>
      </c>
      <c r="D66" s="758">
        <f t="shared" si="10"/>
        <v>0</v>
      </c>
      <c r="E66" s="758">
        <f t="shared" si="10"/>
        <v>0</v>
      </c>
      <c r="F66" s="758">
        <f t="shared" si="10"/>
        <v>0</v>
      </c>
      <c r="G66" s="758">
        <f t="shared" si="10"/>
        <v>0</v>
      </c>
      <c r="H66" s="759">
        <f t="shared" si="4"/>
        <v>1</v>
      </c>
      <c r="I66" s="757">
        <f t="shared" si="11"/>
        <v>0.2</v>
      </c>
      <c r="J66" s="758">
        <f t="shared" si="11"/>
        <v>0.3</v>
      </c>
      <c r="K66" s="758">
        <f t="shared" si="11"/>
        <v>0.25</v>
      </c>
      <c r="L66" s="758">
        <f t="shared" si="11"/>
        <v>0.05</v>
      </c>
      <c r="M66" s="758">
        <f t="shared" si="11"/>
        <v>0.2</v>
      </c>
      <c r="N66" s="759">
        <f t="shared" si="6"/>
        <v>1</v>
      </c>
      <c r="O66" s="760"/>
      <c r="R66" s="754">
        <f t="shared" si="8"/>
        <v>0.4</v>
      </c>
      <c r="S66" s="755">
        <f t="shared" si="7"/>
        <v>0.71500000000000008</v>
      </c>
    </row>
    <row r="67" spans="2:19">
      <c r="B67" s="756">
        <f t="shared" si="9"/>
        <v>2049</v>
      </c>
      <c r="C67" s="757">
        <f t="shared" si="10"/>
        <v>1</v>
      </c>
      <c r="D67" s="758">
        <f t="shared" si="10"/>
        <v>0</v>
      </c>
      <c r="E67" s="758">
        <f t="shared" si="10"/>
        <v>0</v>
      </c>
      <c r="F67" s="758">
        <f t="shared" si="10"/>
        <v>0</v>
      </c>
      <c r="G67" s="758">
        <f t="shared" si="10"/>
        <v>0</v>
      </c>
      <c r="H67" s="759">
        <f t="shared" si="4"/>
        <v>1</v>
      </c>
      <c r="I67" s="757">
        <f t="shared" si="11"/>
        <v>0.2</v>
      </c>
      <c r="J67" s="758">
        <f t="shared" si="11"/>
        <v>0.3</v>
      </c>
      <c r="K67" s="758">
        <f t="shared" si="11"/>
        <v>0.25</v>
      </c>
      <c r="L67" s="758">
        <f t="shared" si="11"/>
        <v>0.05</v>
      </c>
      <c r="M67" s="758">
        <f t="shared" si="11"/>
        <v>0.2</v>
      </c>
      <c r="N67" s="759">
        <f t="shared" si="6"/>
        <v>1</v>
      </c>
      <c r="O67" s="760"/>
      <c r="R67" s="754">
        <f t="shared" si="8"/>
        <v>0.4</v>
      </c>
      <c r="S67" s="755">
        <f t="shared" si="7"/>
        <v>0.71500000000000008</v>
      </c>
    </row>
    <row r="68" spans="2:19">
      <c r="B68" s="756">
        <f t="shared" si="9"/>
        <v>2050</v>
      </c>
      <c r="C68" s="757">
        <f t="shared" si="10"/>
        <v>1</v>
      </c>
      <c r="D68" s="758">
        <f t="shared" si="10"/>
        <v>0</v>
      </c>
      <c r="E68" s="758">
        <f t="shared" si="10"/>
        <v>0</v>
      </c>
      <c r="F68" s="758">
        <f t="shared" si="10"/>
        <v>0</v>
      </c>
      <c r="G68" s="758">
        <f t="shared" si="10"/>
        <v>0</v>
      </c>
      <c r="H68" s="759">
        <f t="shared" si="4"/>
        <v>1</v>
      </c>
      <c r="I68" s="757">
        <f t="shared" si="11"/>
        <v>0.2</v>
      </c>
      <c r="J68" s="758">
        <f t="shared" si="11"/>
        <v>0.3</v>
      </c>
      <c r="K68" s="758">
        <f t="shared" si="11"/>
        <v>0.25</v>
      </c>
      <c r="L68" s="758">
        <f t="shared" si="11"/>
        <v>0.05</v>
      </c>
      <c r="M68" s="758">
        <f t="shared" si="11"/>
        <v>0.2</v>
      </c>
      <c r="N68" s="759">
        <f t="shared" si="6"/>
        <v>1</v>
      </c>
      <c r="O68" s="760"/>
      <c r="R68" s="754">
        <f t="shared" si="8"/>
        <v>0.4</v>
      </c>
      <c r="S68" s="755">
        <f t="shared" si="7"/>
        <v>0.71500000000000008</v>
      </c>
    </row>
    <row r="69" spans="2:19">
      <c r="B69" s="756">
        <f t="shared" si="9"/>
        <v>2051</v>
      </c>
      <c r="C69" s="757">
        <f t="shared" si="10"/>
        <v>1</v>
      </c>
      <c r="D69" s="758">
        <f t="shared" si="10"/>
        <v>0</v>
      </c>
      <c r="E69" s="758">
        <f t="shared" si="10"/>
        <v>0</v>
      </c>
      <c r="F69" s="758">
        <f t="shared" si="10"/>
        <v>0</v>
      </c>
      <c r="G69" s="758">
        <f t="shared" si="10"/>
        <v>0</v>
      </c>
      <c r="H69" s="759">
        <f t="shared" si="4"/>
        <v>1</v>
      </c>
      <c r="I69" s="757">
        <f t="shared" si="11"/>
        <v>0.2</v>
      </c>
      <c r="J69" s="758">
        <f t="shared" si="11"/>
        <v>0.3</v>
      </c>
      <c r="K69" s="758">
        <f t="shared" si="11"/>
        <v>0.25</v>
      </c>
      <c r="L69" s="758">
        <f t="shared" si="11"/>
        <v>0.05</v>
      </c>
      <c r="M69" s="758">
        <f t="shared" si="11"/>
        <v>0.2</v>
      </c>
      <c r="N69" s="759">
        <f t="shared" si="6"/>
        <v>1</v>
      </c>
      <c r="O69" s="760"/>
      <c r="R69" s="754">
        <f t="shared" si="8"/>
        <v>0.4</v>
      </c>
      <c r="S69" s="755">
        <f t="shared" si="7"/>
        <v>0.71500000000000008</v>
      </c>
    </row>
    <row r="70" spans="2:19">
      <c r="B70" s="756">
        <f t="shared" si="9"/>
        <v>2052</v>
      </c>
      <c r="C70" s="757">
        <f t="shared" si="10"/>
        <v>1</v>
      </c>
      <c r="D70" s="758">
        <f t="shared" si="10"/>
        <v>0</v>
      </c>
      <c r="E70" s="758">
        <f t="shared" si="10"/>
        <v>0</v>
      </c>
      <c r="F70" s="758">
        <f t="shared" si="10"/>
        <v>0</v>
      </c>
      <c r="G70" s="758">
        <f t="shared" si="10"/>
        <v>0</v>
      </c>
      <c r="H70" s="759">
        <f t="shared" si="4"/>
        <v>1</v>
      </c>
      <c r="I70" s="757">
        <f t="shared" si="11"/>
        <v>0.2</v>
      </c>
      <c r="J70" s="758">
        <f t="shared" si="11"/>
        <v>0.3</v>
      </c>
      <c r="K70" s="758">
        <f t="shared" si="11"/>
        <v>0.25</v>
      </c>
      <c r="L70" s="758">
        <f t="shared" si="11"/>
        <v>0.05</v>
      </c>
      <c r="M70" s="758">
        <f t="shared" si="11"/>
        <v>0.2</v>
      </c>
      <c r="N70" s="759">
        <f t="shared" si="6"/>
        <v>1</v>
      </c>
      <c r="O70" s="760"/>
      <c r="R70" s="754">
        <f t="shared" si="8"/>
        <v>0.4</v>
      </c>
      <c r="S70" s="755">
        <f t="shared" si="7"/>
        <v>0.71500000000000008</v>
      </c>
    </row>
    <row r="71" spans="2:19">
      <c r="B71" s="756">
        <f t="shared" si="9"/>
        <v>2053</v>
      </c>
      <c r="C71" s="757">
        <f t="shared" si="10"/>
        <v>1</v>
      </c>
      <c r="D71" s="758">
        <f t="shared" si="10"/>
        <v>0</v>
      </c>
      <c r="E71" s="758">
        <f t="shared" si="10"/>
        <v>0</v>
      </c>
      <c r="F71" s="758">
        <f t="shared" si="10"/>
        <v>0</v>
      </c>
      <c r="G71" s="758">
        <f t="shared" si="10"/>
        <v>0</v>
      </c>
      <c r="H71" s="759">
        <f t="shared" si="4"/>
        <v>1</v>
      </c>
      <c r="I71" s="757">
        <f t="shared" si="11"/>
        <v>0.2</v>
      </c>
      <c r="J71" s="758">
        <f t="shared" si="11"/>
        <v>0.3</v>
      </c>
      <c r="K71" s="758">
        <f t="shared" si="11"/>
        <v>0.25</v>
      </c>
      <c r="L71" s="758">
        <f t="shared" si="11"/>
        <v>0.05</v>
      </c>
      <c r="M71" s="758">
        <f t="shared" si="11"/>
        <v>0.2</v>
      </c>
      <c r="N71" s="759">
        <f t="shared" si="6"/>
        <v>1</v>
      </c>
      <c r="O71" s="760"/>
      <c r="R71" s="754">
        <f t="shared" si="8"/>
        <v>0.4</v>
      </c>
      <c r="S71" s="755">
        <f t="shared" si="7"/>
        <v>0.71500000000000008</v>
      </c>
    </row>
    <row r="72" spans="2:19">
      <c r="B72" s="756">
        <f t="shared" si="9"/>
        <v>2054</v>
      </c>
      <c r="C72" s="757">
        <f t="shared" si="10"/>
        <v>1</v>
      </c>
      <c r="D72" s="758">
        <f t="shared" si="10"/>
        <v>0</v>
      </c>
      <c r="E72" s="758">
        <f t="shared" si="10"/>
        <v>0</v>
      </c>
      <c r="F72" s="758">
        <f t="shared" si="10"/>
        <v>0</v>
      </c>
      <c r="G72" s="758">
        <f t="shared" si="10"/>
        <v>0</v>
      </c>
      <c r="H72" s="759">
        <f t="shared" si="4"/>
        <v>1</v>
      </c>
      <c r="I72" s="757">
        <f t="shared" si="11"/>
        <v>0.2</v>
      </c>
      <c r="J72" s="758">
        <f t="shared" si="11"/>
        <v>0.3</v>
      </c>
      <c r="K72" s="758">
        <f t="shared" si="11"/>
        <v>0.25</v>
      </c>
      <c r="L72" s="758">
        <f t="shared" si="11"/>
        <v>0.05</v>
      </c>
      <c r="M72" s="758">
        <f t="shared" si="11"/>
        <v>0.2</v>
      </c>
      <c r="N72" s="759">
        <f t="shared" si="6"/>
        <v>1</v>
      </c>
      <c r="O72" s="760"/>
      <c r="R72" s="754">
        <f t="shared" si="8"/>
        <v>0.4</v>
      </c>
      <c r="S72" s="755">
        <f t="shared" si="7"/>
        <v>0.71500000000000008</v>
      </c>
    </row>
    <row r="73" spans="2:19">
      <c r="B73" s="756">
        <f t="shared" si="9"/>
        <v>2055</v>
      </c>
      <c r="C73" s="757">
        <f t="shared" si="10"/>
        <v>1</v>
      </c>
      <c r="D73" s="758">
        <f t="shared" si="10"/>
        <v>0</v>
      </c>
      <c r="E73" s="758">
        <f t="shared" si="10"/>
        <v>0</v>
      </c>
      <c r="F73" s="758">
        <f t="shared" si="10"/>
        <v>0</v>
      </c>
      <c r="G73" s="758">
        <f t="shared" si="10"/>
        <v>0</v>
      </c>
      <c r="H73" s="759">
        <f t="shared" si="4"/>
        <v>1</v>
      </c>
      <c r="I73" s="757">
        <f t="shared" si="11"/>
        <v>0.2</v>
      </c>
      <c r="J73" s="758">
        <f t="shared" si="11"/>
        <v>0.3</v>
      </c>
      <c r="K73" s="758">
        <f t="shared" si="11"/>
        <v>0.25</v>
      </c>
      <c r="L73" s="758">
        <f t="shared" si="11"/>
        <v>0.05</v>
      </c>
      <c r="M73" s="758">
        <f t="shared" si="11"/>
        <v>0.2</v>
      </c>
      <c r="N73" s="759">
        <f t="shared" si="6"/>
        <v>1</v>
      </c>
      <c r="O73" s="760"/>
      <c r="R73" s="754">
        <f t="shared" si="8"/>
        <v>0.4</v>
      </c>
      <c r="S73" s="755">
        <f t="shared" si="7"/>
        <v>0.71500000000000008</v>
      </c>
    </row>
    <row r="74" spans="2:19">
      <c r="B74" s="756">
        <f t="shared" si="9"/>
        <v>2056</v>
      </c>
      <c r="C74" s="757">
        <f t="shared" si="10"/>
        <v>1</v>
      </c>
      <c r="D74" s="758">
        <f t="shared" si="10"/>
        <v>0</v>
      </c>
      <c r="E74" s="758">
        <f t="shared" si="10"/>
        <v>0</v>
      </c>
      <c r="F74" s="758">
        <f t="shared" si="10"/>
        <v>0</v>
      </c>
      <c r="G74" s="758">
        <f t="shared" si="10"/>
        <v>0</v>
      </c>
      <c r="H74" s="759">
        <f t="shared" si="4"/>
        <v>1</v>
      </c>
      <c r="I74" s="757">
        <f t="shared" si="11"/>
        <v>0.2</v>
      </c>
      <c r="J74" s="758">
        <f t="shared" si="11"/>
        <v>0.3</v>
      </c>
      <c r="K74" s="758">
        <f t="shared" si="11"/>
        <v>0.25</v>
      </c>
      <c r="L74" s="758">
        <f t="shared" si="11"/>
        <v>0.05</v>
      </c>
      <c r="M74" s="758">
        <f t="shared" si="11"/>
        <v>0.2</v>
      </c>
      <c r="N74" s="759">
        <f t="shared" si="6"/>
        <v>1</v>
      </c>
      <c r="O74" s="760"/>
      <c r="R74" s="754">
        <f t="shared" si="8"/>
        <v>0.4</v>
      </c>
      <c r="S74" s="755">
        <f t="shared" si="7"/>
        <v>0.71500000000000008</v>
      </c>
    </row>
    <row r="75" spans="2:19">
      <c r="B75" s="756">
        <f t="shared" si="9"/>
        <v>2057</v>
      </c>
      <c r="C75" s="757">
        <f t="shared" si="10"/>
        <v>1</v>
      </c>
      <c r="D75" s="758">
        <f t="shared" si="10"/>
        <v>0</v>
      </c>
      <c r="E75" s="758">
        <f t="shared" si="10"/>
        <v>0</v>
      </c>
      <c r="F75" s="758">
        <f t="shared" si="10"/>
        <v>0</v>
      </c>
      <c r="G75" s="758">
        <f t="shared" si="10"/>
        <v>0</v>
      </c>
      <c r="H75" s="759">
        <f t="shared" si="4"/>
        <v>1</v>
      </c>
      <c r="I75" s="757">
        <f t="shared" si="11"/>
        <v>0.2</v>
      </c>
      <c r="J75" s="758">
        <f t="shared" si="11"/>
        <v>0.3</v>
      </c>
      <c r="K75" s="758">
        <f t="shared" si="11"/>
        <v>0.25</v>
      </c>
      <c r="L75" s="758">
        <f t="shared" si="11"/>
        <v>0.05</v>
      </c>
      <c r="M75" s="758">
        <f t="shared" si="11"/>
        <v>0.2</v>
      </c>
      <c r="N75" s="759">
        <f t="shared" si="6"/>
        <v>1</v>
      </c>
      <c r="O75" s="760"/>
      <c r="R75" s="754">
        <f t="shared" si="8"/>
        <v>0.4</v>
      </c>
      <c r="S75" s="755">
        <f t="shared" si="7"/>
        <v>0.71500000000000008</v>
      </c>
    </row>
    <row r="76" spans="2:19">
      <c r="B76" s="756">
        <f t="shared" si="9"/>
        <v>2058</v>
      </c>
      <c r="C76" s="757">
        <f t="shared" si="10"/>
        <v>1</v>
      </c>
      <c r="D76" s="758">
        <f t="shared" si="10"/>
        <v>0</v>
      </c>
      <c r="E76" s="758">
        <f t="shared" si="10"/>
        <v>0</v>
      </c>
      <c r="F76" s="758">
        <f t="shared" si="10"/>
        <v>0</v>
      </c>
      <c r="G76" s="758">
        <f t="shared" si="10"/>
        <v>0</v>
      </c>
      <c r="H76" s="759">
        <f t="shared" si="4"/>
        <v>1</v>
      </c>
      <c r="I76" s="757">
        <f t="shared" si="11"/>
        <v>0.2</v>
      </c>
      <c r="J76" s="758">
        <f t="shared" si="11"/>
        <v>0.3</v>
      </c>
      <c r="K76" s="758">
        <f t="shared" si="11"/>
        <v>0.25</v>
      </c>
      <c r="L76" s="758">
        <f t="shared" si="11"/>
        <v>0.05</v>
      </c>
      <c r="M76" s="758">
        <f t="shared" si="11"/>
        <v>0.2</v>
      </c>
      <c r="N76" s="759">
        <f t="shared" si="6"/>
        <v>1</v>
      </c>
      <c r="O76" s="760"/>
      <c r="R76" s="754">
        <f t="shared" si="8"/>
        <v>0.4</v>
      </c>
      <c r="S76" s="755">
        <f t="shared" si="7"/>
        <v>0.71500000000000008</v>
      </c>
    </row>
    <row r="77" spans="2:19">
      <c r="B77" s="756">
        <f t="shared" si="9"/>
        <v>2059</v>
      </c>
      <c r="C77" s="757">
        <f t="shared" si="10"/>
        <v>1</v>
      </c>
      <c r="D77" s="758">
        <f t="shared" si="10"/>
        <v>0</v>
      </c>
      <c r="E77" s="758">
        <f t="shared" si="10"/>
        <v>0</v>
      </c>
      <c r="F77" s="758">
        <f t="shared" si="10"/>
        <v>0</v>
      </c>
      <c r="G77" s="758">
        <f t="shared" si="10"/>
        <v>0</v>
      </c>
      <c r="H77" s="759">
        <f t="shared" si="4"/>
        <v>1</v>
      </c>
      <c r="I77" s="757">
        <f t="shared" si="11"/>
        <v>0.2</v>
      </c>
      <c r="J77" s="758">
        <f t="shared" si="11"/>
        <v>0.3</v>
      </c>
      <c r="K77" s="758">
        <f t="shared" si="11"/>
        <v>0.25</v>
      </c>
      <c r="L77" s="758">
        <f t="shared" si="11"/>
        <v>0.05</v>
      </c>
      <c r="M77" s="758">
        <f t="shared" si="11"/>
        <v>0.2</v>
      </c>
      <c r="N77" s="759">
        <f t="shared" si="6"/>
        <v>1</v>
      </c>
      <c r="O77" s="760"/>
      <c r="R77" s="754">
        <f t="shared" si="8"/>
        <v>0.4</v>
      </c>
      <c r="S77" s="755">
        <f t="shared" si="7"/>
        <v>0.71500000000000008</v>
      </c>
    </row>
    <row r="78" spans="2:19">
      <c r="B78" s="756">
        <f t="shared" si="9"/>
        <v>2060</v>
      </c>
      <c r="C78" s="757">
        <f t="shared" si="10"/>
        <v>1</v>
      </c>
      <c r="D78" s="758">
        <f t="shared" si="10"/>
        <v>0</v>
      </c>
      <c r="E78" s="758">
        <f t="shared" si="10"/>
        <v>0</v>
      </c>
      <c r="F78" s="758">
        <f t="shared" si="10"/>
        <v>0</v>
      </c>
      <c r="G78" s="758">
        <f t="shared" si="10"/>
        <v>0</v>
      </c>
      <c r="H78" s="759">
        <f t="shared" si="4"/>
        <v>1</v>
      </c>
      <c r="I78" s="757">
        <f t="shared" si="11"/>
        <v>0.2</v>
      </c>
      <c r="J78" s="758">
        <f t="shared" si="11"/>
        <v>0.3</v>
      </c>
      <c r="K78" s="758">
        <f t="shared" si="11"/>
        <v>0.25</v>
      </c>
      <c r="L78" s="758">
        <f t="shared" si="11"/>
        <v>0.05</v>
      </c>
      <c r="M78" s="758">
        <f t="shared" si="11"/>
        <v>0.2</v>
      </c>
      <c r="N78" s="759">
        <f t="shared" si="6"/>
        <v>1</v>
      </c>
      <c r="O78" s="760"/>
      <c r="R78" s="754">
        <f t="shared" si="8"/>
        <v>0.4</v>
      </c>
      <c r="S78" s="755">
        <f t="shared" si="7"/>
        <v>0.71500000000000008</v>
      </c>
    </row>
    <row r="79" spans="2:19">
      <c r="B79" s="756">
        <f t="shared" si="9"/>
        <v>2061</v>
      </c>
      <c r="C79" s="757">
        <f t="shared" si="10"/>
        <v>1</v>
      </c>
      <c r="D79" s="758">
        <f t="shared" si="10"/>
        <v>0</v>
      </c>
      <c r="E79" s="758">
        <f t="shared" si="10"/>
        <v>0</v>
      </c>
      <c r="F79" s="758">
        <f t="shared" si="10"/>
        <v>0</v>
      </c>
      <c r="G79" s="758">
        <f t="shared" si="10"/>
        <v>0</v>
      </c>
      <c r="H79" s="759">
        <f t="shared" si="4"/>
        <v>1</v>
      </c>
      <c r="I79" s="757">
        <f t="shared" si="11"/>
        <v>0.2</v>
      </c>
      <c r="J79" s="758">
        <f t="shared" si="11"/>
        <v>0.3</v>
      </c>
      <c r="K79" s="758">
        <f t="shared" si="11"/>
        <v>0.25</v>
      </c>
      <c r="L79" s="758">
        <f t="shared" si="11"/>
        <v>0.05</v>
      </c>
      <c r="M79" s="758">
        <f t="shared" si="11"/>
        <v>0.2</v>
      </c>
      <c r="N79" s="759">
        <f t="shared" si="6"/>
        <v>1</v>
      </c>
      <c r="O79" s="760"/>
      <c r="R79" s="754">
        <f t="shared" si="8"/>
        <v>0.4</v>
      </c>
      <c r="S79" s="755">
        <f t="shared" si="7"/>
        <v>0.71500000000000008</v>
      </c>
    </row>
    <row r="80" spans="2:19">
      <c r="B80" s="756">
        <f t="shared" si="9"/>
        <v>2062</v>
      </c>
      <c r="C80" s="757">
        <f t="shared" si="10"/>
        <v>1</v>
      </c>
      <c r="D80" s="758">
        <f t="shared" si="10"/>
        <v>0</v>
      </c>
      <c r="E80" s="758">
        <f t="shared" si="10"/>
        <v>0</v>
      </c>
      <c r="F80" s="758">
        <f t="shared" si="10"/>
        <v>0</v>
      </c>
      <c r="G80" s="758">
        <f t="shared" si="10"/>
        <v>0</v>
      </c>
      <c r="H80" s="759">
        <f t="shared" si="4"/>
        <v>1</v>
      </c>
      <c r="I80" s="757">
        <f t="shared" si="11"/>
        <v>0.2</v>
      </c>
      <c r="J80" s="758">
        <f t="shared" si="11"/>
        <v>0.3</v>
      </c>
      <c r="K80" s="758">
        <f t="shared" si="11"/>
        <v>0.25</v>
      </c>
      <c r="L80" s="758">
        <f t="shared" si="11"/>
        <v>0.05</v>
      </c>
      <c r="M80" s="758">
        <f t="shared" si="11"/>
        <v>0.2</v>
      </c>
      <c r="N80" s="759">
        <f t="shared" si="6"/>
        <v>1</v>
      </c>
      <c r="O80" s="760"/>
      <c r="R80" s="754">
        <f t="shared" si="8"/>
        <v>0.4</v>
      </c>
      <c r="S80" s="755">
        <f t="shared" si="7"/>
        <v>0.71500000000000008</v>
      </c>
    </row>
    <row r="81" spans="2:19">
      <c r="B81" s="756">
        <f t="shared" si="9"/>
        <v>2063</v>
      </c>
      <c r="C81" s="757">
        <f t="shared" si="10"/>
        <v>1</v>
      </c>
      <c r="D81" s="758">
        <f t="shared" si="10"/>
        <v>0</v>
      </c>
      <c r="E81" s="758">
        <f t="shared" si="10"/>
        <v>0</v>
      </c>
      <c r="F81" s="758">
        <f t="shared" si="10"/>
        <v>0</v>
      </c>
      <c r="G81" s="758">
        <f t="shared" si="10"/>
        <v>0</v>
      </c>
      <c r="H81" s="759">
        <f t="shared" si="4"/>
        <v>1</v>
      </c>
      <c r="I81" s="757">
        <f t="shared" si="11"/>
        <v>0.2</v>
      </c>
      <c r="J81" s="758">
        <f t="shared" si="11"/>
        <v>0.3</v>
      </c>
      <c r="K81" s="758">
        <f t="shared" si="11"/>
        <v>0.25</v>
      </c>
      <c r="L81" s="758">
        <f t="shared" si="11"/>
        <v>0.05</v>
      </c>
      <c r="M81" s="758">
        <f t="shared" si="11"/>
        <v>0.2</v>
      </c>
      <c r="N81" s="759">
        <f t="shared" si="6"/>
        <v>1</v>
      </c>
      <c r="O81" s="760"/>
      <c r="R81" s="754">
        <f t="shared" si="8"/>
        <v>0.4</v>
      </c>
      <c r="S81" s="755">
        <f t="shared" si="7"/>
        <v>0.71500000000000008</v>
      </c>
    </row>
    <row r="82" spans="2:19">
      <c r="B82" s="756">
        <f t="shared" si="9"/>
        <v>2064</v>
      </c>
      <c r="C82" s="757">
        <f t="shared" si="10"/>
        <v>1</v>
      </c>
      <c r="D82" s="758">
        <f t="shared" si="10"/>
        <v>0</v>
      </c>
      <c r="E82" s="758">
        <f t="shared" si="10"/>
        <v>0</v>
      </c>
      <c r="F82" s="758">
        <f t="shared" si="10"/>
        <v>0</v>
      </c>
      <c r="G82" s="758">
        <f t="shared" si="10"/>
        <v>0</v>
      </c>
      <c r="H82" s="759">
        <f t="shared" si="4"/>
        <v>1</v>
      </c>
      <c r="I82" s="757">
        <f t="shared" si="11"/>
        <v>0.2</v>
      </c>
      <c r="J82" s="758">
        <f t="shared" si="11"/>
        <v>0.3</v>
      </c>
      <c r="K82" s="758">
        <f t="shared" si="11"/>
        <v>0.25</v>
      </c>
      <c r="L82" s="758">
        <f t="shared" si="11"/>
        <v>0.05</v>
      </c>
      <c r="M82" s="758">
        <f t="shared" si="11"/>
        <v>0.2</v>
      </c>
      <c r="N82" s="759">
        <f t="shared" si="6"/>
        <v>1</v>
      </c>
      <c r="O82" s="760"/>
      <c r="R82" s="754">
        <f t="shared" si="8"/>
        <v>0.4</v>
      </c>
      <c r="S82" s="755">
        <f t="shared" si="7"/>
        <v>0.71500000000000008</v>
      </c>
    </row>
    <row r="83" spans="2:19">
      <c r="B83" s="756">
        <f t="shared" ref="B83:B98" si="12">B82+1</f>
        <v>2065</v>
      </c>
      <c r="C83" s="757">
        <f t="shared" si="10"/>
        <v>1</v>
      </c>
      <c r="D83" s="758">
        <f t="shared" si="10"/>
        <v>0</v>
      </c>
      <c r="E83" s="758">
        <f t="shared" si="10"/>
        <v>0</v>
      </c>
      <c r="F83" s="758">
        <f t="shared" si="10"/>
        <v>0</v>
      </c>
      <c r="G83" s="758">
        <f t="shared" si="10"/>
        <v>0</v>
      </c>
      <c r="H83" s="759">
        <f t="shared" ref="H83:H98" si="13">SUM(C83:G83)</f>
        <v>1</v>
      </c>
      <c r="I83" s="757">
        <f t="shared" si="11"/>
        <v>0.2</v>
      </c>
      <c r="J83" s="758">
        <f t="shared" si="11"/>
        <v>0.3</v>
      </c>
      <c r="K83" s="758">
        <f t="shared" si="11"/>
        <v>0.25</v>
      </c>
      <c r="L83" s="758">
        <f t="shared" si="11"/>
        <v>0.05</v>
      </c>
      <c r="M83" s="758">
        <f t="shared" si="11"/>
        <v>0.2</v>
      </c>
      <c r="N83" s="759">
        <f t="shared" ref="N83:N98" si="14">SUM(I83:M83)</f>
        <v>1</v>
      </c>
      <c r="O83" s="760"/>
      <c r="R83" s="754">
        <f t="shared" ref="R83:R98" si="15">C83*C$13+D83*D$13+E83*E$13+F83*F$13+G83*G$13</f>
        <v>0.4</v>
      </c>
      <c r="S83" s="755">
        <f t="shared" ref="S83:S98" si="16">I83*I$13+J83*J$13+K83*K$13+L83*L$13+M83*M$13</f>
        <v>0.71500000000000008</v>
      </c>
    </row>
    <row r="84" spans="2:19">
      <c r="B84" s="756">
        <f t="shared" si="12"/>
        <v>2066</v>
      </c>
      <c r="C84" s="757">
        <f t="shared" si="10"/>
        <v>1</v>
      </c>
      <c r="D84" s="758">
        <f t="shared" si="10"/>
        <v>0</v>
      </c>
      <c r="E84" s="758">
        <f t="shared" si="10"/>
        <v>0</v>
      </c>
      <c r="F84" s="758">
        <f t="shared" si="10"/>
        <v>0</v>
      </c>
      <c r="G84" s="758">
        <f t="shared" si="10"/>
        <v>0</v>
      </c>
      <c r="H84" s="759">
        <f t="shared" si="13"/>
        <v>1</v>
      </c>
      <c r="I84" s="757">
        <f t="shared" si="11"/>
        <v>0.2</v>
      </c>
      <c r="J84" s="758">
        <f t="shared" si="11"/>
        <v>0.3</v>
      </c>
      <c r="K84" s="758">
        <f t="shared" si="11"/>
        <v>0.25</v>
      </c>
      <c r="L84" s="758">
        <f t="shared" si="11"/>
        <v>0.05</v>
      </c>
      <c r="M84" s="758">
        <f t="shared" si="11"/>
        <v>0.2</v>
      </c>
      <c r="N84" s="759">
        <f t="shared" si="14"/>
        <v>1</v>
      </c>
      <c r="O84" s="760"/>
      <c r="R84" s="754">
        <f t="shared" si="15"/>
        <v>0.4</v>
      </c>
      <c r="S84" s="755">
        <f t="shared" si="16"/>
        <v>0.71500000000000008</v>
      </c>
    </row>
    <row r="85" spans="2:19">
      <c r="B85" s="756">
        <f t="shared" si="12"/>
        <v>2067</v>
      </c>
      <c r="C85" s="757">
        <f t="shared" si="10"/>
        <v>1</v>
      </c>
      <c r="D85" s="758">
        <f t="shared" si="10"/>
        <v>0</v>
      </c>
      <c r="E85" s="758">
        <f t="shared" si="10"/>
        <v>0</v>
      </c>
      <c r="F85" s="758">
        <f t="shared" si="10"/>
        <v>0</v>
      </c>
      <c r="G85" s="758">
        <f t="shared" si="10"/>
        <v>0</v>
      </c>
      <c r="H85" s="759">
        <f t="shared" si="13"/>
        <v>1</v>
      </c>
      <c r="I85" s="757">
        <f t="shared" si="11"/>
        <v>0.2</v>
      </c>
      <c r="J85" s="758">
        <f t="shared" si="11"/>
        <v>0.3</v>
      </c>
      <c r="K85" s="758">
        <f t="shared" si="11"/>
        <v>0.25</v>
      </c>
      <c r="L85" s="758">
        <f t="shared" si="11"/>
        <v>0.05</v>
      </c>
      <c r="M85" s="758">
        <f t="shared" si="11"/>
        <v>0.2</v>
      </c>
      <c r="N85" s="759">
        <f t="shared" si="14"/>
        <v>1</v>
      </c>
      <c r="O85" s="760"/>
      <c r="R85" s="754">
        <f t="shared" si="15"/>
        <v>0.4</v>
      </c>
      <c r="S85" s="755">
        <f t="shared" si="16"/>
        <v>0.71500000000000008</v>
      </c>
    </row>
    <row r="86" spans="2:19">
      <c r="B86" s="756">
        <f t="shared" si="12"/>
        <v>2068</v>
      </c>
      <c r="C86" s="757">
        <f t="shared" si="10"/>
        <v>1</v>
      </c>
      <c r="D86" s="758">
        <f t="shared" si="10"/>
        <v>0</v>
      </c>
      <c r="E86" s="758">
        <f t="shared" si="10"/>
        <v>0</v>
      </c>
      <c r="F86" s="758">
        <f t="shared" si="10"/>
        <v>0</v>
      </c>
      <c r="G86" s="758">
        <f t="shared" si="10"/>
        <v>0</v>
      </c>
      <c r="H86" s="759">
        <f t="shared" si="13"/>
        <v>1</v>
      </c>
      <c r="I86" s="757">
        <f t="shared" si="11"/>
        <v>0.2</v>
      </c>
      <c r="J86" s="758">
        <f t="shared" si="11"/>
        <v>0.3</v>
      </c>
      <c r="K86" s="758">
        <f t="shared" si="11"/>
        <v>0.25</v>
      </c>
      <c r="L86" s="758">
        <f t="shared" si="11"/>
        <v>0.05</v>
      </c>
      <c r="M86" s="758">
        <f t="shared" si="11"/>
        <v>0.2</v>
      </c>
      <c r="N86" s="759">
        <f t="shared" si="14"/>
        <v>1</v>
      </c>
      <c r="O86" s="760"/>
      <c r="R86" s="754">
        <f t="shared" si="15"/>
        <v>0.4</v>
      </c>
      <c r="S86" s="755">
        <f t="shared" si="16"/>
        <v>0.71500000000000008</v>
      </c>
    </row>
    <row r="87" spans="2:19">
      <c r="B87" s="756">
        <f t="shared" si="12"/>
        <v>2069</v>
      </c>
      <c r="C87" s="757">
        <f t="shared" si="10"/>
        <v>1</v>
      </c>
      <c r="D87" s="758">
        <f t="shared" si="10"/>
        <v>0</v>
      </c>
      <c r="E87" s="758">
        <f t="shared" si="10"/>
        <v>0</v>
      </c>
      <c r="F87" s="758">
        <f t="shared" si="10"/>
        <v>0</v>
      </c>
      <c r="G87" s="758">
        <f t="shared" si="10"/>
        <v>0</v>
      </c>
      <c r="H87" s="759">
        <f t="shared" si="13"/>
        <v>1</v>
      </c>
      <c r="I87" s="757">
        <f t="shared" si="11"/>
        <v>0.2</v>
      </c>
      <c r="J87" s="758">
        <f t="shared" si="11"/>
        <v>0.3</v>
      </c>
      <c r="K87" s="758">
        <f t="shared" si="11"/>
        <v>0.25</v>
      </c>
      <c r="L87" s="758">
        <f t="shared" si="11"/>
        <v>0.05</v>
      </c>
      <c r="M87" s="758">
        <f t="shared" si="11"/>
        <v>0.2</v>
      </c>
      <c r="N87" s="759">
        <f t="shared" si="14"/>
        <v>1</v>
      </c>
      <c r="O87" s="760"/>
      <c r="R87" s="754">
        <f t="shared" si="15"/>
        <v>0.4</v>
      </c>
      <c r="S87" s="755">
        <f t="shared" si="16"/>
        <v>0.71500000000000008</v>
      </c>
    </row>
    <row r="88" spans="2:19">
      <c r="B88" s="756">
        <f t="shared" si="12"/>
        <v>2070</v>
      </c>
      <c r="C88" s="757">
        <f t="shared" si="10"/>
        <v>1</v>
      </c>
      <c r="D88" s="758">
        <f t="shared" si="10"/>
        <v>0</v>
      </c>
      <c r="E88" s="758">
        <f t="shared" si="10"/>
        <v>0</v>
      </c>
      <c r="F88" s="758">
        <f t="shared" si="10"/>
        <v>0</v>
      </c>
      <c r="G88" s="758">
        <f t="shared" si="10"/>
        <v>0</v>
      </c>
      <c r="H88" s="759">
        <f t="shared" si="13"/>
        <v>1</v>
      </c>
      <c r="I88" s="757">
        <f t="shared" si="11"/>
        <v>0.2</v>
      </c>
      <c r="J88" s="758">
        <f t="shared" si="11"/>
        <v>0.3</v>
      </c>
      <c r="K88" s="758">
        <f t="shared" si="11"/>
        <v>0.25</v>
      </c>
      <c r="L88" s="758">
        <f t="shared" si="11"/>
        <v>0.05</v>
      </c>
      <c r="M88" s="758">
        <f t="shared" si="11"/>
        <v>0.2</v>
      </c>
      <c r="N88" s="759">
        <f t="shared" si="14"/>
        <v>1</v>
      </c>
      <c r="O88" s="760"/>
      <c r="R88" s="754">
        <f t="shared" si="15"/>
        <v>0.4</v>
      </c>
      <c r="S88" s="755">
        <f t="shared" si="16"/>
        <v>0.71500000000000008</v>
      </c>
    </row>
    <row r="89" spans="2:19">
      <c r="B89" s="756">
        <f t="shared" si="12"/>
        <v>2071</v>
      </c>
      <c r="C89" s="757">
        <f t="shared" si="10"/>
        <v>1</v>
      </c>
      <c r="D89" s="758">
        <f t="shared" si="10"/>
        <v>0</v>
      </c>
      <c r="E89" s="758">
        <f t="shared" si="10"/>
        <v>0</v>
      </c>
      <c r="F89" s="758">
        <f t="shared" si="10"/>
        <v>0</v>
      </c>
      <c r="G89" s="758">
        <f t="shared" si="10"/>
        <v>0</v>
      </c>
      <c r="H89" s="759">
        <f t="shared" si="13"/>
        <v>1</v>
      </c>
      <c r="I89" s="757">
        <f t="shared" si="11"/>
        <v>0.2</v>
      </c>
      <c r="J89" s="758">
        <f t="shared" si="11"/>
        <v>0.3</v>
      </c>
      <c r="K89" s="758">
        <f t="shared" si="11"/>
        <v>0.25</v>
      </c>
      <c r="L89" s="758">
        <f t="shared" si="11"/>
        <v>0.05</v>
      </c>
      <c r="M89" s="758">
        <f t="shared" si="11"/>
        <v>0.2</v>
      </c>
      <c r="N89" s="759">
        <f t="shared" si="14"/>
        <v>1</v>
      </c>
      <c r="O89" s="760"/>
      <c r="R89" s="754">
        <f t="shared" si="15"/>
        <v>0.4</v>
      </c>
      <c r="S89" s="755">
        <f t="shared" si="16"/>
        <v>0.71500000000000008</v>
      </c>
    </row>
    <row r="90" spans="2:19">
      <c r="B90" s="756">
        <f t="shared" si="12"/>
        <v>2072</v>
      </c>
      <c r="C90" s="757">
        <f t="shared" si="10"/>
        <v>1</v>
      </c>
      <c r="D90" s="758">
        <f t="shared" si="10"/>
        <v>0</v>
      </c>
      <c r="E90" s="758">
        <f t="shared" si="10"/>
        <v>0</v>
      </c>
      <c r="F90" s="758">
        <f t="shared" si="10"/>
        <v>0</v>
      </c>
      <c r="G90" s="758">
        <f t="shared" si="10"/>
        <v>0</v>
      </c>
      <c r="H90" s="759">
        <f t="shared" si="13"/>
        <v>1</v>
      </c>
      <c r="I90" s="757">
        <f t="shared" si="11"/>
        <v>0.2</v>
      </c>
      <c r="J90" s="758">
        <f t="shared" si="11"/>
        <v>0.3</v>
      </c>
      <c r="K90" s="758">
        <f t="shared" si="11"/>
        <v>0.25</v>
      </c>
      <c r="L90" s="758">
        <f t="shared" si="11"/>
        <v>0.05</v>
      </c>
      <c r="M90" s="758">
        <f t="shared" si="11"/>
        <v>0.2</v>
      </c>
      <c r="N90" s="759">
        <f t="shared" si="14"/>
        <v>1</v>
      </c>
      <c r="O90" s="760"/>
      <c r="R90" s="754">
        <f t="shared" si="15"/>
        <v>0.4</v>
      </c>
      <c r="S90" s="755">
        <f t="shared" si="16"/>
        <v>0.71500000000000008</v>
      </c>
    </row>
    <row r="91" spans="2:19">
      <c r="B91" s="756">
        <f t="shared" si="12"/>
        <v>2073</v>
      </c>
      <c r="C91" s="757">
        <f t="shared" si="10"/>
        <v>1</v>
      </c>
      <c r="D91" s="758">
        <f t="shared" si="10"/>
        <v>0</v>
      </c>
      <c r="E91" s="758">
        <f t="shared" si="10"/>
        <v>0</v>
      </c>
      <c r="F91" s="758">
        <f t="shared" si="10"/>
        <v>0</v>
      </c>
      <c r="G91" s="758">
        <f t="shared" si="10"/>
        <v>0</v>
      </c>
      <c r="H91" s="759">
        <f t="shared" si="13"/>
        <v>1</v>
      </c>
      <c r="I91" s="757">
        <f t="shared" si="11"/>
        <v>0.2</v>
      </c>
      <c r="J91" s="758">
        <f t="shared" si="11"/>
        <v>0.3</v>
      </c>
      <c r="K91" s="758">
        <f t="shared" si="11"/>
        <v>0.25</v>
      </c>
      <c r="L91" s="758">
        <f t="shared" si="11"/>
        <v>0.05</v>
      </c>
      <c r="M91" s="758">
        <f t="shared" si="11"/>
        <v>0.2</v>
      </c>
      <c r="N91" s="759">
        <f t="shared" si="14"/>
        <v>1</v>
      </c>
      <c r="O91" s="760"/>
      <c r="R91" s="754">
        <f t="shared" si="15"/>
        <v>0.4</v>
      </c>
      <c r="S91" s="755">
        <f t="shared" si="16"/>
        <v>0.71500000000000008</v>
      </c>
    </row>
    <row r="92" spans="2:19">
      <c r="B92" s="756">
        <f t="shared" si="12"/>
        <v>2074</v>
      </c>
      <c r="C92" s="757">
        <f t="shared" si="10"/>
        <v>1</v>
      </c>
      <c r="D92" s="758">
        <f t="shared" si="10"/>
        <v>0</v>
      </c>
      <c r="E92" s="758">
        <f t="shared" si="10"/>
        <v>0</v>
      </c>
      <c r="F92" s="758">
        <f t="shared" si="10"/>
        <v>0</v>
      </c>
      <c r="G92" s="758">
        <f t="shared" si="10"/>
        <v>0</v>
      </c>
      <c r="H92" s="759">
        <f t="shared" si="13"/>
        <v>1</v>
      </c>
      <c r="I92" s="757">
        <f t="shared" si="11"/>
        <v>0.2</v>
      </c>
      <c r="J92" s="758">
        <f t="shared" si="11"/>
        <v>0.3</v>
      </c>
      <c r="K92" s="758">
        <f t="shared" si="11"/>
        <v>0.25</v>
      </c>
      <c r="L92" s="758">
        <f t="shared" si="11"/>
        <v>0.05</v>
      </c>
      <c r="M92" s="758">
        <f t="shared" si="11"/>
        <v>0.2</v>
      </c>
      <c r="N92" s="759">
        <f t="shared" si="14"/>
        <v>1</v>
      </c>
      <c r="O92" s="760"/>
      <c r="R92" s="754">
        <f t="shared" si="15"/>
        <v>0.4</v>
      </c>
      <c r="S92" s="755">
        <f t="shared" si="16"/>
        <v>0.71500000000000008</v>
      </c>
    </row>
    <row r="93" spans="2:19">
      <c r="B93" s="756">
        <f t="shared" si="12"/>
        <v>2075</v>
      </c>
      <c r="C93" s="757">
        <f t="shared" si="10"/>
        <v>1</v>
      </c>
      <c r="D93" s="758">
        <f t="shared" si="10"/>
        <v>0</v>
      </c>
      <c r="E93" s="758">
        <f t="shared" si="10"/>
        <v>0</v>
      </c>
      <c r="F93" s="758">
        <f t="shared" si="10"/>
        <v>0</v>
      </c>
      <c r="G93" s="758">
        <f t="shared" si="10"/>
        <v>0</v>
      </c>
      <c r="H93" s="759">
        <f t="shared" si="13"/>
        <v>1</v>
      </c>
      <c r="I93" s="757">
        <f t="shared" si="11"/>
        <v>0.2</v>
      </c>
      <c r="J93" s="758">
        <f t="shared" si="11"/>
        <v>0.3</v>
      </c>
      <c r="K93" s="758">
        <f t="shared" si="11"/>
        <v>0.25</v>
      </c>
      <c r="L93" s="758">
        <f t="shared" si="11"/>
        <v>0.05</v>
      </c>
      <c r="M93" s="758">
        <f t="shared" si="11"/>
        <v>0.2</v>
      </c>
      <c r="N93" s="759">
        <f t="shared" si="14"/>
        <v>1</v>
      </c>
      <c r="O93" s="760"/>
      <c r="R93" s="754">
        <f t="shared" si="15"/>
        <v>0.4</v>
      </c>
      <c r="S93" s="755">
        <f t="shared" si="16"/>
        <v>0.71500000000000008</v>
      </c>
    </row>
    <row r="94" spans="2:19">
      <c r="B94" s="756">
        <f t="shared" si="12"/>
        <v>2076</v>
      </c>
      <c r="C94" s="757">
        <f t="shared" si="10"/>
        <v>1</v>
      </c>
      <c r="D94" s="758">
        <f t="shared" si="10"/>
        <v>0</v>
      </c>
      <c r="E94" s="758">
        <f t="shared" si="10"/>
        <v>0</v>
      </c>
      <c r="F94" s="758">
        <f t="shared" si="10"/>
        <v>0</v>
      </c>
      <c r="G94" s="758">
        <f t="shared" si="10"/>
        <v>0</v>
      </c>
      <c r="H94" s="759">
        <f t="shared" si="13"/>
        <v>1</v>
      </c>
      <c r="I94" s="757">
        <f t="shared" si="11"/>
        <v>0.2</v>
      </c>
      <c r="J94" s="758">
        <f t="shared" si="11"/>
        <v>0.3</v>
      </c>
      <c r="K94" s="758">
        <f t="shared" si="11"/>
        <v>0.25</v>
      </c>
      <c r="L94" s="758">
        <f t="shared" si="11"/>
        <v>0.05</v>
      </c>
      <c r="M94" s="758">
        <f t="shared" si="11"/>
        <v>0.2</v>
      </c>
      <c r="N94" s="759">
        <f t="shared" si="14"/>
        <v>1</v>
      </c>
      <c r="O94" s="760"/>
      <c r="R94" s="754">
        <f t="shared" si="15"/>
        <v>0.4</v>
      </c>
      <c r="S94" s="755">
        <f t="shared" si="16"/>
        <v>0.71500000000000008</v>
      </c>
    </row>
    <row r="95" spans="2:19">
      <c r="B95" s="756">
        <f t="shared" si="12"/>
        <v>2077</v>
      </c>
      <c r="C95" s="757">
        <f t="shared" si="10"/>
        <v>1</v>
      </c>
      <c r="D95" s="758">
        <f t="shared" si="10"/>
        <v>0</v>
      </c>
      <c r="E95" s="758">
        <f t="shared" si="10"/>
        <v>0</v>
      </c>
      <c r="F95" s="758">
        <f t="shared" si="10"/>
        <v>0</v>
      </c>
      <c r="G95" s="758">
        <f t="shared" si="10"/>
        <v>0</v>
      </c>
      <c r="H95" s="759">
        <f t="shared" si="13"/>
        <v>1</v>
      </c>
      <c r="I95" s="757">
        <f t="shared" si="11"/>
        <v>0.2</v>
      </c>
      <c r="J95" s="758">
        <f t="shared" si="11"/>
        <v>0.3</v>
      </c>
      <c r="K95" s="758">
        <f t="shared" si="11"/>
        <v>0.25</v>
      </c>
      <c r="L95" s="758">
        <f t="shared" si="11"/>
        <v>0.05</v>
      </c>
      <c r="M95" s="758">
        <f t="shared" si="11"/>
        <v>0.2</v>
      </c>
      <c r="N95" s="759">
        <f t="shared" si="14"/>
        <v>1</v>
      </c>
      <c r="O95" s="760"/>
      <c r="R95" s="754">
        <f t="shared" si="15"/>
        <v>0.4</v>
      </c>
      <c r="S95" s="755">
        <f t="shared" si="16"/>
        <v>0.71500000000000008</v>
      </c>
    </row>
    <row r="96" spans="2:19">
      <c r="B96" s="756">
        <f t="shared" si="12"/>
        <v>2078</v>
      </c>
      <c r="C96" s="757">
        <f t="shared" si="10"/>
        <v>1</v>
      </c>
      <c r="D96" s="758">
        <f t="shared" si="10"/>
        <v>0</v>
      </c>
      <c r="E96" s="758">
        <f t="shared" si="10"/>
        <v>0</v>
      </c>
      <c r="F96" s="758">
        <f t="shared" si="10"/>
        <v>0</v>
      </c>
      <c r="G96" s="758">
        <f t="shared" si="10"/>
        <v>0</v>
      </c>
      <c r="H96" s="759">
        <f t="shared" si="13"/>
        <v>1</v>
      </c>
      <c r="I96" s="757">
        <f t="shared" si="11"/>
        <v>0.2</v>
      </c>
      <c r="J96" s="758">
        <f t="shared" si="11"/>
        <v>0.3</v>
      </c>
      <c r="K96" s="758">
        <f t="shared" si="11"/>
        <v>0.25</v>
      </c>
      <c r="L96" s="758">
        <f t="shared" si="11"/>
        <v>0.05</v>
      </c>
      <c r="M96" s="758">
        <f t="shared" si="11"/>
        <v>0.2</v>
      </c>
      <c r="N96" s="759">
        <f t="shared" si="14"/>
        <v>1</v>
      </c>
      <c r="O96" s="760"/>
      <c r="R96" s="754">
        <f t="shared" si="15"/>
        <v>0.4</v>
      </c>
      <c r="S96" s="755">
        <f t="shared" si="16"/>
        <v>0.71500000000000008</v>
      </c>
    </row>
    <row r="97" spans="2:19">
      <c r="B97" s="756">
        <f t="shared" si="12"/>
        <v>2079</v>
      </c>
      <c r="C97" s="757">
        <f t="shared" si="10"/>
        <v>1</v>
      </c>
      <c r="D97" s="758">
        <f t="shared" si="10"/>
        <v>0</v>
      </c>
      <c r="E97" s="758">
        <f t="shared" si="10"/>
        <v>0</v>
      </c>
      <c r="F97" s="758">
        <f t="shared" si="10"/>
        <v>0</v>
      </c>
      <c r="G97" s="758">
        <f t="shared" si="10"/>
        <v>0</v>
      </c>
      <c r="H97" s="759">
        <f t="shared" si="13"/>
        <v>1</v>
      </c>
      <c r="I97" s="757">
        <f t="shared" si="11"/>
        <v>0.2</v>
      </c>
      <c r="J97" s="758">
        <f t="shared" si="11"/>
        <v>0.3</v>
      </c>
      <c r="K97" s="758">
        <f t="shared" si="11"/>
        <v>0.25</v>
      </c>
      <c r="L97" s="758">
        <f t="shared" si="11"/>
        <v>0.05</v>
      </c>
      <c r="M97" s="758">
        <f t="shared" si="11"/>
        <v>0.2</v>
      </c>
      <c r="N97" s="759">
        <f t="shared" si="14"/>
        <v>1</v>
      </c>
      <c r="O97" s="760"/>
      <c r="R97" s="754">
        <f t="shared" si="15"/>
        <v>0.4</v>
      </c>
      <c r="S97" s="755">
        <f t="shared" si="16"/>
        <v>0.71500000000000008</v>
      </c>
    </row>
    <row r="98" spans="2:19" ht="13.5" thickBot="1">
      <c r="B98" s="761">
        <f t="shared" si="12"/>
        <v>2080</v>
      </c>
      <c r="C98" s="762">
        <f t="shared" si="10"/>
        <v>1</v>
      </c>
      <c r="D98" s="763">
        <f t="shared" si="10"/>
        <v>0</v>
      </c>
      <c r="E98" s="763">
        <f t="shared" si="10"/>
        <v>0</v>
      </c>
      <c r="F98" s="763">
        <f t="shared" si="10"/>
        <v>0</v>
      </c>
      <c r="G98" s="763">
        <f t="shared" si="10"/>
        <v>0</v>
      </c>
      <c r="H98" s="764">
        <f t="shared" si="13"/>
        <v>1</v>
      </c>
      <c r="I98" s="762">
        <f t="shared" si="11"/>
        <v>0.2</v>
      </c>
      <c r="J98" s="763">
        <f t="shared" si="11"/>
        <v>0.3</v>
      </c>
      <c r="K98" s="763">
        <f t="shared" si="11"/>
        <v>0.25</v>
      </c>
      <c r="L98" s="763">
        <f t="shared" si="11"/>
        <v>0.05</v>
      </c>
      <c r="M98" s="763">
        <f t="shared" si="11"/>
        <v>0.2</v>
      </c>
      <c r="N98" s="764">
        <f t="shared" si="14"/>
        <v>1</v>
      </c>
      <c r="O98" s="708"/>
      <c r="R98" s="765">
        <f t="shared" si="15"/>
        <v>0.4</v>
      </c>
      <c r="S98" s="765">
        <f t="shared" si="16"/>
        <v>0.71500000000000008</v>
      </c>
    </row>
    <row r="99" spans="2:19">
      <c r="H99" s="766"/>
    </row>
    <row r="100" spans="2:19">
      <c r="H100" s="76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tabSelected="1" workbookViewId="0">
      <pane xSplit="1" ySplit="12" topLeftCell="B38" activePane="bottomRight" state="frozen"/>
      <selection activeCell="E19" sqref="E19"/>
      <selection pane="topRight" activeCell="E19" sqref="E19"/>
      <selection pane="bottomLeft" activeCell="E19" sqref="E19"/>
      <selection pane="bottomRight" activeCell="C24" sqref="C24:C43"/>
    </sheetView>
  </sheetViews>
  <sheetFormatPr defaultColWidth="11.42578125" defaultRowHeight="12.75"/>
  <cols>
    <col min="1" max="1" width="2.28515625" style="662" customWidth="1"/>
    <col min="2" max="2" width="6.28515625" style="662" customWidth="1"/>
    <col min="3" max="3" width="9.28515625" style="662" customWidth="1"/>
    <col min="4" max="4" width="7.42578125" style="662" customWidth="1"/>
    <col min="5" max="14" width="8" style="662" customWidth="1"/>
    <col min="15" max="16" width="8.42578125" style="662" customWidth="1"/>
    <col min="17" max="17" width="3.85546875" style="662" customWidth="1"/>
    <col min="18" max="18" width="3.42578125" style="662" customWidth="1"/>
    <col min="19" max="21" width="11.42578125" style="662" hidden="1" customWidth="1"/>
    <col min="22" max="22" width="10.28515625" style="662" hidden="1" customWidth="1"/>
    <col min="23" max="23" width="9.7109375" style="662" hidden="1" customWidth="1"/>
    <col min="24" max="24" width="9.42578125" style="662" hidden="1" customWidth="1"/>
    <col min="25" max="27" width="0" style="662" hidden="1" customWidth="1"/>
    <col min="28" max="29" width="11.42578125" style="662"/>
    <col min="30" max="30" width="10.85546875" style="662" customWidth="1"/>
    <col min="31" max="16384" width="11.42578125" style="662"/>
  </cols>
  <sheetData>
    <row r="2" spans="2:30" ht="15.75">
      <c r="C2" s="663" t="s">
        <v>34</v>
      </c>
      <c r="S2" s="663" t="s">
        <v>300</v>
      </c>
      <c r="AC2" s="662" t="s">
        <v>6</v>
      </c>
      <c r="AD2" s="661">
        <v>0.435</v>
      </c>
    </row>
    <row r="3" spans="2:30">
      <c r="B3" s="664"/>
      <c r="C3" s="664"/>
      <c r="S3" s="664"/>
      <c r="AC3" s="662" t="s">
        <v>256</v>
      </c>
      <c r="AD3" s="661">
        <v>0.129</v>
      </c>
    </row>
    <row r="4" spans="2:30">
      <c r="B4" s="664"/>
      <c r="C4" s="664" t="s">
        <v>38</v>
      </c>
      <c r="S4" s="664" t="s">
        <v>301</v>
      </c>
      <c r="AC4" s="662" t="s">
        <v>2</v>
      </c>
      <c r="AD4" s="661">
        <v>9.9000000000000005E-2</v>
      </c>
    </row>
    <row r="5" spans="2:30">
      <c r="B5" s="664"/>
      <c r="C5" s="664"/>
      <c r="S5" s="664" t="s">
        <v>38</v>
      </c>
      <c r="AC5" s="662" t="s">
        <v>16</v>
      </c>
      <c r="AD5" s="661">
        <v>2.7E-2</v>
      </c>
    </row>
    <row r="6" spans="2:30">
      <c r="B6" s="664"/>
      <c r="S6" s="664"/>
      <c r="AC6" s="662" t="s">
        <v>331</v>
      </c>
      <c r="AD6" s="661">
        <v>8.9999999999999993E-3</v>
      </c>
    </row>
    <row r="7" spans="2:30" ht="13.5" thickBot="1">
      <c r="B7" s="664"/>
      <c r="C7" s="665"/>
      <c r="S7" s="664"/>
      <c r="AC7" s="662" t="s">
        <v>332</v>
      </c>
      <c r="AD7" s="661">
        <v>7.1999999999999995E-2</v>
      </c>
    </row>
    <row r="8" spans="2:30" ht="13.5" thickBot="1">
      <c r="B8" s="664"/>
      <c r="D8" s="666">
        <v>6.2100000000000002E-2</v>
      </c>
      <c r="E8" s="667">
        <f>AD2</f>
        <v>0.435</v>
      </c>
      <c r="F8" s="668">
        <f>AD3</f>
        <v>0.129</v>
      </c>
      <c r="G8" s="669">
        <v>0</v>
      </c>
      <c r="H8" s="668">
        <v>0</v>
      </c>
      <c r="I8" s="668">
        <f>AD4</f>
        <v>9.9000000000000005E-2</v>
      </c>
      <c r="J8" s="668">
        <f>AD5</f>
        <v>2.7E-2</v>
      </c>
      <c r="K8" s="668">
        <f>AD6</f>
        <v>8.9999999999999993E-3</v>
      </c>
      <c r="L8" s="668">
        <f>AD7</f>
        <v>7.1999999999999995E-2</v>
      </c>
      <c r="M8" s="668">
        <f>AD8</f>
        <v>3.3000000000000002E-2</v>
      </c>
      <c r="N8" s="668">
        <f>AD9</f>
        <v>0.04</v>
      </c>
      <c r="O8" s="668">
        <f>AD10</f>
        <v>0.156</v>
      </c>
      <c r="P8" s="670">
        <f>SUM(E8:O8)</f>
        <v>1</v>
      </c>
      <c r="S8" s="664"/>
      <c r="T8" s="664"/>
      <c r="AC8" s="662" t="s">
        <v>231</v>
      </c>
      <c r="AD8" s="661">
        <v>3.3000000000000002E-2</v>
      </c>
    </row>
    <row r="9" spans="2:30" ht="13.5" thickBot="1">
      <c r="B9" s="671"/>
      <c r="C9" s="672"/>
      <c r="D9" s="673"/>
      <c r="E9" s="825" t="s">
        <v>41</v>
      </c>
      <c r="F9" s="826"/>
      <c r="G9" s="826"/>
      <c r="H9" s="826"/>
      <c r="I9" s="826"/>
      <c r="J9" s="826"/>
      <c r="K9" s="826"/>
      <c r="L9" s="826"/>
      <c r="M9" s="826"/>
      <c r="N9" s="826"/>
      <c r="O9" s="826"/>
      <c r="P9" s="674"/>
      <c r="AC9" s="662" t="s">
        <v>232</v>
      </c>
      <c r="AD9" s="661">
        <v>0.04</v>
      </c>
    </row>
    <row r="10" spans="2:30" ht="21.75" customHeight="1" thickBot="1">
      <c r="B10" s="823" t="s">
        <v>1</v>
      </c>
      <c r="C10" s="823" t="s">
        <v>33</v>
      </c>
      <c r="D10" s="823" t="s">
        <v>40</v>
      </c>
      <c r="E10" s="823" t="s">
        <v>228</v>
      </c>
      <c r="F10" s="823" t="s">
        <v>271</v>
      </c>
      <c r="G10" s="815" t="s">
        <v>267</v>
      </c>
      <c r="H10" s="823" t="s">
        <v>270</v>
      </c>
      <c r="I10" s="815" t="s">
        <v>2</v>
      </c>
      <c r="J10" s="823" t="s">
        <v>16</v>
      </c>
      <c r="K10" s="815" t="s">
        <v>229</v>
      </c>
      <c r="L10" s="812" t="s">
        <v>273</v>
      </c>
      <c r="M10" s="813"/>
      <c r="N10" s="813"/>
      <c r="O10" s="814"/>
      <c r="P10" s="823" t="s">
        <v>27</v>
      </c>
      <c r="AC10" s="662" t="s">
        <v>233</v>
      </c>
      <c r="AD10" s="661">
        <v>0.156</v>
      </c>
    </row>
    <row r="11" spans="2:30" s="676" customFormat="1" ht="42" customHeight="1" thickBot="1">
      <c r="B11" s="824"/>
      <c r="C11" s="824"/>
      <c r="D11" s="824"/>
      <c r="E11" s="824"/>
      <c r="F11" s="824"/>
      <c r="G11" s="817"/>
      <c r="H11" s="824"/>
      <c r="I11" s="817"/>
      <c r="J11" s="824"/>
      <c r="K11" s="817"/>
      <c r="L11" s="675" t="s">
        <v>230</v>
      </c>
      <c r="M11" s="675" t="s">
        <v>231</v>
      </c>
      <c r="N11" s="675" t="s">
        <v>232</v>
      </c>
      <c r="O11" s="675" t="s">
        <v>233</v>
      </c>
      <c r="P11" s="824"/>
      <c r="S11" s="419" t="s">
        <v>1</v>
      </c>
      <c r="T11" s="423" t="s">
        <v>302</v>
      </c>
      <c r="U11" s="419" t="s">
        <v>303</v>
      </c>
      <c r="V11" s="423" t="s">
        <v>304</v>
      </c>
      <c r="W11" s="419" t="s">
        <v>40</v>
      </c>
      <c r="X11" s="423" t="s">
        <v>305</v>
      </c>
    </row>
    <row r="12" spans="2:30" s="683" customFormat="1" ht="26.25" thickBot="1">
      <c r="B12" s="677"/>
      <c r="C12" s="678" t="s">
        <v>15</v>
      </c>
      <c r="D12" s="678" t="s">
        <v>24</v>
      </c>
      <c r="E12" s="679" t="s">
        <v>24</v>
      </c>
      <c r="F12" s="680" t="s">
        <v>24</v>
      </c>
      <c r="G12" s="680" t="s">
        <v>24</v>
      </c>
      <c r="H12" s="680" t="s">
        <v>24</v>
      </c>
      <c r="I12" s="680" t="s">
        <v>24</v>
      </c>
      <c r="J12" s="680" t="s">
        <v>24</v>
      </c>
      <c r="K12" s="680" t="s">
        <v>24</v>
      </c>
      <c r="L12" s="680" t="s">
        <v>24</v>
      </c>
      <c r="M12" s="680" t="s">
        <v>24</v>
      </c>
      <c r="N12" s="680" t="s">
        <v>24</v>
      </c>
      <c r="O12" s="681" t="s">
        <v>24</v>
      </c>
      <c r="P12" s="682" t="s">
        <v>39</v>
      </c>
      <c r="S12" s="684"/>
      <c r="T12" s="685" t="s">
        <v>306</v>
      </c>
      <c r="U12" s="684" t="s">
        <v>307</v>
      </c>
      <c r="V12" s="685" t="s">
        <v>15</v>
      </c>
      <c r="W12" s="686" t="s">
        <v>24</v>
      </c>
      <c r="X12" s="685" t="s">
        <v>15</v>
      </c>
    </row>
    <row r="13" spans="2:30">
      <c r="B13" s="687">
        <f>year</f>
        <v>2000</v>
      </c>
      <c r="C13" s="688"/>
      <c r="D13" s="689">
        <v>1</v>
      </c>
      <c r="E13" s="690">
        <f t="shared" ref="E13:O28" si="0">E$8</f>
        <v>0.435</v>
      </c>
      <c r="F13" s="690">
        <f t="shared" si="0"/>
        <v>0.129</v>
      </c>
      <c r="G13" s="690">
        <f t="shared" si="0"/>
        <v>0</v>
      </c>
      <c r="H13" s="690">
        <f t="shared" si="0"/>
        <v>0</v>
      </c>
      <c r="I13" s="690">
        <f t="shared" si="0"/>
        <v>9.9000000000000005E-2</v>
      </c>
      <c r="J13" s="690">
        <f t="shared" si="0"/>
        <v>2.7E-2</v>
      </c>
      <c r="K13" s="690">
        <f t="shared" si="0"/>
        <v>8.9999999999999993E-3</v>
      </c>
      <c r="L13" s="690">
        <f t="shared" si="0"/>
        <v>7.1999999999999995E-2</v>
      </c>
      <c r="M13" s="690">
        <f t="shared" si="0"/>
        <v>3.3000000000000002E-2</v>
      </c>
      <c r="N13" s="690">
        <f t="shared" si="0"/>
        <v>0.04</v>
      </c>
      <c r="O13" s="690">
        <f t="shared" si="0"/>
        <v>0.156</v>
      </c>
      <c r="P13" s="691">
        <f t="shared" ref="P13:P44" si="1">SUM(E13:O13)</f>
        <v>1</v>
      </c>
      <c r="S13" s="687">
        <f>year</f>
        <v>2000</v>
      </c>
      <c r="T13" s="692">
        <v>0</v>
      </c>
      <c r="U13" s="692">
        <v>5</v>
      </c>
      <c r="V13" s="693">
        <f>T13*U13</f>
        <v>0</v>
      </c>
      <c r="W13" s="694">
        <v>1</v>
      </c>
      <c r="X13" s="695">
        <f t="shared" ref="X13:X44" si="2">V13*W13</f>
        <v>0</v>
      </c>
    </row>
    <row r="14" spans="2:30">
      <c r="B14" s="696">
        <f t="shared" ref="B14:B45" si="3">B13+1</f>
        <v>2001</v>
      </c>
      <c r="C14" s="688"/>
      <c r="D14" s="689">
        <v>1</v>
      </c>
      <c r="E14" s="690">
        <f t="shared" si="0"/>
        <v>0.435</v>
      </c>
      <c r="F14" s="690">
        <f t="shared" si="0"/>
        <v>0.129</v>
      </c>
      <c r="G14" s="690">
        <f t="shared" si="0"/>
        <v>0</v>
      </c>
      <c r="H14" s="690">
        <f t="shared" si="0"/>
        <v>0</v>
      </c>
      <c r="I14" s="690">
        <f t="shared" si="0"/>
        <v>9.9000000000000005E-2</v>
      </c>
      <c r="J14" s="690">
        <f t="shared" si="0"/>
        <v>2.7E-2</v>
      </c>
      <c r="K14" s="690">
        <f t="shared" si="0"/>
        <v>8.9999999999999993E-3</v>
      </c>
      <c r="L14" s="690">
        <f t="shared" si="0"/>
        <v>7.1999999999999995E-2</v>
      </c>
      <c r="M14" s="690">
        <f t="shared" si="0"/>
        <v>3.3000000000000002E-2</v>
      </c>
      <c r="N14" s="690">
        <f t="shared" si="0"/>
        <v>0.04</v>
      </c>
      <c r="O14" s="690">
        <f t="shared" si="0"/>
        <v>0.156</v>
      </c>
      <c r="P14" s="697">
        <f t="shared" si="1"/>
        <v>1</v>
      </c>
      <c r="S14" s="696">
        <f t="shared" ref="S14:S77" si="4">S13+1</f>
        <v>2001</v>
      </c>
      <c r="T14" s="698">
        <v>0</v>
      </c>
      <c r="U14" s="698">
        <v>5</v>
      </c>
      <c r="V14" s="699">
        <f>T14*U14</f>
        <v>0</v>
      </c>
      <c r="W14" s="700">
        <v>1</v>
      </c>
      <c r="X14" s="701">
        <f t="shared" si="2"/>
        <v>0</v>
      </c>
    </row>
    <row r="15" spans="2:30">
      <c r="B15" s="696">
        <f t="shared" si="3"/>
        <v>2002</v>
      </c>
      <c r="C15" s="688"/>
      <c r="D15" s="689">
        <v>1</v>
      </c>
      <c r="E15" s="690">
        <f t="shared" si="0"/>
        <v>0.435</v>
      </c>
      <c r="F15" s="690">
        <f t="shared" si="0"/>
        <v>0.129</v>
      </c>
      <c r="G15" s="690">
        <f t="shared" si="0"/>
        <v>0</v>
      </c>
      <c r="H15" s="690">
        <f t="shared" si="0"/>
        <v>0</v>
      </c>
      <c r="I15" s="690">
        <f t="shared" si="0"/>
        <v>9.9000000000000005E-2</v>
      </c>
      <c r="J15" s="690">
        <f t="shared" si="0"/>
        <v>2.7E-2</v>
      </c>
      <c r="K15" s="690">
        <f t="shared" si="0"/>
        <v>8.9999999999999993E-3</v>
      </c>
      <c r="L15" s="690">
        <f t="shared" si="0"/>
        <v>7.1999999999999995E-2</v>
      </c>
      <c r="M15" s="690">
        <f t="shared" si="0"/>
        <v>3.3000000000000002E-2</v>
      </c>
      <c r="N15" s="690">
        <f t="shared" si="0"/>
        <v>0.04</v>
      </c>
      <c r="O15" s="690">
        <f t="shared" si="0"/>
        <v>0.156</v>
      </c>
      <c r="P15" s="697">
        <f t="shared" si="1"/>
        <v>1</v>
      </c>
      <c r="S15" s="696">
        <f t="shared" si="4"/>
        <v>2002</v>
      </c>
      <c r="T15" s="698">
        <v>0</v>
      </c>
      <c r="U15" s="698">
        <v>5</v>
      </c>
      <c r="V15" s="699">
        <f t="shared" ref="V15:V78" si="5">T15*U15</f>
        <v>0</v>
      </c>
      <c r="W15" s="700">
        <v>1</v>
      </c>
      <c r="X15" s="701">
        <f t="shared" si="2"/>
        <v>0</v>
      </c>
    </row>
    <row r="16" spans="2:30">
      <c r="B16" s="696">
        <f t="shared" si="3"/>
        <v>2003</v>
      </c>
      <c r="C16" s="688"/>
      <c r="D16" s="689">
        <v>1</v>
      </c>
      <c r="E16" s="690">
        <f t="shared" si="0"/>
        <v>0.435</v>
      </c>
      <c r="F16" s="690">
        <f t="shared" si="0"/>
        <v>0.129</v>
      </c>
      <c r="G16" s="690">
        <f t="shared" si="0"/>
        <v>0</v>
      </c>
      <c r="H16" s="690">
        <f t="shared" si="0"/>
        <v>0</v>
      </c>
      <c r="I16" s="690">
        <f t="shared" si="0"/>
        <v>9.9000000000000005E-2</v>
      </c>
      <c r="J16" s="690">
        <f t="shared" si="0"/>
        <v>2.7E-2</v>
      </c>
      <c r="K16" s="690">
        <f t="shared" si="0"/>
        <v>8.9999999999999993E-3</v>
      </c>
      <c r="L16" s="690">
        <f t="shared" si="0"/>
        <v>7.1999999999999995E-2</v>
      </c>
      <c r="M16" s="690">
        <f t="shared" si="0"/>
        <v>3.3000000000000002E-2</v>
      </c>
      <c r="N16" s="690">
        <f t="shared" si="0"/>
        <v>0.04</v>
      </c>
      <c r="O16" s="690">
        <f t="shared" si="0"/>
        <v>0.156</v>
      </c>
      <c r="P16" s="697">
        <f t="shared" si="1"/>
        <v>1</v>
      </c>
      <c r="S16" s="696">
        <f t="shared" si="4"/>
        <v>2003</v>
      </c>
      <c r="T16" s="698">
        <v>0</v>
      </c>
      <c r="U16" s="698">
        <v>5</v>
      </c>
      <c r="V16" s="699">
        <f t="shared" si="5"/>
        <v>0</v>
      </c>
      <c r="W16" s="700">
        <v>1</v>
      </c>
      <c r="X16" s="701">
        <f t="shared" si="2"/>
        <v>0</v>
      </c>
    </row>
    <row r="17" spans="2:24">
      <c r="B17" s="696">
        <f t="shared" si="3"/>
        <v>2004</v>
      </c>
      <c r="C17" s="688"/>
      <c r="D17" s="689">
        <v>1</v>
      </c>
      <c r="E17" s="690">
        <f t="shared" si="0"/>
        <v>0.435</v>
      </c>
      <c r="F17" s="690">
        <f t="shared" si="0"/>
        <v>0.129</v>
      </c>
      <c r="G17" s="690">
        <f t="shared" si="0"/>
        <v>0</v>
      </c>
      <c r="H17" s="690">
        <f t="shared" si="0"/>
        <v>0</v>
      </c>
      <c r="I17" s="690">
        <f t="shared" si="0"/>
        <v>9.9000000000000005E-2</v>
      </c>
      <c r="J17" s="690">
        <f t="shared" si="0"/>
        <v>2.7E-2</v>
      </c>
      <c r="K17" s="690">
        <f t="shared" si="0"/>
        <v>8.9999999999999993E-3</v>
      </c>
      <c r="L17" s="690">
        <f t="shared" si="0"/>
        <v>7.1999999999999995E-2</v>
      </c>
      <c r="M17" s="690">
        <f t="shared" si="0"/>
        <v>3.3000000000000002E-2</v>
      </c>
      <c r="N17" s="690">
        <f t="shared" si="0"/>
        <v>0.04</v>
      </c>
      <c r="O17" s="690">
        <f t="shared" si="0"/>
        <v>0.156</v>
      </c>
      <c r="P17" s="697">
        <f t="shared" si="1"/>
        <v>1</v>
      </c>
      <c r="S17" s="696">
        <f t="shared" si="4"/>
        <v>2004</v>
      </c>
      <c r="T17" s="698">
        <v>0</v>
      </c>
      <c r="U17" s="698">
        <v>5</v>
      </c>
      <c r="V17" s="699">
        <f t="shared" si="5"/>
        <v>0</v>
      </c>
      <c r="W17" s="700">
        <v>1</v>
      </c>
      <c r="X17" s="701">
        <f t="shared" si="2"/>
        <v>0</v>
      </c>
    </row>
    <row r="18" spans="2:24">
      <c r="B18" s="696">
        <f t="shared" si="3"/>
        <v>2005</v>
      </c>
      <c r="C18" s="688"/>
      <c r="D18" s="689">
        <v>1</v>
      </c>
      <c r="E18" s="690">
        <f t="shared" si="0"/>
        <v>0.435</v>
      </c>
      <c r="F18" s="690">
        <f t="shared" si="0"/>
        <v>0.129</v>
      </c>
      <c r="G18" s="690">
        <f t="shared" si="0"/>
        <v>0</v>
      </c>
      <c r="H18" s="690">
        <f t="shared" si="0"/>
        <v>0</v>
      </c>
      <c r="I18" s="690">
        <f t="shared" si="0"/>
        <v>9.9000000000000005E-2</v>
      </c>
      <c r="J18" s="690">
        <f t="shared" si="0"/>
        <v>2.7E-2</v>
      </c>
      <c r="K18" s="690">
        <f t="shared" si="0"/>
        <v>8.9999999999999993E-3</v>
      </c>
      <c r="L18" s="690">
        <f t="shared" si="0"/>
        <v>7.1999999999999995E-2</v>
      </c>
      <c r="M18" s="690">
        <f t="shared" si="0"/>
        <v>3.3000000000000002E-2</v>
      </c>
      <c r="N18" s="690">
        <f t="shared" si="0"/>
        <v>0.04</v>
      </c>
      <c r="O18" s="690">
        <f t="shared" si="0"/>
        <v>0.156</v>
      </c>
      <c r="P18" s="697">
        <f t="shared" si="1"/>
        <v>1</v>
      </c>
      <c r="S18" s="696">
        <f t="shared" si="4"/>
        <v>2005</v>
      </c>
      <c r="T18" s="698">
        <v>0</v>
      </c>
      <c r="U18" s="698">
        <v>5</v>
      </c>
      <c r="V18" s="699">
        <f t="shared" si="5"/>
        <v>0</v>
      </c>
      <c r="W18" s="700">
        <v>1</v>
      </c>
      <c r="X18" s="701">
        <f t="shared" si="2"/>
        <v>0</v>
      </c>
    </row>
    <row r="19" spans="2:24">
      <c r="B19" s="696">
        <f t="shared" si="3"/>
        <v>2006</v>
      </c>
      <c r="C19" s="688"/>
      <c r="D19" s="689">
        <v>1</v>
      </c>
      <c r="E19" s="690">
        <f t="shared" si="0"/>
        <v>0.435</v>
      </c>
      <c r="F19" s="690">
        <f t="shared" si="0"/>
        <v>0.129</v>
      </c>
      <c r="G19" s="690">
        <f t="shared" si="0"/>
        <v>0</v>
      </c>
      <c r="H19" s="690">
        <f t="shared" si="0"/>
        <v>0</v>
      </c>
      <c r="I19" s="690">
        <f t="shared" si="0"/>
        <v>9.9000000000000005E-2</v>
      </c>
      <c r="J19" s="690">
        <f t="shared" si="0"/>
        <v>2.7E-2</v>
      </c>
      <c r="K19" s="690">
        <f t="shared" si="0"/>
        <v>8.9999999999999993E-3</v>
      </c>
      <c r="L19" s="690">
        <f t="shared" si="0"/>
        <v>7.1999999999999995E-2</v>
      </c>
      <c r="M19" s="690">
        <f t="shared" si="0"/>
        <v>3.3000000000000002E-2</v>
      </c>
      <c r="N19" s="690">
        <f t="shared" si="0"/>
        <v>0.04</v>
      </c>
      <c r="O19" s="690">
        <f t="shared" si="0"/>
        <v>0.156</v>
      </c>
      <c r="P19" s="697">
        <f t="shared" si="1"/>
        <v>1</v>
      </c>
      <c r="S19" s="696">
        <f t="shared" si="4"/>
        <v>2006</v>
      </c>
      <c r="T19" s="698">
        <v>0</v>
      </c>
      <c r="U19" s="698">
        <v>5</v>
      </c>
      <c r="V19" s="699">
        <f t="shared" si="5"/>
        <v>0</v>
      </c>
      <c r="W19" s="700">
        <v>1</v>
      </c>
      <c r="X19" s="701">
        <f t="shared" si="2"/>
        <v>0</v>
      </c>
    </row>
    <row r="20" spans="2:24">
      <c r="B20" s="696">
        <f t="shared" si="3"/>
        <v>2007</v>
      </c>
      <c r="C20" s="688"/>
      <c r="D20" s="689">
        <v>1</v>
      </c>
      <c r="E20" s="690">
        <f t="shared" si="0"/>
        <v>0.435</v>
      </c>
      <c r="F20" s="690">
        <f t="shared" si="0"/>
        <v>0.129</v>
      </c>
      <c r="G20" s="690">
        <f t="shared" si="0"/>
        <v>0</v>
      </c>
      <c r="H20" s="690">
        <f t="shared" si="0"/>
        <v>0</v>
      </c>
      <c r="I20" s="690">
        <f t="shared" si="0"/>
        <v>9.9000000000000005E-2</v>
      </c>
      <c r="J20" s="690">
        <f t="shared" si="0"/>
        <v>2.7E-2</v>
      </c>
      <c r="K20" s="690">
        <f t="shared" si="0"/>
        <v>8.9999999999999993E-3</v>
      </c>
      <c r="L20" s="690">
        <f t="shared" si="0"/>
        <v>7.1999999999999995E-2</v>
      </c>
      <c r="M20" s="690">
        <f t="shared" si="0"/>
        <v>3.3000000000000002E-2</v>
      </c>
      <c r="N20" s="690">
        <f t="shared" si="0"/>
        <v>0.04</v>
      </c>
      <c r="O20" s="690">
        <f t="shared" si="0"/>
        <v>0.156</v>
      </c>
      <c r="P20" s="697">
        <f t="shared" si="1"/>
        <v>1</v>
      </c>
      <c r="S20" s="696">
        <f t="shared" si="4"/>
        <v>2007</v>
      </c>
      <c r="T20" s="698">
        <v>0</v>
      </c>
      <c r="U20" s="698">
        <v>5</v>
      </c>
      <c r="V20" s="699">
        <f t="shared" si="5"/>
        <v>0</v>
      </c>
      <c r="W20" s="700">
        <v>1</v>
      </c>
      <c r="X20" s="701">
        <f t="shared" si="2"/>
        <v>0</v>
      </c>
    </row>
    <row r="21" spans="2:24">
      <c r="B21" s="696">
        <f t="shared" si="3"/>
        <v>2008</v>
      </c>
      <c r="C21" s="688"/>
      <c r="D21" s="689">
        <v>1</v>
      </c>
      <c r="E21" s="690">
        <f t="shared" si="0"/>
        <v>0.435</v>
      </c>
      <c r="F21" s="690">
        <f t="shared" si="0"/>
        <v>0.129</v>
      </c>
      <c r="G21" s="690">
        <f t="shared" si="0"/>
        <v>0</v>
      </c>
      <c r="H21" s="690">
        <f t="shared" si="0"/>
        <v>0</v>
      </c>
      <c r="I21" s="690">
        <f t="shared" si="0"/>
        <v>9.9000000000000005E-2</v>
      </c>
      <c r="J21" s="690">
        <f t="shared" si="0"/>
        <v>2.7E-2</v>
      </c>
      <c r="K21" s="690">
        <f t="shared" si="0"/>
        <v>8.9999999999999993E-3</v>
      </c>
      <c r="L21" s="690">
        <f t="shared" si="0"/>
        <v>7.1999999999999995E-2</v>
      </c>
      <c r="M21" s="690">
        <f t="shared" si="0"/>
        <v>3.3000000000000002E-2</v>
      </c>
      <c r="N21" s="690">
        <f t="shared" si="0"/>
        <v>0.04</v>
      </c>
      <c r="O21" s="690">
        <f t="shared" si="0"/>
        <v>0.156</v>
      </c>
      <c r="P21" s="697">
        <f t="shared" si="1"/>
        <v>1</v>
      </c>
      <c r="S21" s="696">
        <f t="shared" si="4"/>
        <v>2008</v>
      </c>
      <c r="T21" s="698">
        <v>0</v>
      </c>
      <c r="U21" s="698">
        <v>5</v>
      </c>
      <c r="V21" s="699">
        <f t="shared" si="5"/>
        <v>0</v>
      </c>
      <c r="W21" s="700">
        <v>1</v>
      </c>
      <c r="X21" s="701">
        <f t="shared" si="2"/>
        <v>0</v>
      </c>
    </row>
    <row r="22" spans="2:24">
      <c r="B22" s="696">
        <f t="shared" si="3"/>
        <v>2009</v>
      </c>
      <c r="C22" s="688"/>
      <c r="D22" s="689">
        <v>1</v>
      </c>
      <c r="E22" s="690">
        <f t="shared" si="0"/>
        <v>0.435</v>
      </c>
      <c r="F22" s="690">
        <f t="shared" si="0"/>
        <v>0.129</v>
      </c>
      <c r="G22" s="690">
        <f t="shared" si="0"/>
        <v>0</v>
      </c>
      <c r="H22" s="690">
        <f t="shared" si="0"/>
        <v>0</v>
      </c>
      <c r="I22" s="690">
        <f t="shared" si="0"/>
        <v>9.9000000000000005E-2</v>
      </c>
      <c r="J22" s="690">
        <f t="shared" si="0"/>
        <v>2.7E-2</v>
      </c>
      <c r="K22" s="690">
        <f t="shared" si="0"/>
        <v>8.9999999999999993E-3</v>
      </c>
      <c r="L22" s="690">
        <f t="shared" si="0"/>
        <v>7.1999999999999995E-2</v>
      </c>
      <c r="M22" s="690">
        <f t="shared" si="0"/>
        <v>3.3000000000000002E-2</v>
      </c>
      <c r="N22" s="690">
        <f t="shared" si="0"/>
        <v>0.04</v>
      </c>
      <c r="O22" s="690">
        <f t="shared" si="0"/>
        <v>0.156</v>
      </c>
      <c r="P22" s="697">
        <f t="shared" si="1"/>
        <v>1</v>
      </c>
      <c r="S22" s="696">
        <f t="shared" si="4"/>
        <v>2009</v>
      </c>
      <c r="T22" s="698">
        <v>0</v>
      </c>
      <c r="U22" s="698">
        <v>5</v>
      </c>
      <c r="V22" s="699">
        <f t="shared" si="5"/>
        <v>0</v>
      </c>
      <c r="W22" s="700">
        <v>1</v>
      </c>
      <c r="X22" s="701">
        <f t="shared" si="2"/>
        <v>0</v>
      </c>
    </row>
    <row r="23" spans="2:24">
      <c r="B23" s="696">
        <f t="shared" si="3"/>
        <v>2010</v>
      </c>
      <c r="C23" s="688"/>
      <c r="D23" s="689">
        <v>1</v>
      </c>
      <c r="E23" s="690">
        <f t="shared" ref="E23:O38" si="6">E$8</f>
        <v>0.435</v>
      </c>
      <c r="F23" s="690">
        <f t="shared" si="6"/>
        <v>0.129</v>
      </c>
      <c r="G23" s="690">
        <f t="shared" si="0"/>
        <v>0</v>
      </c>
      <c r="H23" s="690">
        <f t="shared" si="6"/>
        <v>0</v>
      </c>
      <c r="I23" s="690">
        <f t="shared" si="0"/>
        <v>9.9000000000000005E-2</v>
      </c>
      <c r="J23" s="690">
        <f t="shared" si="6"/>
        <v>2.7E-2</v>
      </c>
      <c r="K23" s="690">
        <f t="shared" si="6"/>
        <v>8.9999999999999993E-3</v>
      </c>
      <c r="L23" s="690">
        <f t="shared" si="6"/>
        <v>7.1999999999999995E-2</v>
      </c>
      <c r="M23" s="690">
        <f t="shared" si="6"/>
        <v>3.3000000000000002E-2</v>
      </c>
      <c r="N23" s="690">
        <f t="shared" si="6"/>
        <v>0.04</v>
      </c>
      <c r="O23" s="690">
        <f t="shared" si="6"/>
        <v>0.156</v>
      </c>
      <c r="P23" s="697">
        <f t="shared" si="1"/>
        <v>1</v>
      </c>
      <c r="S23" s="696">
        <f t="shared" si="4"/>
        <v>2010</v>
      </c>
      <c r="T23" s="698">
        <v>0</v>
      </c>
      <c r="U23" s="698">
        <v>5</v>
      </c>
      <c r="V23" s="699">
        <f t="shared" si="5"/>
        <v>0</v>
      </c>
      <c r="W23" s="700">
        <v>1</v>
      </c>
      <c r="X23" s="701">
        <f t="shared" si="2"/>
        <v>0</v>
      </c>
    </row>
    <row r="24" spans="2:24">
      <c r="B24" s="696">
        <f t="shared" si="3"/>
        <v>2011</v>
      </c>
      <c r="C24" s="688">
        <f>'[2]Fraksi pengelolaan sampah BaU'!G29</f>
        <v>0</v>
      </c>
      <c r="D24" s="689">
        <v>1</v>
      </c>
      <c r="E24" s="690">
        <f t="shared" si="6"/>
        <v>0.435</v>
      </c>
      <c r="F24" s="690">
        <f t="shared" si="6"/>
        <v>0.129</v>
      </c>
      <c r="G24" s="690">
        <f t="shared" si="0"/>
        <v>0</v>
      </c>
      <c r="H24" s="690">
        <f t="shared" si="6"/>
        <v>0</v>
      </c>
      <c r="I24" s="690">
        <f t="shared" si="0"/>
        <v>9.9000000000000005E-2</v>
      </c>
      <c r="J24" s="690">
        <f t="shared" si="6"/>
        <v>2.7E-2</v>
      </c>
      <c r="K24" s="690">
        <f t="shared" si="6"/>
        <v>8.9999999999999993E-3</v>
      </c>
      <c r="L24" s="690">
        <f t="shared" si="6"/>
        <v>7.1999999999999995E-2</v>
      </c>
      <c r="M24" s="690">
        <f t="shared" si="6"/>
        <v>3.3000000000000002E-2</v>
      </c>
      <c r="N24" s="690">
        <f t="shared" si="6"/>
        <v>0.04</v>
      </c>
      <c r="O24" s="690">
        <f t="shared" si="6"/>
        <v>0.156</v>
      </c>
      <c r="P24" s="697">
        <f t="shared" si="1"/>
        <v>1</v>
      </c>
      <c r="S24" s="696">
        <f t="shared" si="4"/>
        <v>2011</v>
      </c>
      <c r="T24" s="698">
        <v>0</v>
      </c>
      <c r="U24" s="698">
        <v>5</v>
      </c>
      <c r="V24" s="699">
        <f t="shared" si="5"/>
        <v>0</v>
      </c>
      <c r="W24" s="700">
        <v>1</v>
      </c>
      <c r="X24" s="701">
        <f t="shared" si="2"/>
        <v>0</v>
      </c>
    </row>
    <row r="25" spans="2:24">
      <c r="B25" s="696">
        <f t="shared" si="3"/>
        <v>2012</v>
      </c>
      <c r="C25" s="688">
        <f>'[2]Fraksi pengelolaan sampah BaU'!G30</f>
        <v>0</v>
      </c>
      <c r="D25" s="689">
        <v>1</v>
      </c>
      <c r="E25" s="690">
        <f t="shared" si="6"/>
        <v>0.435</v>
      </c>
      <c r="F25" s="690">
        <f t="shared" si="6"/>
        <v>0.129</v>
      </c>
      <c r="G25" s="690">
        <f t="shared" si="0"/>
        <v>0</v>
      </c>
      <c r="H25" s="690">
        <f t="shared" si="6"/>
        <v>0</v>
      </c>
      <c r="I25" s="690">
        <f t="shared" si="0"/>
        <v>9.9000000000000005E-2</v>
      </c>
      <c r="J25" s="690">
        <f t="shared" si="6"/>
        <v>2.7E-2</v>
      </c>
      <c r="K25" s="690">
        <f t="shared" si="6"/>
        <v>8.9999999999999993E-3</v>
      </c>
      <c r="L25" s="690">
        <f t="shared" si="6"/>
        <v>7.1999999999999995E-2</v>
      </c>
      <c r="M25" s="690">
        <f t="shared" si="6"/>
        <v>3.3000000000000002E-2</v>
      </c>
      <c r="N25" s="690">
        <f t="shared" si="6"/>
        <v>0.04</v>
      </c>
      <c r="O25" s="690">
        <f t="shared" si="6"/>
        <v>0.156</v>
      </c>
      <c r="P25" s="697">
        <f t="shared" si="1"/>
        <v>1</v>
      </c>
      <c r="S25" s="696">
        <f t="shared" si="4"/>
        <v>2012</v>
      </c>
      <c r="T25" s="698">
        <v>0</v>
      </c>
      <c r="U25" s="698">
        <v>5</v>
      </c>
      <c r="V25" s="699">
        <f t="shared" si="5"/>
        <v>0</v>
      </c>
      <c r="W25" s="700">
        <v>1</v>
      </c>
      <c r="X25" s="701">
        <f t="shared" si="2"/>
        <v>0</v>
      </c>
    </row>
    <row r="26" spans="2:24">
      <c r="B26" s="696">
        <f t="shared" si="3"/>
        <v>2013</v>
      </c>
      <c r="C26" s="688">
        <f>'[2]Fraksi pengelolaan sampah BaU'!G31</f>
        <v>0</v>
      </c>
      <c r="D26" s="689">
        <v>1</v>
      </c>
      <c r="E26" s="690">
        <f t="shared" si="6"/>
        <v>0.435</v>
      </c>
      <c r="F26" s="690">
        <f t="shared" si="6"/>
        <v>0.129</v>
      </c>
      <c r="G26" s="690">
        <f t="shared" si="0"/>
        <v>0</v>
      </c>
      <c r="H26" s="690">
        <f t="shared" si="6"/>
        <v>0</v>
      </c>
      <c r="I26" s="690">
        <f t="shared" si="0"/>
        <v>9.9000000000000005E-2</v>
      </c>
      <c r="J26" s="690">
        <f t="shared" si="6"/>
        <v>2.7E-2</v>
      </c>
      <c r="K26" s="690">
        <f t="shared" si="6"/>
        <v>8.9999999999999993E-3</v>
      </c>
      <c r="L26" s="690">
        <f t="shared" si="6"/>
        <v>7.1999999999999995E-2</v>
      </c>
      <c r="M26" s="690">
        <f t="shared" si="6"/>
        <v>3.3000000000000002E-2</v>
      </c>
      <c r="N26" s="690">
        <f t="shared" si="6"/>
        <v>0.04</v>
      </c>
      <c r="O26" s="690">
        <f t="shared" si="6"/>
        <v>0.156</v>
      </c>
      <c r="P26" s="697">
        <f t="shared" si="1"/>
        <v>1</v>
      </c>
      <c r="S26" s="696">
        <f t="shared" si="4"/>
        <v>2013</v>
      </c>
      <c r="T26" s="698">
        <v>0</v>
      </c>
      <c r="U26" s="698">
        <v>5</v>
      </c>
      <c r="V26" s="699">
        <f t="shared" si="5"/>
        <v>0</v>
      </c>
      <c r="W26" s="700">
        <v>1</v>
      </c>
      <c r="X26" s="701">
        <f t="shared" si="2"/>
        <v>0</v>
      </c>
    </row>
    <row r="27" spans="2:24">
      <c r="B27" s="696">
        <f t="shared" si="3"/>
        <v>2014</v>
      </c>
      <c r="C27" s="688">
        <f>'[2]Fraksi pengelolaan sampah BaU'!G32</f>
        <v>0</v>
      </c>
      <c r="D27" s="689">
        <v>1</v>
      </c>
      <c r="E27" s="690">
        <f t="shared" si="6"/>
        <v>0.435</v>
      </c>
      <c r="F27" s="690">
        <f t="shared" si="6"/>
        <v>0.129</v>
      </c>
      <c r="G27" s="690">
        <f t="shared" si="0"/>
        <v>0</v>
      </c>
      <c r="H27" s="690">
        <f t="shared" si="6"/>
        <v>0</v>
      </c>
      <c r="I27" s="690">
        <f t="shared" si="0"/>
        <v>9.9000000000000005E-2</v>
      </c>
      <c r="J27" s="690">
        <f t="shared" si="6"/>
        <v>2.7E-2</v>
      </c>
      <c r="K27" s="690">
        <f t="shared" si="6"/>
        <v>8.9999999999999993E-3</v>
      </c>
      <c r="L27" s="690">
        <f t="shared" si="6"/>
        <v>7.1999999999999995E-2</v>
      </c>
      <c r="M27" s="690">
        <f t="shared" si="6"/>
        <v>3.3000000000000002E-2</v>
      </c>
      <c r="N27" s="690">
        <f t="shared" si="6"/>
        <v>0.04</v>
      </c>
      <c r="O27" s="690">
        <f t="shared" si="6"/>
        <v>0.156</v>
      </c>
      <c r="P27" s="697">
        <f t="shared" si="1"/>
        <v>1</v>
      </c>
      <c r="S27" s="696">
        <f t="shared" si="4"/>
        <v>2014</v>
      </c>
      <c r="T27" s="698">
        <v>0</v>
      </c>
      <c r="U27" s="698">
        <v>5</v>
      </c>
      <c r="V27" s="699">
        <f t="shared" si="5"/>
        <v>0</v>
      </c>
      <c r="W27" s="700">
        <v>1</v>
      </c>
      <c r="X27" s="701">
        <f t="shared" si="2"/>
        <v>0</v>
      </c>
    </row>
    <row r="28" spans="2:24">
      <c r="B28" s="696">
        <f t="shared" si="3"/>
        <v>2015</v>
      </c>
      <c r="C28" s="688">
        <f>'[2]Fraksi pengelolaan sampah BaU'!G33</f>
        <v>0</v>
      </c>
      <c r="D28" s="689">
        <v>1</v>
      </c>
      <c r="E28" s="690">
        <f t="shared" si="6"/>
        <v>0.435</v>
      </c>
      <c r="F28" s="690">
        <f t="shared" si="6"/>
        <v>0.129</v>
      </c>
      <c r="G28" s="690">
        <f t="shared" si="0"/>
        <v>0</v>
      </c>
      <c r="H28" s="690">
        <f t="shared" si="6"/>
        <v>0</v>
      </c>
      <c r="I28" s="690">
        <f t="shared" si="0"/>
        <v>9.9000000000000005E-2</v>
      </c>
      <c r="J28" s="690">
        <f t="shared" si="6"/>
        <v>2.7E-2</v>
      </c>
      <c r="K28" s="690">
        <f t="shared" si="6"/>
        <v>8.9999999999999993E-3</v>
      </c>
      <c r="L28" s="690">
        <f t="shared" si="6"/>
        <v>7.1999999999999995E-2</v>
      </c>
      <c r="M28" s="690">
        <f t="shared" si="6"/>
        <v>3.3000000000000002E-2</v>
      </c>
      <c r="N28" s="690">
        <f t="shared" si="6"/>
        <v>0.04</v>
      </c>
      <c r="O28" s="690">
        <f t="shared" si="6"/>
        <v>0.156</v>
      </c>
      <c r="P28" s="697">
        <f t="shared" si="1"/>
        <v>1</v>
      </c>
      <c r="S28" s="696">
        <f t="shared" si="4"/>
        <v>2015</v>
      </c>
      <c r="T28" s="698">
        <v>0</v>
      </c>
      <c r="U28" s="698">
        <v>5</v>
      </c>
      <c r="V28" s="699">
        <f t="shared" si="5"/>
        <v>0</v>
      </c>
      <c r="W28" s="700">
        <v>1</v>
      </c>
      <c r="X28" s="701">
        <f t="shared" si="2"/>
        <v>0</v>
      </c>
    </row>
    <row r="29" spans="2:24">
      <c r="B29" s="696">
        <f t="shared" si="3"/>
        <v>2016</v>
      </c>
      <c r="C29" s="688">
        <f>'[2]Fraksi pengelolaan sampah BaU'!G34</f>
        <v>0</v>
      </c>
      <c r="D29" s="689">
        <v>1</v>
      </c>
      <c r="E29" s="690">
        <f t="shared" si="6"/>
        <v>0.435</v>
      </c>
      <c r="F29" s="690">
        <f t="shared" si="6"/>
        <v>0.129</v>
      </c>
      <c r="G29" s="690">
        <f t="shared" si="6"/>
        <v>0</v>
      </c>
      <c r="H29" s="690">
        <f t="shared" si="6"/>
        <v>0</v>
      </c>
      <c r="I29" s="690">
        <f t="shared" si="6"/>
        <v>9.9000000000000005E-2</v>
      </c>
      <c r="J29" s="690">
        <f t="shared" si="6"/>
        <v>2.7E-2</v>
      </c>
      <c r="K29" s="690">
        <f t="shared" si="6"/>
        <v>8.9999999999999993E-3</v>
      </c>
      <c r="L29" s="690">
        <f t="shared" si="6"/>
        <v>7.1999999999999995E-2</v>
      </c>
      <c r="M29" s="690">
        <f t="shared" si="6"/>
        <v>3.3000000000000002E-2</v>
      </c>
      <c r="N29" s="690">
        <f t="shared" si="6"/>
        <v>0.04</v>
      </c>
      <c r="O29" s="690">
        <f t="shared" si="6"/>
        <v>0.156</v>
      </c>
      <c r="P29" s="697">
        <f t="shared" si="1"/>
        <v>1</v>
      </c>
      <c r="S29" s="696">
        <f t="shared" si="4"/>
        <v>2016</v>
      </c>
      <c r="T29" s="698">
        <v>0</v>
      </c>
      <c r="U29" s="698">
        <v>5</v>
      </c>
      <c r="V29" s="699">
        <f t="shared" si="5"/>
        <v>0</v>
      </c>
      <c r="W29" s="700">
        <v>1</v>
      </c>
      <c r="X29" s="701">
        <f t="shared" si="2"/>
        <v>0</v>
      </c>
    </row>
    <row r="30" spans="2:24">
      <c r="B30" s="696">
        <f t="shared" si="3"/>
        <v>2017</v>
      </c>
      <c r="C30" s="688">
        <f>'[2]Fraksi pengelolaan sampah BaU'!G35</f>
        <v>0</v>
      </c>
      <c r="D30" s="689">
        <v>1</v>
      </c>
      <c r="E30" s="690">
        <f t="shared" si="6"/>
        <v>0.435</v>
      </c>
      <c r="F30" s="690">
        <f t="shared" si="6"/>
        <v>0.129</v>
      </c>
      <c r="G30" s="690">
        <f t="shared" si="6"/>
        <v>0</v>
      </c>
      <c r="H30" s="690">
        <f t="shared" si="6"/>
        <v>0</v>
      </c>
      <c r="I30" s="690">
        <f t="shared" si="6"/>
        <v>9.9000000000000005E-2</v>
      </c>
      <c r="J30" s="690">
        <f t="shared" si="6"/>
        <v>2.7E-2</v>
      </c>
      <c r="K30" s="690">
        <f t="shared" si="6"/>
        <v>8.9999999999999993E-3</v>
      </c>
      <c r="L30" s="690">
        <f t="shared" si="6"/>
        <v>7.1999999999999995E-2</v>
      </c>
      <c r="M30" s="690">
        <f t="shared" si="6"/>
        <v>3.3000000000000002E-2</v>
      </c>
      <c r="N30" s="690">
        <f t="shared" si="6"/>
        <v>0.04</v>
      </c>
      <c r="O30" s="690">
        <f t="shared" si="6"/>
        <v>0.156</v>
      </c>
      <c r="P30" s="697">
        <f t="shared" si="1"/>
        <v>1</v>
      </c>
      <c r="S30" s="696">
        <f t="shared" si="4"/>
        <v>2017</v>
      </c>
      <c r="T30" s="698">
        <v>0</v>
      </c>
      <c r="U30" s="698">
        <v>5</v>
      </c>
      <c r="V30" s="699">
        <f t="shared" si="5"/>
        <v>0</v>
      </c>
      <c r="W30" s="700">
        <v>1</v>
      </c>
      <c r="X30" s="701">
        <f t="shared" si="2"/>
        <v>0</v>
      </c>
    </row>
    <row r="31" spans="2:24">
      <c r="B31" s="696">
        <f t="shared" si="3"/>
        <v>2018</v>
      </c>
      <c r="C31" s="688">
        <f>'[2]Fraksi pengelolaan sampah BaU'!G36</f>
        <v>0</v>
      </c>
      <c r="D31" s="689">
        <v>1</v>
      </c>
      <c r="E31" s="690">
        <f t="shared" si="6"/>
        <v>0.435</v>
      </c>
      <c r="F31" s="690">
        <f t="shared" si="6"/>
        <v>0.129</v>
      </c>
      <c r="G31" s="690">
        <f t="shared" si="6"/>
        <v>0</v>
      </c>
      <c r="H31" s="690">
        <f t="shared" si="6"/>
        <v>0</v>
      </c>
      <c r="I31" s="690">
        <f t="shared" si="6"/>
        <v>9.9000000000000005E-2</v>
      </c>
      <c r="J31" s="690">
        <f t="shared" si="6"/>
        <v>2.7E-2</v>
      </c>
      <c r="K31" s="690">
        <f t="shared" si="6"/>
        <v>8.9999999999999993E-3</v>
      </c>
      <c r="L31" s="690">
        <f t="shared" si="6"/>
        <v>7.1999999999999995E-2</v>
      </c>
      <c r="M31" s="690">
        <f t="shared" si="6"/>
        <v>3.3000000000000002E-2</v>
      </c>
      <c r="N31" s="690">
        <f t="shared" si="6"/>
        <v>0.04</v>
      </c>
      <c r="O31" s="690">
        <f t="shared" si="6"/>
        <v>0.156</v>
      </c>
      <c r="P31" s="697">
        <f t="shared" si="1"/>
        <v>1</v>
      </c>
      <c r="S31" s="696">
        <f t="shared" si="4"/>
        <v>2018</v>
      </c>
      <c r="T31" s="698">
        <v>0</v>
      </c>
      <c r="U31" s="698">
        <v>5</v>
      </c>
      <c r="V31" s="699">
        <f t="shared" si="5"/>
        <v>0</v>
      </c>
      <c r="W31" s="700">
        <v>1</v>
      </c>
      <c r="X31" s="701">
        <f t="shared" si="2"/>
        <v>0</v>
      </c>
    </row>
    <row r="32" spans="2:24">
      <c r="B32" s="696">
        <f t="shared" si="3"/>
        <v>2019</v>
      </c>
      <c r="C32" s="688">
        <f>'[2]Fraksi pengelolaan sampah BaU'!G37</f>
        <v>0</v>
      </c>
      <c r="D32" s="689">
        <v>1</v>
      </c>
      <c r="E32" s="690">
        <f t="shared" si="6"/>
        <v>0.435</v>
      </c>
      <c r="F32" s="690">
        <f t="shared" si="6"/>
        <v>0.129</v>
      </c>
      <c r="G32" s="690">
        <f t="shared" si="6"/>
        <v>0</v>
      </c>
      <c r="H32" s="690">
        <f t="shared" si="6"/>
        <v>0</v>
      </c>
      <c r="I32" s="690">
        <f t="shared" si="6"/>
        <v>9.9000000000000005E-2</v>
      </c>
      <c r="J32" s="690">
        <f t="shared" si="6"/>
        <v>2.7E-2</v>
      </c>
      <c r="K32" s="690">
        <f t="shared" si="6"/>
        <v>8.9999999999999993E-3</v>
      </c>
      <c r="L32" s="690">
        <f t="shared" si="6"/>
        <v>7.1999999999999995E-2</v>
      </c>
      <c r="M32" s="690">
        <f t="shared" si="6"/>
        <v>3.3000000000000002E-2</v>
      </c>
      <c r="N32" s="690">
        <f t="shared" si="6"/>
        <v>0.04</v>
      </c>
      <c r="O32" s="690">
        <f t="shared" si="6"/>
        <v>0.156</v>
      </c>
      <c r="P32" s="697">
        <f t="shared" si="1"/>
        <v>1</v>
      </c>
      <c r="S32" s="696">
        <f t="shared" si="4"/>
        <v>2019</v>
      </c>
      <c r="T32" s="698">
        <v>0</v>
      </c>
      <c r="U32" s="698">
        <v>5</v>
      </c>
      <c r="V32" s="699">
        <f t="shared" si="5"/>
        <v>0</v>
      </c>
      <c r="W32" s="700">
        <v>1</v>
      </c>
      <c r="X32" s="701">
        <f t="shared" si="2"/>
        <v>0</v>
      </c>
    </row>
    <row r="33" spans="2:24">
      <c r="B33" s="696">
        <f t="shared" si="3"/>
        <v>2020</v>
      </c>
      <c r="C33" s="688">
        <f>'[2]Fraksi pengelolaan sampah BaU'!G38</f>
        <v>0</v>
      </c>
      <c r="D33" s="689">
        <v>1</v>
      </c>
      <c r="E33" s="690">
        <f t="shared" ref="E33:O48" si="7">E$8</f>
        <v>0.435</v>
      </c>
      <c r="F33" s="690">
        <f t="shared" si="7"/>
        <v>0.129</v>
      </c>
      <c r="G33" s="690">
        <f t="shared" si="6"/>
        <v>0</v>
      </c>
      <c r="H33" s="690">
        <f t="shared" si="7"/>
        <v>0</v>
      </c>
      <c r="I33" s="690">
        <f t="shared" si="6"/>
        <v>9.9000000000000005E-2</v>
      </c>
      <c r="J33" s="690">
        <f t="shared" si="7"/>
        <v>2.7E-2</v>
      </c>
      <c r="K33" s="690">
        <f t="shared" si="7"/>
        <v>8.9999999999999993E-3</v>
      </c>
      <c r="L33" s="690">
        <f t="shared" si="7"/>
        <v>7.1999999999999995E-2</v>
      </c>
      <c r="M33" s="690">
        <f t="shared" si="7"/>
        <v>3.3000000000000002E-2</v>
      </c>
      <c r="N33" s="690">
        <f t="shared" si="7"/>
        <v>0.04</v>
      </c>
      <c r="O33" s="690">
        <f t="shared" si="7"/>
        <v>0.156</v>
      </c>
      <c r="P33" s="697">
        <f t="shared" si="1"/>
        <v>1</v>
      </c>
      <c r="S33" s="696">
        <f t="shared" si="4"/>
        <v>2020</v>
      </c>
      <c r="T33" s="698">
        <v>0</v>
      </c>
      <c r="U33" s="698">
        <v>5</v>
      </c>
      <c r="V33" s="699">
        <f t="shared" si="5"/>
        <v>0</v>
      </c>
      <c r="W33" s="700">
        <v>1</v>
      </c>
      <c r="X33" s="701">
        <f t="shared" si="2"/>
        <v>0</v>
      </c>
    </row>
    <row r="34" spans="2:24">
      <c r="B34" s="696">
        <f t="shared" si="3"/>
        <v>2021</v>
      </c>
      <c r="C34" s="688">
        <f>'[2]Fraksi pengelolaan sampah BaU'!G39</f>
        <v>0</v>
      </c>
      <c r="D34" s="689">
        <v>1</v>
      </c>
      <c r="E34" s="690">
        <f t="shared" si="7"/>
        <v>0.435</v>
      </c>
      <c r="F34" s="690">
        <f t="shared" si="7"/>
        <v>0.129</v>
      </c>
      <c r="G34" s="690">
        <f t="shared" si="6"/>
        <v>0</v>
      </c>
      <c r="H34" s="690">
        <f t="shared" si="7"/>
        <v>0</v>
      </c>
      <c r="I34" s="690">
        <f t="shared" si="6"/>
        <v>9.9000000000000005E-2</v>
      </c>
      <c r="J34" s="690">
        <f t="shared" si="7"/>
        <v>2.7E-2</v>
      </c>
      <c r="K34" s="690">
        <f t="shared" si="7"/>
        <v>8.9999999999999993E-3</v>
      </c>
      <c r="L34" s="690">
        <f t="shared" si="7"/>
        <v>7.1999999999999995E-2</v>
      </c>
      <c r="M34" s="690">
        <f t="shared" si="7"/>
        <v>3.3000000000000002E-2</v>
      </c>
      <c r="N34" s="690">
        <f t="shared" si="7"/>
        <v>0.04</v>
      </c>
      <c r="O34" s="690">
        <f t="shared" si="7"/>
        <v>0.156</v>
      </c>
      <c r="P34" s="697">
        <f t="shared" si="1"/>
        <v>1</v>
      </c>
      <c r="S34" s="696">
        <f t="shared" si="4"/>
        <v>2021</v>
      </c>
      <c r="T34" s="698">
        <v>0</v>
      </c>
      <c r="U34" s="698">
        <v>5</v>
      </c>
      <c r="V34" s="699">
        <f t="shared" si="5"/>
        <v>0</v>
      </c>
      <c r="W34" s="700">
        <v>1</v>
      </c>
      <c r="X34" s="701">
        <f t="shared" si="2"/>
        <v>0</v>
      </c>
    </row>
    <row r="35" spans="2:24">
      <c r="B35" s="696">
        <f t="shared" si="3"/>
        <v>2022</v>
      </c>
      <c r="C35" s="688">
        <f>'[2]Fraksi pengelolaan sampah BaU'!G40</f>
        <v>0</v>
      </c>
      <c r="D35" s="689">
        <v>1</v>
      </c>
      <c r="E35" s="690">
        <f t="shared" si="7"/>
        <v>0.435</v>
      </c>
      <c r="F35" s="690">
        <f t="shared" si="7"/>
        <v>0.129</v>
      </c>
      <c r="G35" s="690">
        <f t="shared" si="6"/>
        <v>0</v>
      </c>
      <c r="H35" s="690">
        <f t="shared" si="7"/>
        <v>0</v>
      </c>
      <c r="I35" s="690">
        <f t="shared" si="6"/>
        <v>9.9000000000000005E-2</v>
      </c>
      <c r="J35" s="690">
        <f t="shared" si="7"/>
        <v>2.7E-2</v>
      </c>
      <c r="K35" s="690">
        <f t="shared" si="7"/>
        <v>8.9999999999999993E-3</v>
      </c>
      <c r="L35" s="690">
        <f t="shared" si="7"/>
        <v>7.1999999999999995E-2</v>
      </c>
      <c r="M35" s="690">
        <f t="shared" si="7"/>
        <v>3.3000000000000002E-2</v>
      </c>
      <c r="N35" s="690">
        <f t="shared" si="7"/>
        <v>0.04</v>
      </c>
      <c r="O35" s="690">
        <f t="shared" si="7"/>
        <v>0.156</v>
      </c>
      <c r="P35" s="697">
        <f t="shared" si="1"/>
        <v>1</v>
      </c>
      <c r="S35" s="696">
        <f t="shared" si="4"/>
        <v>2022</v>
      </c>
      <c r="T35" s="698">
        <v>0</v>
      </c>
      <c r="U35" s="698">
        <v>5</v>
      </c>
      <c r="V35" s="699">
        <f t="shared" si="5"/>
        <v>0</v>
      </c>
      <c r="W35" s="700">
        <v>1</v>
      </c>
      <c r="X35" s="701">
        <f t="shared" si="2"/>
        <v>0</v>
      </c>
    </row>
    <row r="36" spans="2:24">
      <c r="B36" s="696">
        <f t="shared" si="3"/>
        <v>2023</v>
      </c>
      <c r="C36" s="688">
        <f>'[2]Fraksi pengelolaan sampah BaU'!G41</f>
        <v>0</v>
      </c>
      <c r="D36" s="689">
        <v>1</v>
      </c>
      <c r="E36" s="690">
        <f t="shared" si="7"/>
        <v>0.435</v>
      </c>
      <c r="F36" s="690">
        <f t="shared" si="7"/>
        <v>0.129</v>
      </c>
      <c r="G36" s="690">
        <f t="shared" si="6"/>
        <v>0</v>
      </c>
      <c r="H36" s="690">
        <f t="shared" si="7"/>
        <v>0</v>
      </c>
      <c r="I36" s="690">
        <f t="shared" si="6"/>
        <v>9.9000000000000005E-2</v>
      </c>
      <c r="J36" s="690">
        <f t="shared" si="7"/>
        <v>2.7E-2</v>
      </c>
      <c r="K36" s="690">
        <f t="shared" si="7"/>
        <v>8.9999999999999993E-3</v>
      </c>
      <c r="L36" s="690">
        <f t="shared" si="7"/>
        <v>7.1999999999999995E-2</v>
      </c>
      <c r="M36" s="690">
        <f t="shared" si="7"/>
        <v>3.3000000000000002E-2</v>
      </c>
      <c r="N36" s="690">
        <f t="shared" si="7"/>
        <v>0.04</v>
      </c>
      <c r="O36" s="690">
        <f t="shared" si="7"/>
        <v>0.156</v>
      </c>
      <c r="P36" s="697">
        <f t="shared" si="1"/>
        <v>1</v>
      </c>
      <c r="S36" s="696">
        <f t="shared" si="4"/>
        <v>2023</v>
      </c>
      <c r="T36" s="698">
        <v>0</v>
      </c>
      <c r="U36" s="698">
        <v>5</v>
      </c>
      <c r="V36" s="699">
        <f t="shared" si="5"/>
        <v>0</v>
      </c>
      <c r="W36" s="700">
        <v>1</v>
      </c>
      <c r="X36" s="701">
        <f t="shared" si="2"/>
        <v>0</v>
      </c>
    </row>
    <row r="37" spans="2:24">
      <c r="B37" s="696">
        <f t="shared" si="3"/>
        <v>2024</v>
      </c>
      <c r="C37" s="688">
        <f>'[2]Fraksi pengelolaan sampah BaU'!G42</f>
        <v>0</v>
      </c>
      <c r="D37" s="689">
        <v>1</v>
      </c>
      <c r="E37" s="690">
        <f t="shared" si="7"/>
        <v>0.435</v>
      </c>
      <c r="F37" s="690">
        <f t="shared" si="7"/>
        <v>0.129</v>
      </c>
      <c r="G37" s="690">
        <f t="shared" si="6"/>
        <v>0</v>
      </c>
      <c r="H37" s="690">
        <f t="shared" si="7"/>
        <v>0</v>
      </c>
      <c r="I37" s="690">
        <f t="shared" si="6"/>
        <v>9.9000000000000005E-2</v>
      </c>
      <c r="J37" s="690">
        <f t="shared" si="7"/>
        <v>2.7E-2</v>
      </c>
      <c r="K37" s="690">
        <f t="shared" si="7"/>
        <v>8.9999999999999993E-3</v>
      </c>
      <c r="L37" s="690">
        <f t="shared" si="7"/>
        <v>7.1999999999999995E-2</v>
      </c>
      <c r="M37" s="690">
        <f t="shared" si="7"/>
        <v>3.3000000000000002E-2</v>
      </c>
      <c r="N37" s="690">
        <f t="shared" si="7"/>
        <v>0.04</v>
      </c>
      <c r="O37" s="690">
        <f t="shared" si="7"/>
        <v>0.156</v>
      </c>
      <c r="P37" s="697">
        <f t="shared" si="1"/>
        <v>1</v>
      </c>
      <c r="S37" s="696">
        <f t="shared" si="4"/>
        <v>2024</v>
      </c>
      <c r="T37" s="698">
        <v>0</v>
      </c>
      <c r="U37" s="698">
        <v>5</v>
      </c>
      <c r="V37" s="699">
        <f t="shared" si="5"/>
        <v>0</v>
      </c>
      <c r="W37" s="700">
        <v>1</v>
      </c>
      <c r="X37" s="701">
        <f t="shared" si="2"/>
        <v>0</v>
      </c>
    </row>
    <row r="38" spans="2:24">
      <c r="B38" s="696">
        <f t="shared" si="3"/>
        <v>2025</v>
      </c>
      <c r="C38" s="688">
        <f>'[2]Fraksi pengelolaan sampah BaU'!G43</f>
        <v>0</v>
      </c>
      <c r="D38" s="689">
        <v>1</v>
      </c>
      <c r="E38" s="690">
        <f t="shared" si="7"/>
        <v>0.435</v>
      </c>
      <c r="F38" s="690">
        <f t="shared" si="7"/>
        <v>0.129</v>
      </c>
      <c r="G38" s="690">
        <f t="shared" si="6"/>
        <v>0</v>
      </c>
      <c r="H38" s="690">
        <f t="shared" si="7"/>
        <v>0</v>
      </c>
      <c r="I38" s="690">
        <f t="shared" si="6"/>
        <v>9.9000000000000005E-2</v>
      </c>
      <c r="J38" s="690">
        <f t="shared" si="7"/>
        <v>2.7E-2</v>
      </c>
      <c r="K38" s="690">
        <f t="shared" si="7"/>
        <v>8.9999999999999993E-3</v>
      </c>
      <c r="L38" s="690">
        <f t="shared" si="7"/>
        <v>7.1999999999999995E-2</v>
      </c>
      <c r="M38" s="690">
        <f t="shared" si="7"/>
        <v>3.3000000000000002E-2</v>
      </c>
      <c r="N38" s="690">
        <f t="shared" si="7"/>
        <v>0.04</v>
      </c>
      <c r="O38" s="690">
        <f t="shared" si="7"/>
        <v>0.156</v>
      </c>
      <c r="P38" s="697">
        <f t="shared" si="1"/>
        <v>1</v>
      </c>
      <c r="S38" s="696">
        <f t="shared" si="4"/>
        <v>2025</v>
      </c>
      <c r="T38" s="698">
        <v>0</v>
      </c>
      <c r="U38" s="698">
        <v>5</v>
      </c>
      <c r="V38" s="699">
        <f t="shared" si="5"/>
        <v>0</v>
      </c>
      <c r="W38" s="700">
        <v>1</v>
      </c>
      <c r="X38" s="701">
        <f t="shared" si="2"/>
        <v>0</v>
      </c>
    </row>
    <row r="39" spans="2:24">
      <c r="B39" s="696">
        <f t="shared" si="3"/>
        <v>2026</v>
      </c>
      <c r="C39" s="688">
        <f>'[2]Fraksi pengelolaan sampah BaU'!G44</f>
        <v>0</v>
      </c>
      <c r="D39" s="689">
        <v>1</v>
      </c>
      <c r="E39" s="690">
        <f t="shared" si="7"/>
        <v>0.435</v>
      </c>
      <c r="F39" s="690">
        <f t="shared" si="7"/>
        <v>0.129</v>
      </c>
      <c r="G39" s="690">
        <f t="shared" si="7"/>
        <v>0</v>
      </c>
      <c r="H39" s="690">
        <f t="shared" si="7"/>
        <v>0</v>
      </c>
      <c r="I39" s="690">
        <f t="shared" si="7"/>
        <v>9.9000000000000005E-2</v>
      </c>
      <c r="J39" s="690">
        <f t="shared" si="7"/>
        <v>2.7E-2</v>
      </c>
      <c r="K39" s="690">
        <f t="shared" si="7"/>
        <v>8.9999999999999993E-3</v>
      </c>
      <c r="L39" s="690">
        <f t="shared" si="7"/>
        <v>7.1999999999999995E-2</v>
      </c>
      <c r="M39" s="690">
        <f t="shared" si="7"/>
        <v>3.3000000000000002E-2</v>
      </c>
      <c r="N39" s="690">
        <f t="shared" si="7"/>
        <v>0.04</v>
      </c>
      <c r="O39" s="690">
        <f t="shared" si="7"/>
        <v>0.156</v>
      </c>
      <c r="P39" s="697">
        <f t="shared" si="1"/>
        <v>1</v>
      </c>
      <c r="S39" s="696">
        <f t="shared" si="4"/>
        <v>2026</v>
      </c>
      <c r="T39" s="698">
        <v>0</v>
      </c>
      <c r="U39" s="698">
        <v>5</v>
      </c>
      <c r="V39" s="699">
        <f t="shared" si="5"/>
        <v>0</v>
      </c>
      <c r="W39" s="700">
        <v>1</v>
      </c>
      <c r="X39" s="701">
        <f t="shared" si="2"/>
        <v>0</v>
      </c>
    </row>
    <row r="40" spans="2:24">
      <c r="B40" s="696">
        <f t="shared" si="3"/>
        <v>2027</v>
      </c>
      <c r="C40" s="688">
        <f>'[2]Fraksi pengelolaan sampah BaU'!G45</f>
        <v>0</v>
      </c>
      <c r="D40" s="689">
        <v>1</v>
      </c>
      <c r="E40" s="690">
        <f t="shared" si="7"/>
        <v>0.435</v>
      </c>
      <c r="F40" s="690">
        <f t="shared" si="7"/>
        <v>0.129</v>
      </c>
      <c r="G40" s="690">
        <f t="shared" si="7"/>
        <v>0</v>
      </c>
      <c r="H40" s="690">
        <f t="shared" si="7"/>
        <v>0</v>
      </c>
      <c r="I40" s="690">
        <f t="shared" si="7"/>
        <v>9.9000000000000005E-2</v>
      </c>
      <c r="J40" s="690">
        <f t="shared" si="7"/>
        <v>2.7E-2</v>
      </c>
      <c r="K40" s="690">
        <f t="shared" si="7"/>
        <v>8.9999999999999993E-3</v>
      </c>
      <c r="L40" s="690">
        <f t="shared" si="7"/>
        <v>7.1999999999999995E-2</v>
      </c>
      <c r="M40" s="690">
        <f t="shared" si="7"/>
        <v>3.3000000000000002E-2</v>
      </c>
      <c r="N40" s="690">
        <f t="shared" si="7"/>
        <v>0.04</v>
      </c>
      <c r="O40" s="690">
        <f t="shared" si="7"/>
        <v>0.156</v>
      </c>
      <c r="P40" s="697">
        <f t="shared" si="1"/>
        <v>1</v>
      </c>
      <c r="S40" s="696">
        <f t="shared" si="4"/>
        <v>2027</v>
      </c>
      <c r="T40" s="698">
        <v>0</v>
      </c>
      <c r="U40" s="698">
        <v>5</v>
      </c>
      <c r="V40" s="699">
        <f t="shared" si="5"/>
        <v>0</v>
      </c>
      <c r="W40" s="700">
        <v>1</v>
      </c>
      <c r="X40" s="701">
        <f t="shared" si="2"/>
        <v>0</v>
      </c>
    </row>
    <row r="41" spans="2:24">
      <c r="B41" s="696">
        <f t="shared" si="3"/>
        <v>2028</v>
      </c>
      <c r="C41" s="688">
        <f>'[2]Fraksi pengelolaan sampah BaU'!G46</f>
        <v>0</v>
      </c>
      <c r="D41" s="689">
        <v>1</v>
      </c>
      <c r="E41" s="690">
        <f t="shared" si="7"/>
        <v>0.435</v>
      </c>
      <c r="F41" s="690">
        <f t="shared" si="7"/>
        <v>0.129</v>
      </c>
      <c r="G41" s="690">
        <f t="shared" si="7"/>
        <v>0</v>
      </c>
      <c r="H41" s="690">
        <f t="shared" si="7"/>
        <v>0</v>
      </c>
      <c r="I41" s="690">
        <f t="shared" si="7"/>
        <v>9.9000000000000005E-2</v>
      </c>
      <c r="J41" s="690">
        <f t="shared" si="7"/>
        <v>2.7E-2</v>
      </c>
      <c r="K41" s="690">
        <f t="shared" si="7"/>
        <v>8.9999999999999993E-3</v>
      </c>
      <c r="L41" s="690">
        <f t="shared" si="7"/>
        <v>7.1999999999999995E-2</v>
      </c>
      <c r="M41" s="690">
        <f t="shared" si="7"/>
        <v>3.3000000000000002E-2</v>
      </c>
      <c r="N41" s="690">
        <f t="shared" si="7"/>
        <v>0.04</v>
      </c>
      <c r="O41" s="690">
        <f t="shared" si="7"/>
        <v>0.156</v>
      </c>
      <c r="P41" s="697">
        <f t="shared" si="1"/>
        <v>1</v>
      </c>
      <c r="S41" s="696">
        <f t="shared" si="4"/>
        <v>2028</v>
      </c>
      <c r="T41" s="698">
        <v>0</v>
      </c>
      <c r="U41" s="698">
        <v>5</v>
      </c>
      <c r="V41" s="699">
        <f t="shared" si="5"/>
        <v>0</v>
      </c>
      <c r="W41" s="700">
        <v>1</v>
      </c>
      <c r="X41" s="701">
        <f t="shared" si="2"/>
        <v>0</v>
      </c>
    </row>
    <row r="42" spans="2:24">
      <c r="B42" s="696">
        <f t="shared" si="3"/>
        <v>2029</v>
      </c>
      <c r="C42" s="688">
        <f>'[2]Fraksi pengelolaan sampah BaU'!G47</f>
        <v>0</v>
      </c>
      <c r="D42" s="689">
        <v>1</v>
      </c>
      <c r="E42" s="690">
        <f t="shared" si="7"/>
        <v>0.435</v>
      </c>
      <c r="F42" s="690">
        <f t="shared" si="7"/>
        <v>0.129</v>
      </c>
      <c r="G42" s="690">
        <f t="shared" si="7"/>
        <v>0</v>
      </c>
      <c r="H42" s="690">
        <f t="shared" si="7"/>
        <v>0</v>
      </c>
      <c r="I42" s="690">
        <f t="shared" si="7"/>
        <v>9.9000000000000005E-2</v>
      </c>
      <c r="J42" s="690">
        <f t="shared" si="7"/>
        <v>2.7E-2</v>
      </c>
      <c r="K42" s="690">
        <f t="shared" si="7"/>
        <v>8.9999999999999993E-3</v>
      </c>
      <c r="L42" s="690">
        <f t="shared" si="7"/>
        <v>7.1999999999999995E-2</v>
      </c>
      <c r="M42" s="690">
        <f t="shared" si="7"/>
        <v>3.3000000000000002E-2</v>
      </c>
      <c r="N42" s="690">
        <f t="shared" si="7"/>
        <v>0.04</v>
      </c>
      <c r="O42" s="690">
        <f t="shared" si="7"/>
        <v>0.156</v>
      </c>
      <c r="P42" s="697">
        <f t="shared" si="1"/>
        <v>1</v>
      </c>
      <c r="S42" s="696">
        <f t="shared" si="4"/>
        <v>2029</v>
      </c>
      <c r="T42" s="698">
        <v>0</v>
      </c>
      <c r="U42" s="698">
        <v>5</v>
      </c>
      <c r="V42" s="699">
        <f t="shared" si="5"/>
        <v>0</v>
      </c>
      <c r="W42" s="700">
        <v>1</v>
      </c>
      <c r="X42" s="701">
        <f t="shared" si="2"/>
        <v>0</v>
      </c>
    </row>
    <row r="43" spans="2:24">
      <c r="B43" s="696">
        <f t="shared" si="3"/>
        <v>2030</v>
      </c>
      <c r="C43" s="688">
        <f>'[2]Fraksi pengelolaan sampah BaU'!G48</f>
        <v>0</v>
      </c>
      <c r="D43" s="689">
        <v>1</v>
      </c>
      <c r="E43" s="690">
        <f t="shared" ref="E43:O58" si="8">E$8</f>
        <v>0.435</v>
      </c>
      <c r="F43" s="690">
        <f t="shared" si="8"/>
        <v>0.129</v>
      </c>
      <c r="G43" s="690">
        <f t="shared" si="7"/>
        <v>0</v>
      </c>
      <c r="H43" s="690">
        <f t="shared" si="8"/>
        <v>0</v>
      </c>
      <c r="I43" s="690">
        <f t="shared" si="7"/>
        <v>9.9000000000000005E-2</v>
      </c>
      <c r="J43" s="690">
        <f t="shared" si="8"/>
        <v>2.7E-2</v>
      </c>
      <c r="K43" s="690">
        <f t="shared" si="8"/>
        <v>8.9999999999999993E-3</v>
      </c>
      <c r="L43" s="690">
        <f t="shared" si="8"/>
        <v>7.1999999999999995E-2</v>
      </c>
      <c r="M43" s="690">
        <f t="shared" si="8"/>
        <v>3.3000000000000002E-2</v>
      </c>
      <c r="N43" s="690">
        <f t="shared" si="8"/>
        <v>0.04</v>
      </c>
      <c r="O43" s="690">
        <f t="shared" si="8"/>
        <v>0.156</v>
      </c>
      <c r="P43" s="697">
        <f t="shared" si="1"/>
        <v>1</v>
      </c>
      <c r="S43" s="696">
        <f t="shared" si="4"/>
        <v>2030</v>
      </c>
      <c r="T43" s="698">
        <v>0</v>
      </c>
      <c r="U43" s="698">
        <v>5</v>
      </c>
      <c r="V43" s="699">
        <f t="shared" si="5"/>
        <v>0</v>
      </c>
      <c r="W43" s="700">
        <v>1</v>
      </c>
      <c r="X43" s="701">
        <f t="shared" si="2"/>
        <v>0</v>
      </c>
    </row>
    <row r="44" spans="2:24">
      <c r="B44" s="696">
        <f t="shared" si="3"/>
        <v>2031</v>
      </c>
      <c r="C44" s="702"/>
      <c r="D44" s="689">
        <v>1</v>
      </c>
      <c r="E44" s="690">
        <f t="shared" si="8"/>
        <v>0.435</v>
      </c>
      <c r="F44" s="690">
        <f t="shared" si="8"/>
        <v>0.129</v>
      </c>
      <c r="G44" s="690">
        <f t="shared" si="7"/>
        <v>0</v>
      </c>
      <c r="H44" s="690">
        <f t="shared" si="8"/>
        <v>0</v>
      </c>
      <c r="I44" s="690">
        <f t="shared" si="7"/>
        <v>9.9000000000000005E-2</v>
      </c>
      <c r="J44" s="690">
        <f t="shared" si="8"/>
        <v>2.7E-2</v>
      </c>
      <c r="K44" s="690">
        <f t="shared" si="8"/>
        <v>8.9999999999999993E-3</v>
      </c>
      <c r="L44" s="690">
        <f t="shared" si="8"/>
        <v>7.1999999999999995E-2</v>
      </c>
      <c r="M44" s="690">
        <f t="shared" si="8"/>
        <v>3.3000000000000002E-2</v>
      </c>
      <c r="N44" s="690">
        <f t="shared" si="8"/>
        <v>0.04</v>
      </c>
      <c r="O44" s="690">
        <f t="shared" si="8"/>
        <v>0.156</v>
      </c>
      <c r="P44" s="697">
        <f t="shared" si="1"/>
        <v>1</v>
      </c>
      <c r="S44" s="696">
        <f t="shared" si="4"/>
        <v>2031</v>
      </c>
      <c r="T44" s="698">
        <v>0</v>
      </c>
      <c r="U44" s="698">
        <v>5</v>
      </c>
      <c r="V44" s="699">
        <f t="shared" si="5"/>
        <v>0</v>
      </c>
      <c r="W44" s="700">
        <v>1</v>
      </c>
      <c r="X44" s="701">
        <f t="shared" si="2"/>
        <v>0</v>
      </c>
    </row>
    <row r="45" spans="2:24">
      <c r="B45" s="696">
        <f t="shared" si="3"/>
        <v>2032</v>
      </c>
      <c r="C45" s="702"/>
      <c r="D45" s="689">
        <v>1</v>
      </c>
      <c r="E45" s="690">
        <f t="shared" si="8"/>
        <v>0.435</v>
      </c>
      <c r="F45" s="690">
        <f t="shared" si="8"/>
        <v>0.129</v>
      </c>
      <c r="G45" s="690">
        <f t="shared" si="7"/>
        <v>0</v>
      </c>
      <c r="H45" s="690">
        <f t="shared" si="8"/>
        <v>0</v>
      </c>
      <c r="I45" s="690">
        <f t="shared" si="7"/>
        <v>9.9000000000000005E-2</v>
      </c>
      <c r="J45" s="690">
        <f t="shared" si="8"/>
        <v>2.7E-2</v>
      </c>
      <c r="K45" s="690">
        <f t="shared" si="8"/>
        <v>8.9999999999999993E-3</v>
      </c>
      <c r="L45" s="690">
        <f t="shared" si="8"/>
        <v>7.1999999999999995E-2</v>
      </c>
      <c r="M45" s="690">
        <f t="shared" si="8"/>
        <v>3.3000000000000002E-2</v>
      </c>
      <c r="N45" s="690">
        <f t="shared" si="8"/>
        <v>0.04</v>
      </c>
      <c r="O45" s="690">
        <f t="shared" si="8"/>
        <v>0.156</v>
      </c>
      <c r="P45" s="697">
        <f t="shared" ref="P45:P76" si="9">SUM(E45:O45)</f>
        <v>1</v>
      </c>
      <c r="S45" s="696">
        <f t="shared" si="4"/>
        <v>2032</v>
      </c>
      <c r="T45" s="698">
        <v>0</v>
      </c>
      <c r="U45" s="698">
        <v>5</v>
      </c>
      <c r="V45" s="699">
        <f t="shared" si="5"/>
        <v>0</v>
      </c>
      <c r="W45" s="700">
        <v>1</v>
      </c>
      <c r="X45" s="701">
        <f t="shared" ref="X45:X76" si="10">V45*W45</f>
        <v>0</v>
      </c>
    </row>
    <row r="46" spans="2:24">
      <c r="B46" s="696">
        <f t="shared" ref="B46:B77" si="11">B45+1</f>
        <v>2033</v>
      </c>
      <c r="C46" s="702"/>
      <c r="D46" s="689">
        <v>1</v>
      </c>
      <c r="E46" s="690">
        <f t="shared" si="8"/>
        <v>0.435</v>
      </c>
      <c r="F46" s="690">
        <f t="shared" si="8"/>
        <v>0.129</v>
      </c>
      <c r="G46" s="690">
        <f t="shared" si="7"/>
        <v>0</v>
      </c>
      <c r="H46" s="690">
        <f t="shared" si="8"/>
        <v>0</v>
      </c>
      <c r="I46" s="690">
        <f t="shared" si="7"/>
        <v>9.9000000000000005E-2</v>
      </c>
      <c r="J46" s="690">
        <f t="shared" si="8"/>
        <v>2.7E-2</v>
      </c>
      <c r="K46" s="690">
        <f t="shared" si="8"/>
        <v>8.9999999999999993E-3</v>
      </c>
      <c r="L46" s="690">
        <f t="shared" si="8"/>
        <v>7.1999999999999995E-2</v>
      </c>
      <c r="M46" s="690">
        <f t="shared" si="8"/>
        <v>3.3000000000000002E-2</v>
      </c>
      <c r="N46" s="690">
        <f t="shared" si="8"/>
        <v>0.04</v>
      </c>
      <c r="O46" s="690">
        <f t="shared" si="8"/>
        <v>0.156</v>
      </c>
      <c r="P46" s="697">
        <f t="shared" si="9"/>
        <v>1</v>
      </c>
      <c r="S46" s="696">
        <f t="shared" si="4"/>
        <v>2033</v>
      </c>
      <c r="T46" s="698">
        <v>0</v>
      </c>
      <c r="U46" s="698">
        <v>5</v>
      </c>
      <c r="V46" s="699">
        <f t="shared" si="5"/>
        <v>0</v>
      </c>
      <c r="W46" s="700">
        <v>1</v>
      </c>
      <c r="X46" s="701">
        <f t="shared" si="10"/>
        <v>0</v>
      </c>
    </row>
    <row r="47" spans="2:24">
      <c r="B47" s="696">
        <f t="shared" si="11"/>
        <v>2034</v>
      </c>
      <c r="C47" s="702"/>
      <c r="D47" s="689">
        <v>1</v>
      </c>
      <c r="E47" s="690">
        <f t="shared" si="8"/>
        <v>0.435</v>
      </c>
      <c r="F47" s="690">
        <f t="shared" si="8"/>
        <v>0.129</v>
      </c>
      <c r="G47" s="690">
        <f t="shared" si="7"/>
        <v>0</v>
      </c>
      <c r="H47" s="690">
        <f t="shared" si="8"/>
        <v>0</v>
      </c>
      <c r="I47" s="690">
        <f t="shared" si="7"/>
        <v>9.9000000000000005E-2</v>
      </c>
      <c r="J47" s="690">
        <f t="shared" si="8"/>
        <v>2.7E-2</v>
      </c>
      <c r="K47" s="690">
        <f t="shared" si="8"/>
        <v>8.9999999999999993E-3</v>
      </c>
      <c r="L47" s="690">
        <f t="shared" si="8"/>
        <v>7.1999999999999995E-2</v>
      </c>
      <c r="M47" s="690">
        <f t="shared" si="8"/>
        <v>3.3000000000000002E-2</v>
      </c>
      <c r="N47" s="690">
        <f t="shared" si="8"/>
        <v>0.04</v>
      </c>
      <c r="O47" s="690">
        <f t="shared" si="8"/>
        <v>0.156</v>
      </c>
      <c r="P47" s="697">
        <f t="shared" si="9"/>
        <v>1</v>
      </c>
      <c r="S47" s="696">
        <f t="shared" si="4"/>
        <v>2034</v>
      </c>
      <c r="T47" s="698">
        <v>0</v>
      </c>
      <c r="U47" s="698">
        <v>5</v>
      </c>
      <c r="V47" s="699">
        <f t="shared" si="5"/>
        <v>0</v>
      </c>
      <c r="W47" s="700">
        <v>1</v>
      </c>
      <c r="X47" s="701">
        <f t="shared" si="10"/>
        <v>0</v>
      </c>
    </row>
    <row r="48" spans="2:24">
      <c r="B48" s="696">
        <f t="shared" si="11"/>
        <v>2035</v>
      </c>
      <c r="C48" s="702"/>
      <c r="D48" s="689">
        <v>1</v>
      </c>
      <c r="E48" s="690">
        <f t="shared" si="8"/>
        <v>0.435</v>
      </c>
      <c r="F48" s="690">
        <f t="shared" si="8"/>
        <v>0.129</v>
      </c>
      <c r="G48" s="690">
        <f t="shared" si="7"/>
        <v>0</v>
      </c>
      <c r="H48" s="690">
        <f t="shared" si="8"/>
        <v>0</v>
      </c>
      <c r="I48" s="690">
        <f t="shared" si="7"/>
        <v>9.9000000000000005E-2</v>
      </c>
      <c r="J48" s="690">
        <f t="shared" si="8"/>
        <v>2.7E-2</v>
      </c>
      <c r="K48" s="690">
        <f t="shared" si="8"/>
        <v>8.9999999999999993E-3</v>
      </c>
      <c r="L48" s="690">
        <f t="shared" si="8"/>
        <v>7.1999999999999995E-2</v>
      </c>
      <c r="M48" s="690">
        <f t="shared" si="8"/>
        <v>3.3000000000000002E-2</v>
      </c>
      <c r="N48" s="690">
        <f t="shared" si="8"/>
        <v>0.04</v>
      </c>
      <c r="O48" s="690">
        <f t="shared" si="8"/>
        <v>0.156</v>
      </c>
      <c r="P48" s="697">
        <f t="shared" si="9"/>
        <v>1</v>
      </c>
      <c r="S48" s="696">
        <f t="shared" si="4"/>
        <v>2035</v>
      </c>
      <c r="T48" s="698">
        <v>0</v>
      </c>
      <c r="U48" s="698">
        <v>5</v>
      </c>
      <c r="V48" s="699">
        <f t="shared" si="5"/>
        <v>0</v>
      </c>
      <c r="W48" s="700">
        <v>1</v>
      </c>
      <c r="X48" s="701">
        <f t="shared" si="10"/>
        <v>0</v>
      </c>
    </row>
    <row r="49" spans="2:24">
      <c r="B49" s="696">
        <f t="shared" si="11"/>
        <v>2036</v>
      </c>
      <c r="C49" s="702"/>
      <c r="D49" s="689">
        <v>1</v>
      </c>
      <c r="E49" s="690">
        <f t="shared" si="8"/>
        <v>0.435</v>
      </c>
      <c r="F49" s="690">
        <f t="shared" si="8"/>
        <v>0.129</v>
      </c>
      <c r="G49" s="690">
        <f t="shared" si="8"/>
        <v>0</v>
      </c>
      <c r="H49" s="690">
        <f t="shared" si="8"/>
        <v>0</v>
      </c>
      <c r="I49" s="690">
        <f t="shared" si="8"/>
        <v>9.9000000000000005E-2</v>
      </c>
      <c r="J49" s="690">
        <f t="shared" si="8"/>
        <v>2.7E-2</v>
      </c>
      <c r="K49" s="690">
        <f t="shared" si="8"/>
        <v>8.9999999999999993E-3</v>
      </c>
      <c r="L49" s="690">
        <f t="shared" si="8"/>
        <v>7.1999999999999995E-2</v>
      </c>
      <c r="M49" s="690">
        <f t="shared" si="8"/>
        <v>3.3000000000000002E-2</v>
      </c>
      <c r="N49" s="690">
        <f t="shared" si="8"/>
        <v>0.04</v>
      </c>
      <c r="O49" s="690">
        <f t="shared" si="8"/>
        <v>0.156</v>
      </c>
      <c r="P49" s="697">
        <f t="shared" si="9"/>
        <v>1</v>
      </c>
      <c r="S49" s="696">
        <f t="shared" si="4"/>
        <v>2036</v>
      </c>
      <c r="T49" s="698">
        <v>0</v>
      </c>
      <c r="U49" s="698">
        <v>5</v>
      </c>
      <c r="V49" s="699">
        <f t="shared" si="5"/>
        <v>0</v>
      </c>
      <c r="W49" s="700">
        <v>1</v>
      </c>
      <c r="X49" s="701">
        <f t="shared" si="10"/>
        <v>0</v>
      </c>
    </row>
    <row r="50" spans="2:24">
      <c r="B50" s="696">
        <f t="shared" si="11"/>
        <v>2037</v>
      </c>
      <c r="C50" s="702"/>
      <c r="D50" s="689">
        <v>1</v>
      </c>
      <c r="E50" s="690">
        <f t="shared" si="8"/>
        <v>0.435</v>
      </c>
      <c r="F50" s="690">
        <f t="shared" si="8"/>
        <v>0.129</v>
      </c>
      <c r="G50" s="690">
        <f t="shared" si="8"/>
        <v>0</v>
      </c>
      <c r="H50" s="690">
        <f t="shared" si="8"/>
        <v>0</v>
      </c>
      <c r="I50" s="690">
        <f t="shared" si="8"/>
        <v>9.9000000000000005E-2</v>
      </c>
      <c r="J50" s="690">
        <f t="shared" si="8"/>
        <v>2.7E-2</v>
      </c>
      <c r="K50" s="690">
        <f t="shared" si="8"/>
        <v>8.9999999999999993E-3</v>
      </c>
      <c r="L50" s="690">
        <f t="shared" si="8"/>
        <v>7.1999999999999995E-2</v>
      </c>
      <c r="M50" s="690">
        <f t="shared" si="8"/>
        <v>3.3000000000000002E-2</v>
      </c>
      <c r="N50" s="690">
        <f t="shared" si="8"/>
        <v>0.04</v>
      </c>
      <c r="O50" s="690">
        <f t="shared" si="8"/>
        <v>0.156</v>
      </c>
      <c r="P50" s="697">
        <f t="shared" si="9"/>
        <v>1</v>
      </c>
      <c r="S50" s="696">
        <f t="shared" si="4"/>
        <v>2037</v>
      </c>
      <c r="T50" s="698">
        <v>0</v>
      </c>
      <c r="U50" s="698">
        <v>5</v>
      </c>
      <c r="V50" s="699">
        <f t="shared" si="5"/>
        <v>0</v>
      </c>
      <c r="W50" s="700">
        <v>1</v>
      </c>
      <c r="X50" s="701">
        <f t="shared" si="10"/>
        <v>0</v>
      </c>
    </row>
    <row r="51" spans="2:24">
      <c r="B51" s="696">
        <f t="shared" si="11"/>
        <v>2038</v>
      </c>
      <c r="C51" s="702"/>
      <c r="D51" s="689">
        <v>1</v>
      </c>
      <c r="E51" s="690">
        <f t="shared" si="8"/>
        <v>0.435</v>
      </c>
      <c r="F51" s="690">
        <f t="shared" si="8"/>
        <v>0.129</v>
      </c>
      <c r="G51" s="690">
        <f t="shared" si="8"/>
        <v>0</v>
      </c>
      <c r="H51" s="690">
        <f t="shared" si="8"/>
        <v>0</v>
      </c>
      <c r="I51" s="690">
        <f t="shared" si="8"/>
        <v>9.9000000000000005E-2</v>
      </c>
      <c r="J51" s="690">
        <f t="shared" si="8"/>
        <v>2.7E-2</v>
      </c>
      <c r="K51" s="690">
        <f t="shared" si="8"/>
        <v>8.9999999999999993E-3</v>
      </c>
      <c r="L51" s="690">
        <f t="shared" si="8"/>
        <v>7.1999999999999995E-2</v>
      </c>
      <c r="M51" s="690">
        <f t="shared" si="8"/>
        <v>3.3000000000000002E-2</v>
      </c>
      <c r="N51" s="690">
        <f t="shared" si="8"/>
        <v>0.04</v>
      </c>
      <c r="O51" s="690">
        <f t="shared" si="8"/>
        <v>0.156</v>
      </c>
      <c r="P51" s="697">
        <f t="shared" si="9"/>
        <v>1</v>
      </c>
      <c r="S51" s="696">
        <f t="shared" si="4"/>
        <v>2038</v>
      </c>
      <c r="T51" s="698">
        <v>0</v>
      </c>
      <c r="U51" s="698">
        <v>5</v>
      </c>
      <c r="V51" s="699">
        <f t="shared" si="5"/>
        <v>0</v>
      </c>
      <c r="W51" s="700">
        <v>1</v>
      </c>
      <c r="X51" s="701">
        <f t="shared" si="10"/>
        <v>0</v>
      </c>
    </row>
    <row r="52" spans="2:24">
      <c r="B52" s="696">
        <f t="shared" si="11"/>
        <v>2039</v>
      </c>
      <c r="C52" s="702"/>
      <c r="D52" s="689">
        <v>1</v>
      </c>
      <c r="E52" s="690">
        <f t="shared" si="8"/>
        <v>0.435</v>
      </c>
      <c r="F52" s="690">
        <f t="shared" si="8"/>
        <v>0.129</v>
      </c>
      <c r="G52" s="690">
        <f t="shared" si="8"/>
        <v>0</v>
      </c>
      <c r="H52" s="690">
        <f t="shared" si="8"/>
        <v>0</v>
      </c>
      <c r="I52" s="690">
        <f t="shared" si="8"/>
        <v>9.9000000000000005E-2</v>
      </c>
      <c r="J52" s="690">
        <f t="shared" si="8"/>
        <v>2.7E-2</v>
      </c>
      <c r="K52" s="690">
        <f t="shared" si="8"/>
        <v>8.9999999999999993E-3</v>
      </c>
      <c r="L52" s="690">
        <f t="shared" si="8"/>
        <v>7.1999999999999995E-2</v>
      </c>
      <c r="M52" s="690">
        <f t="shared" si="8"/>
        <v>3.3000000000000002E-2</v>
      </c>
      <c r="N52" s="690">
        <f t="shared" si="8"/>
        <v>0.04</v>
      </c>
      <c r="O52" s="690">
        <f t="shared" si="8"/>
        <v>0.156</v>
      </c>
      <c r="P52" s="697">
        <f t="shared" si="9"/>
        <v>1</v>
      </c>
      <c r="S52" s="696">
        <f t="shared" si="4"/>
        <v>2039</v>
      </c>
      <c r="T52" s="698">
        <v>0</v>
      </c>
      <c r="U52" s="698">
        <v>5</v>
      </c>
      <c r="V52" s="699">
        <f t="shared" si="5"/>
        <v>0</v>
      </c>
      <c r="W52" s="700">
        <v>1</v>
      </c>
      <c r="X52" s="701">
        <f t="shared" si="10"/>
        <v>0</v>
      </c>
    </row>
    <row r="53" spans="2:24">
      <c r="B53" s="696">
        <f t="shared" si="11"/>
        <v>2040</v>
      </c>
      <c r="C53" s="702"/>
      <c r="D53" s="689">
        <v>1</v>
      </c>
      <c r="E53" s="690">
        <f t="shared" ref="E53:O68" si="12">E$8</f>
        <v>0.435</v>
      </c>
      <c r="F53" s="690">
        <f t="shared" si="12"/>
        <v>0.129</v>
      </c>
      <c r="G53" s="690">
        <f t="shared" si="8"/>
        <v>0</v>
      </c>
      <c r="H53" s="690">
        <f t="shared" si="12"/>
        <v>0</v>
      </c>
      <c r="I53" s="690">
        <f t="shared" si="8"/>
        <v>9.9000000000000005E-2</v>
      </c>
      <c r="J53" s="690">
        <f t="shared" si="12"/>
        <v>2.7E-2</v>
      </c>
      <c r="K53" s="690">
        <f t="shared" si="12"/>
        <v>8.9999999999999993E-3</v>
      </c>
      <c r="L53" s="690">
        <f t="shared" si="12"/>
        <v>7.1999999999999995E-2</v>
      </c>
      <c r="M53" s="690">
        <f t="shared" si="12"/>
        <v>3.3000000000000002E-2</v>
      </c>
      <c r="N53" s="690">
        <f t="shared" si="12"/>
        <v>0.04</v>
      </c>
      <c r="O53" s="690">
        <f t="shared" si="12"/>
        <v>0.156</v>
      </c>
      <c r="P53" s="697">
        <f t="shared" si="9"/>
        <v>1</v>
      </c>
      <c r="S53" s="696">
        <f t="shared" si="4"/>
        <v>2040</v>
      </c>
      <c r="T53" s="698">
        <v>0</v>
      </c>
      <c r="U53" s="698">
        <v>5</v>
      </c>
      <c r="V53" s="699">
        <f t="shared" si="5"/>
        <v>0</v>
      </c>
      <c r="W53" s="700">
        <v>1</v>
      </c>
      <c r="X53" s="701">
        <f t="shared" si="10"/>
        <v>0</v>
      </c>
    </row>
    <row r="54" spans="2:24">
      <c r="B54" s="696">
        <f t="shared" si="11"/>
        <v>2041</v>
      </c>
      <c r="C54" s="702"/>
      <c r="D54" s="689">
        <v>1</v>
      </c>
      <c r="E54" s="690">
        <f t="shared" si="12"/>
        <v>0.435</v>
      </c>
      <c r="F54" s="690">
        <f t="shared" si="12"/>
        <v>0.129</v>
      </c>
      <c r="G54" s="690">
        <f t="shared" si="8"/>
        <v>0</v>
      </c>
      <c r="H54" s="690">
        <f t="shared" si="12"/>
        <v>0</v>
      </c>
      <c r="I54" s="690">
        <f t="shared" si="8"/>
        <v>9.9000000000000005E-2</v>
      </c>
      <c r="J54" s="690">
        <f t="shared" si="12"/>
        <v>2.7E-2</v>
      </c>
      <c r="K54" s="690">
        <f t="shared" si="12"/>
        <v>8.9999999999999993E-3</v>
      </c>
      <c r="L54" s="690">
        <f t="shared" si="12"/>
        <v>7.1999999999999995E-2</v>
      </c>
      <c r="M54" s="690">
        <f t="shared" si="12"/>
        <v>3.3000000000000002E-2</v>
      </c>
      <c r="N54" s="690">
        <f t="shared" si="12"/>
        <v>0.04</v>
      </c>
      <c r="O54" s="690">
        <f t="shared" si="12"/>
        <v>0.156</v>
      </c>
      <c r="P54" s="697">
        <f t="shared" si="9"/>
        <v>1</v>
      </c>
      <c r="S54" s="696">
        <f t="shared" si="4"/>
        <v>2041</v>
      </c>
      <c r="T54" s="698">
        <v>0</v>
      </c>
      <c r="U54" s="698">
        <v>5</v>
      </c>
      <c r="V54" s="699">
        <f t="shared" si="5"/>
        <v>0</v>
      </c>
      <c r="W54" s="700">
        <v>1</v>
      </c>
      <c r="X54" s="701">
        <f t="shared" si="10"/>
        <v>0</v>
      </c>
    </row>
    <row r="55" spans="2:24">
      <c r="B55" s="696">
        <f t="shared" si="11"/>
        <v>2042</v>
      </c>
      <c r="C55" s="702"/>
      <c r="D55" s="689">
        <v>1</v>
      </c>
      <c r="E55" s="690">
        <f t="shared" si="12"/>
        <v>0.435</v>
      </c>
      <c r="F55" s="690">
        <f t="shared" si="12"/>
        <v>0.129</v>
      </c>
      <c r="G55" s="690">
        <f t="shared" si="8"/>
        <v>0</v>
      </c>
      <c r="H55" s="690">
        <f t="shared" si="12"/>
        <v>0</v>
      </c>
      <c r="I55" s="690">
        <f t="shared" si="8"/>
        <v>9.9000000000000005E-2</v>
      </c>
      <c r="J55" s="690">
        <f t="shared" si="12"/>
        <v>2.7E-2</v>
      </c>
      <c r="K55" s="690">
        <f t="shared" si="12"/>
        <v>8.9999999999999993E-3</v>
      </c>
      <c r="L55" s="690">
        <f t="shared" si="12"/>
        <v>7.1999999999999995E-2</v>
      </c>
      <c r="M55" s="690">
        <f t="shared" si="12"/>
        <v>3.3000000000000002E-2</v>
      </c>
      <c r="N55" s="690">
        <f t="shared" si="12"/>
        <v>0.04</v>
      </c>
      <c r="O55" s="690">
        <f t="shared" si="12"/>
        <v>0.156</v>
      </c>
      <c r="P55" s="697">
        <f t="shared" si="9"/>
        <v>1</v>
      </c>
      <c r="S55" s="696">
        <f t="shared" si="4"/>
        <v>2042</v>
      </c>
      <c r="T55" s="698">
        <v>0</v>
      </c>
      <c r="U55" s="698">
        <v>5</v>
      </c>
      <c r="V55" s="699">
        <f t="shared" si="5"/>
        <v>0</v>
      </c>
      <c r="W55" s="700">
        <v>1</v>
      </c>
      <c r="X55" s="701">
        <f t="shared" si="10"/>
        <v>0</v>
      </c>
    </row>
    <row r="56" spans="2:24">
      <c r="B56" s="696">
        <f t="shared" si="11"/>
        <v>2043</v>
      </c>
      <c r="C56" s="702"/>
      <c r="D56" s="689">
        <v>1</v>
      </c>
      <c r="E56" s="690">
        <f t="shared" si="12"/>
        <v>0.435</v>
      </c>
      <c r="F56" s="690">
        <f t="shared" si="12"/>
        <v>0.129</v>
      </c>
      <c r="G56" s="690">
        <f t="shared" si="8"/>
        <v>0</v>
      </c>
      <c r="H56" s="690">
        <f t="shared" si="12"/>
        <v>0</v>
      </c>
      <c r="I56" s="690">
        <f t="shared" si="8"/>
        <v>9.9000000000000005E-2</v>
      </c>
      <c r="J56" s="690">
        <f t="shared" si="12"/>
        <v>2.7E-2</v>
      </c>
      <c r="K56" s="690">
        <f t="shared" si="12"/>
        <v>8.9999999999999993E-3</v>
      </c>
      <c r="L56" s="690">
        <f t="shared" si="12"/>
        <v>7.1999999999999995E-2</v>
      </c>
      <c r="M56" s="690">
        <f t="shared" si="12"/>
        <v>3.3000000000000002E-2</v>
      </c>
      <c r="N56" s="690">
        <f t="shared" si="12"/>
        <v>0.04</v>
      </c>
      <c r="O56" s="690">
        <f t="shared" si="12"/>
        <v>0.156</v>
      </c>
      <c r="P56" s="697">
        <f t="shared" si="9"/>
        <v>1</v>
      </c>
      <c r="S56" s="696">
        <f t="shared" si="4"/>
        <v>2043</v>
      </c>
      <c r="T56" s="698">
        <v>0</v>
      </c>
      <c r="U56" s="698">
        <v>5</v>
      </c>
      <c r="V56" s="699">
        <f t="shared" si="5"/>
        <v>0</v>
      </c>
      <c r="W56" s="700">
        <v>1</v>
      </c>
      <c r="X56" s="701">
        <f t="shared" si="10"/>
        <v>0</v>
      </c>
    </row>
    <row r="57" spans="2:24">
      <c r="B57" s="696">
        <f t="shared" si="11"/>
        <v>2044</v>
      </c>
      <c r="C57" s="702"/>
      <c r="D57" s="689">
        <v>1</v>
      </c>
      <c r="E57" s="690">
        <f t="shared" si="12"/>
        <v>0.435</v>
      </c>
      <c r="F57" s="690">
        <f t="shared" si="12"/>
        <v>0.129</v>
      </c>
      <c r="G57" s="690">
        <f t="shared" si="8"/>
        <v>0</v>
      </c>
      <c r="H57" s="690">
        <f t="shared" si="12"/>
        <v>0</v>
      </c>
      <c r="I57" s="690">
        <f t="shared" si="8"/>
        <v>9.9000000000000005E-2</v>
      </c>
      <c r="J57" s="690">
        <f t="shared" si="12"/>
        <v>2.7E-2</v>
      </c>
      <c r="K57" s="690">
        <f t="shared" si="12"/>
        <v>8.9999999999999993E-3</v>
      </c>
      <c r="L57" s="690">
        <f t="shared" si="12"/>
        <v>7.1999999999999995E-2</v>
      </c>
      <c r="M57" s="690">
        <f t="shared" si="12"/>
        <v>3.3000000000000002E-2</v>
      </c>
      <c r="N57" s="690">
        <f t="shared" si="12"/>
        <v>0.04</v>
      </c>
      <c r="O57" s="690">
        <f t="shared" si="12"/>
        <v>0.156</v>
      </c>
      <c r="P57" s="697">
        <f t="shared" si="9"/>
        <v>1</v>
      </c>
      <c r="S57" s="696">
        <f t="shared" si="4"/>
        <v>2044</v>
      </c>
      <c r="T57" s="698">
        <v>0</v>
      </c>
      <c r="U57" s="698">
        <v>5</v>
      </c>
      <c r="V57" s="699">
        <f t="shared" si="5"/>
        <v>0</v>
      </c>
      <c r="W57" s="700">
        <v>1</v>
      </c>
      <c r="X57" s="701">
        <f t="shared" si="10"/>
        <v>0</v>
      </c>
    </row>
    <row r="58" spans="2:24">
      <c r="B58" s="696">
        <f t="shared" si="11"/>
        <v>2045</v>
      </c>
      <c r="C58" s="702"/>
      <c r="D58" s="689">
        <v>1</v>
      </c>
      <c r="E58" s="690">
        <f t="shared" si="12"/>
        <v>0.435</v>
      </c>
      <c r="F58" s="690">
        <f t="shared" si="12"/>
        <v>0.129</v>
      </c>
      <c r="G58" s="690">
        <f t="shared" si="8"/>
        <v>0</v>
      </c>
      <c r="H58" s="690">
        <f t="shared" si="12"/>
        <v>0</v>
      </c>
      <c r="I58" s="690">
        <f t="shared" si="8"/>
        <v>9.9000000000000005E-2</v>
      </c>
      <c r="J58" s="690">
        <f t="shared" si="12"/>
        <v>2.7E-2</v>
      </c>
      <c r="K58" s="690">
        <f t="shared" si="12"/>
        <v>8.9999999999999993E-3</v>
      </c>
      <c r="L58" s="690">
        <f t="shared" si="12"/>
        <v>7.1999999999999995E-2</v>
      </c>
      <c r="M58" s="690">
        <f t="shared" si="12"/>
        <v>3.3000000000000002E-2</v>
      </c>
      <c r="N58" s="690">
        <f t="shared" si="12"/>
        <v>0.04</v>
      </c>
      <c r="O58" s="690">
        <f t="shared" si="12"/>
        <v>0.156</v>
      </c>
      <c r="P58" s="697">
        <f t="shared" si="9"/>
        <v>1</v>
      </c>
      <c r="S58" s="696">
        <f t="shared" si="4"/>
        <v>2045</v>
      </c>
      <c r="T58" s="698">
        <v>0</v>
      </c>
      <c r="U58" s="698">
        <v>5</v>
      </c>
      <c r="V58" s="699">
        <f t="shared" si="5"/>
        <v>0</v>
      </c>
      <c r="W58" s="700">
        <v>1</v>
      </c>
      <c r="X58" s="701">
        <f t="shared" si="10"/>
        <v>0</v>
      </c>
    </row>
    <row r="59" spans="2:24">
      <c r="B59" s="696">
        <f t="shared" si="11"/>
        <v>2046</v>
      </c>
      <c r="C59" s="702"/>
      <c r="D59" s="689">
        <v>1</v>
      </c>
      <c r="E59" s="690">
        <f t="shared" si="12"/>
        <v>0.435</v>
      </c>
      <c r="F59" s="690">
        <f t="shared" si="12"/>
        <v>0.129</v>
      </c>
      <c r="G59" s="690">
        <f t="shared" si="12"/>
        <v>0</v>
      </c>
      <c r="H59" s="690">
        <f t="shared" si="12"/>
        <v>0</v>
      </c>
      <c r="I59" s="690">
        <f t="shared" si="12"/>
        <v>9.9000000000000005E-2</v>
      </c>
      <c r="J59" s="690">
        <f t="shared" si="12"/>
        <v>2.7E-2</v>
      </c>
      <c r="K59" s="690">
        <f t="shared" si="12"/>
        <v>8.9999999999999993E-3</v>
      </c>
      <c r="L59" s="690">
        <f t="shared" si="12"/>
        <v>7.1999999999999995E-2</v>
      </c>
      <c r="M59" s="690">
        <f t="shared" si="12"/>
        <v>3.3000000000000002E-2</v>
      </c>
      <c r="N59" s="690">
        <f t="shared" si="12"/>
        <v>0.04</v>
      </c>
      <c r="O59" s="690">
        <f t="shared" si="12"/>
        <v>0.156</v>
      </c>
      <c r="P59" s="697">
        <f t="shared" si="9"/>
        <v>1</v>
      </c>
      <c r="S59" s="696">
        <f t="shared" si="4"/>
        <v>2046</v>
      </c>
      <c r="T59" s="698">
        <v>0</v>
      </c>
      <c r="U59" s="698">
        <v>5</v>
      </c>
      <c r="V59" s="699">
        <f t="shared" si="5"/>
        <v>0</v>
      </c>
      <c r="W59" s="700">
        <v>1</v>
      </c>
      <c r="X59" s="701">
        <f t="shared" si="10"/>
        <v>0</v>
      </c>
    </row>
    <row r="60" spans="2:24">
      <c r="B60" s="696">
        <f t="shared" si="11"/>
        <v>2047</v>
      </c>
      <c r="C60" s="702"/>
      <c r="D60" s="689">
        <v>1</v>
      </c>
      <c r="E60" s="690">
        <f t="shared" si="12"/>
        <v>0.435</v>
      </c>
      <c r="F60" s="690">
        <f t="shared" si="12"/>
        <v>0.129</v>
      </c>
      <c r="G60" s="690">
        <f t="shared" si="12"/>
        <v>0</v>
      </c>
      <c r="H60" s="690">
        <f t="shared" si="12"/>
        <v>0</v>
      </c>
      <c r="I60" s="690">
        <f t="shared" si="12"/>
        <v>9.9000000000000005E-2</v>
      </c>
      <c r="J60" s="690">
        <f t="shared" si="12"/>
        <v>2.7E-2</v>
      </c>
      <c r="K60" s="690">
        <f t="shared" si="12"/>
        <v>8.9999999999999993E-3</v>
      </c>
      <c r="L60" s="690">
        <f t="shared" si="12"/>
        <v>7.1999999999999995E-2</v>
      </c>
      <c r="M60" s="690">
        <f t="shared" si="12"/>
        <v>3.3000000000000002E-2</v>
      </c>
      <c r="N60" s="690">
        <f t="shared" si="12"/>
        <v>0.04</v>
      </c>
      <c r="O60" s="690">
        <f t="shared" si="12"/>
        <v>0.156</v>
      </c>
      <c r="P60" s="697">
        <f t="shared" si="9"/>
        <v>1</v>
      </c>
      <c r="S60" s="696">
        <f t="shared" si="4"/>
        <v>2047</v>
      </c>
      <c r="T60" s="698">
        <v>0</v>
      </c>
      <c r="U60" s="698">
        <v>5</v>
      </c>
      <c r="V60" s="699">
        <f t="shared" si="5"/>
        <v>0</v>
      </c>
      <c r="W60" s="700">
        <v>1</v>
      </c>
      <c r="X60" s="701">
        <f t="shared" si="10"/>
        <v>0</v>
      </c>
    </row>
    <row r="61" spans="2:24">
      <c r="B61" s="696">
        <f t="shared" si="11"/>
        <v>2048</v>
      </c>
      <c r="C61" s="702"/>
      <c r="D61" s="689">
        <v>1</v>
      </c>
      <c r="E61" s="690">
        <f t="shared" si="12"/>
        <v>0.435</v>
      </c>
      <c r="F61" s="690">
        <f t="shared" si="12"/>
        <v>0.129</v>
      </c>
      <c r="G61" s="690">
        <f t="shared" si="12"/>
        <v>0</v>
      </c>
      <c r="H61" s="690">
        <f t="shared" si="12"/>
        <v>0</v>
      </c>
      <c r="I61" s="690">
        <f t="shared" si="12"/>
        <v>9.9000000000000005E-2</v>
      </c>
      <c r="J61" s="690">
        <f t="shared" si="12"/>
        <v>2.7E-2</v>
      </c>
      <c r="K61" s="690">
        <f t="shared" si="12"/>
        <v>8.9999999999999993E-3</v>
      </c>
      <c r="L61" s="690">
        <f t="shared" si="12"/>
        <v>7.1999999999999995E-2</v>
      </c>
      <c r="M61" s="690">
        <f t="shared" si="12"/>
        <v>3.3000000000000002E-2</v>
      </c>
      <c r="N61" s="690">
        <f t="shared" si="12"/>
        <v>0.04</v>
      </c>
      <c r="O61" s="690">
        <f t="shared" si="12"/>
        <v>0.156</v>
      </c>
      <c r="P61" s="697">
        <f t="shared" si="9"/>
        <v>1</v>
      </c>
      <c r="S61" s="696">
        <f t="shared" si="4"/>
        <v>2048</v>
      </c>
      <c r="T61" s="698">
        <v>0</v>
      </c>
      <c r="U61" s="698">
        <v>5</v>
      </c>
      <c r="V61" s="699">
        <f t="shared" si="5"/>
        <v>0</v>
      </c>
      <c r="W61" s="700">
        <v>1</v>
      </c>
      <c r="X61" s="701">
        <f t="shared" si="10"/>
        <v>0</v>
      </c>
    </row>
    <row r="62" spans="2:24">
      <c r="B62" s="696">
        <f t="shared" si="11"/>
        <v>2049</v>
      </c>
      <c r="C62" s="702"/>
      <c r="D62" s="689">
        <v>1</v>
      </c>
      <c r="E62" s="690">
        <f t="shared" si="12"/>
        <v>0.435</v>
      </c>
      <c r="F62" s="690">
        <f t="shared" si="12"/>
        <v>0.129</v>
      </c>
      <c r="G62" s="690">
        <f t="shared" si="12"/>
        <v>0</v>
      </c>
      <c r="H62" s="690">
        <f t="shared" si="12"/>
        <v>0</v>
      </c>
      <c r="I62" s="690">
        <f t="shared" si="12"/>
        <v>9.9000000000000005E-2</v>
      </c>
      <c r="J62" s="690">
        <f t="shared" si="12"/>
        <v>2.7E-2</v>
      </c>
      <c r="K62" s="690">
        <f t="shared" si="12"/>
        <v>8.9999999999999993E-3</v>
      </c>
      <c r="L62" s="690">
        <f t="shared" si="12"/>
        <v>7.1999999999999995E-2</v>
      </c>
      <c r="M62" s="690">
        <f t="shared" si="12"/>
        <v>3.3000000000000002E-2</v>
      </c>
      <c r="N62" s="690">
        <f t="shared" si="12"/>
        <v>0.04</v>
      </c>
      <c r="O62" s="690">
        <f t="shared" si="12"/>
        <v>0.156</v>
      </c>
      <c r="P62" s="697">
        <f t="shared" si="9"/>
        <v>1</v>
      </c>
      <c r="S62" s="696">
        <f t="shared" si="4"/>
        <v>2049</v>
      </c>
      <c r="T62" s="698">
        <v>0</v>
      </c>
      <c r="U62" s="698">
        <v>5</v>
      </c>
      <c r="V62" s="699">
        <f t="shared" si="5"/>
        <v>0</v>
      </c>
      <c r="W62" s="700">
        <v>1</v>
      </c>
      <c r="X62" s="701">
        <f t="shared" si="10"/>
        <v>0</v>
      </c>
    </row>
    <row r="63" spans="2:24">
      <c r="B63" s="696">
        <f t="shared" si="11"/>
        <v>2050</v>
      </c>
      <c r="C63" s="702"/>
      <c r="D63" s="689">
        <v>1</v>
      </c>
      <c r="E63" s="690">
        <f t="shared" ref="E63:O78" si="13">E$8</f>
        <v>0.435</v>
      </c>
      <c r="F63" s="690">
        <f t="shared" si="13"/>
        <v>0.129</v>
      </c>
      <c r="G63" s="690">
        <f t="shared" si="12"/>
        <v>0</v>
      </c>
      <c r="H63" s="690">
        <f t="shared" si="13"/>
        <v>0</v>
      </c>
      <c r="I63" s="690">
        <f t="shared" si="12"/>
        <v>9.9000000000000005E-2</v>
      </c>
      <c r="J63" s="690">
        <f t="shared" si="13"/>
        <v>2.7E-2</v>
      </c>
      <c r="K63" s="690">
        <f t="shared" si="13"/>
        <v>8.9999999999999993E-3</v>
      </c>
      <c r="L63" s="690">
        <f t="shared" si="13"/>
        <v>7.1999999999999995E-2</v>
      </c>
      <c r="M63" s="690">
        <f t="shared" si="13"/>
        <v>3.3000000000000002E-2</v>
      </c>
      <c r="N63" s="690">
        <f t="shared" si="13"/>
        <v>0.04</v>
      </c>
      <c r="O63" s="690">
        <f t="shared" si="13"/>
        <v>0.156</v>
      </c>
      <c r="P63" s="697">
        <f t="shared" si="9"/>
        <v>1</v>
      </c>
      <c r="S63" s="696">
        <f t="shared" si="4"/>
        <v>2050</v>
      </c>
      <c r="T63" s="698">
        <v>0</v>
      </c>
      <c r="U63" s="698">
        <v>5</v>
      </c>
      <c r="V63" s="699">
        <f t="shared" si="5"/>
        <v>0</v>
      </c>
      <c r="W63" s="700">
        <v>1</v>
      </c>
      <c r="X63" s="701">
        <f t="shared" si="10"/>
        <v>0</v>
      </c>
    </row>
    <row r="64" spans="2:24">
      <c r="B64" s="696">
        <f t="shared" si="11"/>
        <v>2051</v>
      </c>
      <c r="C64" s="702"/>
      <c r="D64" s="689">
        <v>1</v>
      </c>
      <c r="E64" s="690">
        <f t="shared" si="13"/>
        <v>0.435</v>
      </c>
      <c r="F64" s="690">
        <f t="shared" si="13"/>
        <v>0.129</v>
      </c>
      <c r="G64" s="690">
        <f t="shared" si="12"/>
        <v>0</v>
      </c>
      <c r="H64" s="690">
        <f t="shared" si="13"/>
        <v>0</v>
      </c>
      <c r="I64" s="690">
        <f t="shared" si="12"/>
        <v>9.9000000000000005E-2</v>
      </c>
      <c r="J64" s="690">
        <f t="shared" si="13"/>
        <v>2.7E-2</v>
      </c>
      <c r="K64" s="690">
        <f t="shared" si="13"/>
        <v>8.9999999999999993E-3</v>
      </c>
      <c r="L64" s="690">
        <f t="shared" si="13"/>
        <v>7.1999999999999995E-2</v>
      </c>
      <c r="M64" s="690">
        <f t="shared" si="13"/>
        <v>3.3000000000000002E-2</v>
      </c>
      <c r="N64" s="690">
        <f t="shared" si="13"/>
        <v>0.04</v>
      </c>
      <c r="O64" s="690">
        <f t="shared" si="13"/>
        <v>0.156</v>
      </c>
      <c r="P64" s="697">
        <f t="shared" si="9"/>
        <v>1</v>
      </c>
      <c r="S64" s="696">
        <f t="shared" si="4"/>
        <v>2051</v>
      </c>
      <c r="T64" s="698">
        <v>0</v>
      </c>
      <c r="U64" s="698">
        <v>5</v>
      </c>
      <c r="V64" s="699">
        <f t="shared" si="5"/>
        <v>0</v>
      </c>
      <c r="W64" s="700">
        <v>1</v>
      </c>
      <c r="X64" s="701">
        <f t="shared" si="10"/>
        <v>0</v>
      </c>
    </row>
    <row r="65" spans="2:24">
      <c r="B65" s="696">
        <f t="shared" si="11"/>
        <v>2052</v>
      </c>
      <c r="C65" s="702"/>
      <c r="D65" s="689">
        <v>1</v>
      </c>
      <c r="E65" s="690">
        <f t="shared" si="13"/>
        <v>0.435</v>
      </c>
      <c r="F65" s="690">
        <f t="shared" si="13"/>
        <v>0.129</v>
      </c>
      <c r="G65" s="690">
        <f t="shared" si="12"/>
        <v>0</v>
      </c>
      <c r="H65" s="690">
        <f t="shared" si="13"/>
        <v>0</v>
      </c>
      <c r="I65" s="690">
        <f t="shared" si="12"/>
        <v>9.9000000000000005E-2</v>
      </c>
      <c r="J65" s="690">
        <f t="shared" si="13"/>
        <v>2.7E-2</v>
      </c>
      <c r="K65" s="690">
        <f t="shared" si="13"/>
        <v>8.9999999999999993E-3</v>
      </c>
      <c r="L65" s="690">
        <f t="shared" si="13"/>
        <v>7.1999999999999995E-2</v>
      </c>
      <c r="M65" s="690">
        <f t="shared" si="13"/>
        <v>3.3000000000000002E-2</v>
      </c>
      <c r="N65" s="690">
        <f t="shared" si="13"/>
        <v>0.04</v>
      </c>
      <c r="O65" s="690">
        <f t="shared" si="13"/>
        <v>0.156</v>
      </c>
      <c r="P65" s="697">
        <f t="shared" si="9"/>
        <v>1</v>
      </c>
      <c r="S65" s="696">
        <f t="shared" si="4"/>
        <v>2052</v>
      </c>
      <c r="T65" s="698">
        <v>0</v>
      </c>
      <c r="U65" s="698">
        <v>5</v>
      </c>
      <c r="V65" s="699">
        <f t="shared" si="5"/>
        <v>0</v>
      </c>
      <c r="W65" s="700">
        <v>1</v>
      </c>
      <c r="X65" s="701">
        <f t="shared" si="10"/>
        <v>0</v>
      </c>
    </row>
    <row r="66" spans="2:24">
      <c r="B66" s="696">
        <f t="shared" si="11"/>
        <v>2053</v>
      </c>
      <c r="C66" s="702"/>
      <c r="D66" s="689">
        <v>1</v>
      </c>
      <c r="E66" s="690">
        <f t="shared" si="13"/>
        <v>0.435</v>
      </c>
      <c r="F66" s="690">
        <f t="shared" si="13"/>
        <v>0.129</v>
      </c>
      <c r="G66" s="690">
        <f t="shared" si="12"/>
        <v>0</v>
      </c>
      <c r="H66" s="690">
        <f t="shared" si="13"/>
        <v>0</v>
      </c>
      <c r="I66" s="690">
        <f t="shared" si="12"/>
        <v>9.9000000000000005E-2</v>
      </c>
      <c r="J66" s="690">
        <f t="shared" si="13"/>
        <v>2.7E-2</v>
      </c>
      <c r="K66" s="690">
        <f t="shared" si="13"/>
        <v>8.9999999999999993E-3</v>
      </c>
      <c r="L66" s="690">
        <f t="shared" si="13"/>
        <v>7.1999999999999995E-2</v>
      </c>
      <c r="M66" s="690">
        <f t="shared" si="13"/>
        <v>3.3000000000000002E-2</v>
      </c>
      <c r="N66" s="690">
        <f t="shared" si="13"/>
        <v>0.04</v>
      </c>
      <c r="O66" s="690">
        <f t="shared" si="13"/>
        <v>0.156</v>
      </c>
      <c r="P66" s="697">
        <f t="shared" si="9"/>
        <v>1</v>
      </c>
      <c r="S66" s="696">
        <f t="shared" si="4"/>
        <v>2053</v>
      </c>
      <c r="T66" s="698">
        <v>0</v>
      </c>
      <c r="U66" s="698">
        <v>5</v>
      </c>
      <c r="V66" s="699">
        <f t="shared" si="5"/>
        <v>0</v>
      </c>
      <c r="W66" s="700">
        <v>1</v>
      </c>
      <c r="X66" s="701">
        <f t="shared" si="10"/>
        <v>0</v>
      </c>
    </row>
    <row r="67" spans="2:24">
      <c r="B67" s="696">
        <f t="shared" si="11"/>
        <v>2054</v>
      </c>
      <c r="C67" s="702"/>
      <c r="D67" s="689">
        <v>1</v>
      </c>
      <c r="E67" s="690">
        <f t="shared" si="13"/>
        <v>0.435</v>
      </c>
      <c r="F67" s="690">
        <f t="shared" si="13"/>
        <v>0.129</v>
      </c>
      <c r="G67" s="690">
        <f t="shared" si="12"/>
        <v>0</v>
      </c>
      <c r="H67" s="690">
        <f t="shared" si="13"/>
        <v>0</v>
      </c>
      <c r="I67" s="690">
        <f t="shared" si="12"/>
        <v>9.9000000000000005E-2</v>
      </c>
      <c r="J67" s="690">
        <f t="shared" si="13"/>
        <v>2.7E-2</v>
      </c>
      <c r="K67" s="690">
        <f t="shared" si="13"/>
        <v>8.9999999999999993E-3</v>
      </c>
      <c r="L67" s="690">
        <f t="shared" si="13"/>
        <v>7.1999999999999995E-2</v>
      </c>
      <c r="M67" s="690">
        <f t="shared" si="13"/>
        <v>3.3000000000000002E-2</v>
      </c>
      <c r="N67" s="690">
        <f t="shared" si="13"/>
        <v>0.04</v>
      </c>
      <c r="O67" s="690">
        <f t="shared" si="13"/>
        <v>0.156</v>
      </c>
      <c r="P67" s="697">
        <f t="shared" si="9"/>
        <v>1</v>
      </c>
      <c r="S67" s="696">
        <f t="shared" si="4"/>
        <v>2054</v>
      </c>
      <c r="T67" s="698">
        <v>0</v>
      </c>
      <c r="U67" s="698">
        <v>5</v>
      </c>
      <c r="V67" s="699">
        <f t="shared" si="5"/>
        <v>0</v>
      </c>
      <c r="W67" s="700">
        <v>1</v>
      </c>
      <c r="X67" s="701">
        <f t="shared" si="10"/>
        <v>0</v>
      </c>
    </row>
    <row r="68" spans="2:24">
      <c r="B68" s="696">
        <f t="shared" si="11"/>
        <v>2055</v>
      </c>
      <c r="C68" s="702"/>
      <c r="D68" s="689">
        <v>1</v>
      </c>
      <c r="E68" s="690">
        <f t="shared" si="13"/>
        <v>0.435</v>
      </c>
      <c r="F68" s="690">
        <f t="shared" si="13"/>
        <v>0.129</v>
      </c>
      <c r="G68" s="690">
        <f t="shared" si="12"/>
        <v>0</v>
      </c>
      <c r="H68" s="690">
        <f t="shared" si="13"/>
        <v>0</v>
      </c>
      <c r="I68" s="690">
        <f t="shared" si="12"/>
        <v>9.9000000000000005E-2</v>
      </c>
      <c r="J68" s="690">
        <f t="shared" si="13"/>
        <v>2.7E-2</v>
      </c>
      <c r="K68" s="690">
        <f t="shared" si="13"/>
        <v>8.9999999999999993E-3</v>
      </c>
      <c r="L68" s="690">
        <f t="shared" si="13"/>
        <v>7.1999999999999995E-2</v>
      </c>
      <c r="M68" s="690">
        <f t="shared" si="13"/>
        <v>3.3000000000000002E-2</v>
      </c>
      <c r="N68" s="690">
        <f t="shared" si="13"/>
        <v>0.04</v>
      </c>
      <c r="O68" s="690">
        <f t="shared" si="13"/>
        <v>0.156</v>
      </c>
      <c r="P68" s="697">
        <f t="shared" si="9"/>
        <v>1</v>
      </c>
      <c r="S68" s="696">
        <f t="shared" si="4"/>
        <v>2055</v>
      </c>
      <c r="T68" s="698">
        <v>0</v>
      </c>
      <c r="U68" s="698">
        <v>5</v>
      </c>
      <c r="V68" s="699">
        <f t="shared" si="5"/>
        <v>0</v>
      </c>
      <c r="W68" s="700">
        <v>1</v>
      </c>
      <c r="X68" s="701">
        <f t="shared" si="10"/>
        <v>0</v>
      </c>
    </row>
    <row r="69" spans="2:24">
      <c r="B69" s="696">
        <f t="shared" si="11"/>
        <v>2056</v>
      </c>
      <c r="C69" s="702"/>
      <c r="D69" s="689">
        <v>1</v>
      </c>
      <c r="E69" s="690">
        <f t="shared" si="13"/>
        <v>0.435</v>
      </c>
      <c r="F69" s="690">
        <f t="shared" si="13"/>
        <v>0.129</v>
      </c>
      <c r="G69" s="690">
        <f t="shared" si="13"/>
        <v>0</v>
      </c>
      <c r="H69" s="690">
        <f t="shared" si="13"/>
        <v>0</v>
      </c>
      <c r="I69" s="690">
        <f t="shared" si="13"/>
        <v>9.9000000000000005E-2</v>
      </c>
      <c r="J69" s="690">
        <f t="shared" si="13"/>
        <v>2.7E-2</v>
      </c>
      <c r="K69" s="690">
        <f t="shared" si="13"/>
        <v>8.9999999999999993E-3</v>
      </c>
      <c r="L69" s="690">
        <f t="shared" si="13"/>
        <v>7.1999999999999995E-2</v>
      </c>
      <c r="M69" s="690">
        <f t="shared" si="13"/>
        <v>3.3000000000000002E-2</v>
      </c>
      <c r="N69" s="690">
        <f t="shared" si="13"/>
        <v>0.04</v>
      </c>
      <c r="O69" s="690">
        <f t="shared" si="13"/>
        <v>0.156</v>
      </c>
      <c r="P69" s="697">
        <f t="shared" si="9"/>
        <v>1</v>
      </c>
      <c r="S69" s="696">
        <f t="shared" si="4"/>
        <v>2056</v>
      </c>
      <c r="T69" s="698">
        <v>0</v>
      </c>
      <c r="U69" s="698">
        <v>5</v>
      </c>
      <c r="V69" s="699">
        <f t="shared" si="5"/>
        <v>0</v>
      </c>
      <c r="W69" s="700">
        <v>1</v>
      </c>
      <c r="X69" s="701">
        <f t="shared" si="10"/>
        <v>0</v>
      </c>
    </row>
    <row r="70" spans="2:24">
      <c r="B70" s="696">
        <f t="shared" si="11"/>
        <v>2057</v>
      </c>
      <c r="C70" s="702"/>
      <c r="D70" s="689">
        <v>1</v>
      </c>
      <c r="E70" s="690">
        <f t="shared" si="13"/>
        <v>0.435</v>
      </c>
      <c r="F70" s="690">
        <f t="shared" si="13"/>
        <v>0.129</v>
      </c>
      <c r="G70" s="690">
        <f t="shared" si="13"/>
        <v>0</v>
      </c>
      <c r="H70" s="690">
        <f t="shared" si="13"/>
        <v>0</v>
      </c>
      <c r="I70" s="690">
        <f t="shared" si="13"/>
        <v>9.9000000000000005E-2</v>
      </c>
      <c r="J70" s="690">
        <f t="shared" si="13"/>
        <v>2.7E-2</v>
      </c>
      <c r="K70" s="690">
        <f t="shared" si="13"/>
        <v>8.9999999999999993E-3</v>
      </c>
      <c r="L70" s="690">
        <f t="shared" si="13"/>
        <v>7.1999999999999995E-2</v>
      </c>
      <c r="M70" s="690">
        <f t="shared" si="13"/>
        <v>3.3000000000000002E-2</v>
      </c>
      <c r="N70" s="690">
        <f t="shared" si="13"/>
        <v>0.04</v>
      </c>
      <c r="O70" s="690">
        <f t="shared" si="13"/>
        <v>0.156</v>
      </c>
      <c r="P70" s="697">
        <f t="shared" si="9"/>
        <v>1</v>
      </c>
      <c r="S70" s="696">
        <f t="shared" si="4"/>
        <v>2057</v>
      </c>
      <c r="T70" s="698">
        <v>0</v>
      </c>
      <c r="U70" s="698">
        <v>5</v>
      </c>
      <c r="V70" s="699">
        <f t="shared" si="5"/>
        <v>0</v>
      </c>
      <c r="W70" s="700">
        <v>1</v>
      </c>
      <c r="X70" s="701">
        <f t="shared" si="10"/>
        <v>0</v>
      </c>
    </row>
    <row r="71" spans="2:24">
      <c r="B71" s="696">
        <f t="shared" si="11"/>
        <v>2058</v>
      </c>
      <c r="C71" s="702"/>
      <c r="D71" s="689">
        <v>1</v>
      </c>
      <c r="E71" s="690">
        <f t="shared" si="13"/>
        <v>0.435</v>
      </c>
      <c r="F71" s="690">
        <f t="shared" si="13"/>
        <v>0.129</v>
      </c>
      <c r="G71" s="690">
        <f t="shared" si="13"/>
        <v>0</v>
      </c>
      <c r="H71" s="690">
        <f t="shared" si="13"/>
        <v>0</v>
      </c>
      <c r="I71" s="690">
        <f t="shared" si="13"/>
        <v>9.9000000000000005E-2</v>
      </c>
      <c r="J71" s="690">
        <f t="shared" si="13"/>
        <v>2.7E-2</v>
      </c>
      <c r="K71" s="690">
        <f t="shared" si="13"/>
        <v>8.9999999999999993E-3</v>
      </c>
      <c r="L71" s="690">
        <f t="shared" si="13"/>
        <v>7.1999999999999995E-2</v>
      </c>
      <c r="M71" s="690">
        <f t="shared" si="13"/>
        <v>3.3000000000000002E-2</v>
      </c>
      <c r="N71" s="690">
        <f t="shared" si="13"/>
        <v>0.04</v>
      </c>
      <c r="O71" s="690">
        <f t="shared" si="13"/>
        <v>0.156</v>
      </c>
      <c r="P71" s="697">
        <f t="shared" si="9"/>
        <v>1</v>
      </c>
      <c r="S71" s="696">
        <f t="shared" si="4"/>
        <v>2058</v>
      </c>
      <c r="T71" s="698">
        <v>0</v>
      </c>
      <c r="U71" s="698">
        <v>5</v>
      </c>
      <c r="V71" s="699">
        <f t="shared" si="5"/>
        <v>0</v>
      </c>
      <c r="W71" s="700">
        <v>1</v>
      </c>
      <c r="X71" s="701">
        <f t="shared" si="10"/>
        <v>0</v>
      </c>
    </row>
    <row r="72" spans="2:24">
      <c r="B72" s="696">
        <f t="shared" si="11"/>
        <v>2059</v>
      </c>
      <c r="C72" s="702"/>
      <c r="D72" s="689">
        <v>1</v>
      </c>
      <c r="E72" s="690">
        <f t="shared" si="13"/>
        <v>0.435</v>
      </c>
      <c r="F72" s="690">
        <f t="shared" si="13"/>
        <v>0.129</v>
      </c>
      <c r="G72" s="690">
        <f t="shared" si="13"/>
        <v>0</v>
      </c>
      <c r="H72" s="690">
        <f t="shared" si="13"/>
        <v>0</v>
      </c>
      <c r="I72" s="690">
        <f t="shared" si="13"/>
        <v>9.9000000000000005E-2</v>
      </c>
      <c r="J72" s="690">
        <f t="shared" si="13"/>
        <v>2.7E-2</v>
      </c>
      <c r="K72" s="690">
        <f t="shared" si="13"/>
        <v>8.9999999999999993E-3</v>
      </c>
      <c r="L72" s="690">
        <f t="shared" si="13"/>
        <v>7.1999999999999995E-2</v>
      </c>
      <c r="M72" s="690">
        <f t="shared" si="13"/>
        <v>3.3000000000000002E-2</v>
      </c>
      <c r="N72" s="690">
        <f t="shared" si="13"/>
        <v>0.04</v>
      </c>
      <c r="O72" s="690">
        <f t="shared" si="13"/>
        <v>0.156</v>
      </c>
      <c r="P72" s="697">
        <f t="shared" si="9"/>
        <v>1</v>
      </c>
      <c r="S72" s="696">
        <f t="shared" si="4"/>
        <v>2059</v>
      </c>
      <c r="T72" s="698">
        <v>0</v>
      </c>
      <c r="U72" s="698">
        <v>5</v>
      </c>
      <c r="V72" s="699">
        <f t="shared" si="5"/>
        <v>0</v>
      </c>
      <c r="W72" s="700">
        <v>1</v>
      </c>
      <c r="X72" s="701">
        <f t="shared" si="10"/>
        <v>0</v>
      </c>
    </row>
    <row r="73" spans="2:24">
      <c r="B73" s="696">
        <f t="shared" si="11"/>
        <v>2060</v>
      </c>
      <c r="C73" s="702"/>
      <c r="D73" s="689">
        <v>1</v>
      </c>
      <c r="E73" s="690">
        <f t="shared" ref="E73:O88" si="14">E$8</f>
        <v>0.435</v>
      </c>
      <c r="F73" s="690">
        <f t="shared" si="14"/>
        <v>0.129</v>
      </c>
      <c r="G73" s="690">
        <f t="shared" si="13"/>
        <v>0</v>
      </c>
      <c r="H73" s="690">
        <f t="shared" si="14"/>
        <v>0</v>
      </c>
      <c r="I73" s="690">
        <f t="shared" si="13"/>
        <v>9.9000000000000005E-2</v>
      </c>
      <c r="J73" s="690">
        <f t="shared" si="14"/>
        <v>2.7E-2</v>
      </c>
      <c r="K73" s="690">
        <f t="shared" si="14"/>
        <v>8.9999999999999993E-3</v>
      </c>
      <c r="L73" s="690">
        <f t="shared" si="14"/>
        <v>7.1999999999999995E-2</v>
      </c>
      <c r="M73" s="690">
        <f t="shared" si="14"/>
        <v>3.3000000000000002E-2</v>
      </c>
      <c r="N73" s="690">
        <f t="shared" si="14"/>
        <v>0.04</v>
      </c>
      <c r="O73" s="690">
        <f t="shared" si="14"/>
        <v>0.156</v>
      </c>
      <c r="P73" s="697">
        <f t="shared" si="9"/>
        <v>1</v>
      </c>
      <c r="S73" s="696">
        <f t="shared" si="4"/>
        <v>2060</v>
      </c>
      <c r="T73" s="698">
        <v>0</v>
      </c>
      <c r="U73" s="698">
        <v>5</v>
      </c>
      <c r="V73" s="699">
        <f t="shared" si="5"/>
        <v>0</v>
      </c>
      <c r="W73" s="700">
        <v>1</v>
      </c>
      <c r="X73" s="701">
        <f t="shared" si="10"/>
        <v>0</v>
      </c>
    </row>
    <row r="74" spans="2:24">
      <c r="B74" s="696">
        <f t="shared" si="11"/>
        <v>2061</v>
      </c>
      <c r="C74" s="702"/>
      <c r="D74" s="689">
        <v>1</v>
      </c>
      <c r="E74" s="690">
        <f t="shared" si="14"/>
        <v>0.435</v>
      </c>
      <c r="F74" s="690">
        <f t="shared" si="14"/>
        <v>0.129</v>
      </c>
      <c r="G74" s="690">
        <f t="shared" si="13"/>
        <v>0</v>
      </c>
      <c r="H74" s="690">
        <f t="shared" si="14"/>
        <v>0</v>
      </c>
      <c r="I74" s="690">
        <f t="shared" si="13"/>
        <v>9.9000000000000005E-2</v>
      </c>
      <c r="J74" s="690">
        <f t="shared" si="14"/>
        <v>2.7E-2</v>
      </c>
      <c r="K74" s="690">
        <f t="shared" si="14"/>
        <v>8.9999999999999993E-3</v>
      </c>
      <c r="L74" s="690">
        <f t="shared" si="14"/>
        <v>7.1999999999999995E-2</v>
      </c>
      <c r="M74" s="690">
        <f t="shared" si="14"/>
        <v>3.3000000000000002E-2</v>
      </c>
      <c r="N74" s="690">
        <f t="shared" si="14"/>
        <v>0.04</v>
      </c>
      <c r="O74" s="690">
        <f t="shared" si="14"/>
        <v>0.156</v>
      </c>
      <c r="P74" s="697">
        <f t="shared" si="9"/>
        <v>1</v>
      </c>
      <c r="S74" s="696">
        <f t="shared" si="4"/>
        <v>2061</v>
      </c>
      <c r="T74" s="698">
        <v>0</v>
      </c>
      <c r="U74" s="698">
        <v>5</v>
      </c>
      <c r="V74" s="699">
        <f t="shared" si="5"/>
        <v>0</v>
      </c>
      <c r="W74" s="700">
        <v>1</v>
      </c>
      <c r="X74" s="701">
        <f t="shared" si="10"/>
        <v>0</v>
      </c>
    </row>
    <row r="75" spans="2:24">
      <c r="B75" s="696">
        <f t="shared" si="11"/>
        <v>2062</v>
      </c>
      <c r="C75" s="702"/>
      <c r="D75" s="689">
        <v>1</v>
      </c>
      <c r="E75" s="690">
        <f t="shared" si="14"/>
        <v>0.435</v>
      </c>
      <c r="F75" s="690">
        <f t="shared" si="14"/>
        <v>0.129</v>
      </c>
      <c r="G75" s="690">
        <f t="shared" si="13"/>
        <v>0</v>
      </c>
      <c r="H75" s="690">
        <f t="shared" si="14"/>
        <v>0</v>
      </c>
      <c r="I75" s="690">
        <f t="shared" si="13"/>
        <v>9.9000000000000005E-2</v>
      </c>
      <c r="J75" s="690">
        <f t="shared" si="14"/>
        <v>2.7E-2</v>
      </c>
      <c r="K75" s="690">
        <f t="shared" si="14"/>
        <v>8.9999999999999993E-3</v>
      </c>
      <c r="L75" s="690">
        <f t="shared" si="14"/>
        <v>7.1999999999999995E-2</v>
      </c>
      <c r="M75" s="690">
        <f t="shared" si="14"/>
        <v>3.3000000000000002E-2</v>
      </c>
      <c r="N75" s="690">
        <f t="shared" si="14"/>
        <v>0.04</v>
      </c>
      <c r="O75" s="690">
        <f t="shared" si="14"/>
        <v>0.156</v>
      </c>
      <c r="P75" s="697">
        <f t="shared" si="9"/>
        <v>1</v>
      </c>
      <c r="S75" s="696">
        <f t="shared" si="4"/>
        <v>2062</v>
      </c>
      <c r="T75" s="698">
        <v>0</v>
      </c>
      <c r="U75" s="698">
        <v>5</v>
      </c>
      <c r="V75" s="699">
        <f t="shared" si="5"/>
        <v>0</v>
      </c>
      <c r="W75" s="700">
        <v>1</v>
      </c>
      <c r="X75" s="701">
        <f t="shared" si="10"/>
        <v>0</v>
      </c>
    </row>
    <row r="76" spans="2:24">
      <c r="B76" s="696">
        <f t="shared" si="11"/>
        <v>2063</v>
      </c>
      <c r="C76" s="702"/>
      <c r="D76" s="689">
        <v>1</v>
      </c>
      <c r="E76" s="690">
        <f t="shared" si="14"/>
        <v>0.435</v>
      </c>
      <c r="F76" s="690">
        <f t="shared" si="14"/>
        <v>0.129</v>
      </c>
      <c r="G76" s="690">
        <f t="shared" si="13"/>
        <v>0</v>
      </c>
      <c r="H76" s="690">
        <f t="shared" si="14"/>
        <v>0</v>
      </c>
      <c r="I76" s="690">
        <f t="shared" si="13"/>
        <v>9.9000000000000005E-2</v>
      </c>
      <c r="J76" s="690">
        <f t="shared" si="14"/>
        <v>2.7E-2</v>
      </c>
      <c r="K76" s="690">
        <f t="shared" si="14"/>
        <v>8.9999999999999993E-3</v>
      </c>
      <c r="L76" s="690">
        <f t="shared" si="14"/>
        <v>7.1999999999999995E-2</v>
      </c>
      <c r="M76" s="690">
        <f t="shared" si="14"/>
        <v>3.3000000000000002E-2</v>
      </c>
      <c r="N76" s="690">
        <f t="shared" si="14"/>
        <v>0.04</v>
      </c>
      <c r="O76" s="690">
        <f t="shared" si="14"/>
        <v>0.156</v>
      </c>
      <c r="P76" s="697">
        <f t="shared" si="9"/>
        <v>1</v>
      </c>
      <c r="S76" s="696">
        <f t="shared" si="4"/>
        <v>2063</v>
      </c>
      <c r="T76" s="698">
        <v>0</v>
      </c>
      <c r="U76" s="698">
        <v>5</v>
      </c>
      <c r="V76" s="699">
        <f t="shared" si="5"/>
        <v>0</v>
      </c>
      <c r="W76" s="700">
        <v>1</v>
      </c>
      <c r="X76" s="701">
        <f t="shared" si="10"/>
        <v>0</v>
      </c>
    </row>
    <row r="77" spans="2:24">
      <c r="B77" s="696">
        <f t="shared" si="11"/>
        <v>2064</v>
      </c>
      <c r="C77" s="702"/>
      <c r="D77" s="689">
        <v>1</v>
      </c>
      <c r="E77" s="690">
        <f t="shared" si="14"/>
        <v>0.435</v>
      </c>
      <c r="F77" s="690">
        <f t="shared" si="14"/>
        <v>0.129</v>
      </c>
      <c r="G77" s="690">
        <f t="shared" si="13"/>
        <v>0</v>
      </c>
      <c r="H77" s="690">
        <f t="shared" si="14"/>
        <v>0</v>
      </c>
      <c r="I77" s="690">
        <f t="shared" si="13"/>
        <v>9.9000000000000005E-2</v>
      </c>
      <c r="J77" s="690">
        <f t="shared" si="14"/>
        <v>2.7E-2</v>
      </c>
      <c r="K77" s="690">
        <f t="shared" si="14"/>
        <v>8.9999999999999993E-3</v>
      </c>
      <c r="L77" s="690">
        <f t="shared" si="14"/>
        <v>7.1999999999999995E-2</v>
      </c>
      <c r="M77" s="690">
        <f t="shared" si="14"/>
        <v>3.3000000000000002E-2</v>
      </c>
      <c r="N77" s="690">
        <f t="shared" si="14"/>
        <v>0.04</v>
      </c>
      <c r="O77" s="690">
        <f t="shared" si="14"/>
        <v>0.156</v>
      </c>
      <c r="P77" s="697">
        <f t="shared" ref="P77:P93" si="15">SUM(E77:O77)</f>
        <v>1</v>
      </c>
      <c r="S77" s="696">
        <f t="shared" si="4"/>
        <v>2064</v>
      </c>
      <c r="T77" s="698">
        <v>0</v>
      </c>
      <c r="U77" s="698">
        <v>5</v>
      </c>
      <c r="V77" s="699">
        <f t="shared" si="5"/>
        <v>0</v>
      </c>
      <c r="W77" s="700">
        <v>1</v>
      </c>
      <c r="X77" s="701">
        <f t="shared" ref="X77:X93" si="16">V77*W77</f>
        <v>0</v>
      </c>
    </row>
    <row r="78" spans="2:24">
      <c r="B78" s="696">
        <f t="shared" ref="B78:B93" si="17">B77+1</f>
        <v>2065</v>
      </c>
      <c r="C78" s="702"/>
      <c r="D78" s="689">
        <v>1</v>
      </c>
      <c r="E78" s="690">
        <f t="shared" si="14"/>
        <v>0.435</v>
      </c>
      <c r="F78" s="690">
        <f t="shared" si="14"/>
        <v>0.129</v>
      </c>
      <c r="G78" s="690">
        <f t="shared" si="13"/>
        <v>0</v>
      </c>
      <c r="H78" s="690">
        <f t="shared" si="14"/>
        <v>0</v>
      </c>
      <c r="I78" s="690">
        <f t="shared" si="13"/>
        <v>9.9000000000000005E-2</v>
      </c>
      <c r="J78" s="690">
        <f t="shared" si="14"/>
        <v>2.7E-2</v>
      </c>
      <c r="K78" s="690">
        <f t="shared" si="14"/>
        <v>8.9999999999999993E-3</v>
      </c>
      <c r="L78" s="690">
        <f t="shared" si="14"/>
        <v>7.1999999999999995E-2</v>
      </c>
      <c r="M78" s="690">
        <f t="shared" si="14"/>
        <v>3.3000000000000002E-2</v>
      </c>
      <c r="N78" s="690">
        <f t="shared" si="14"/>
        <v>0.04</v>
      </c>
      <c r="O78" s="690">
        <f t="shared" si="14"/>
        <v>0.156</v>
      </c>
      <c r="P78" s="697">
        <f t="shared" si="15"/>
        <v>1</v>
      </c>
      <c r="S78" s="696">
        <f t="shared" ref="S78:S93" si="18">S77+1</f>
        <v>2065</v>
      </c>
      <c r="T78" s="698">
        <v>0</v>
      </c>
      <c r="U78" s="698">
        <v>5</v>
      </c>
      <c r="V78" s="699">
        <f t="shared" si="5"/>
        <v>0</v>
      </c>
      <c r="W78" s="700">
        <v>1</v>
      </c>
      <c r="X78" s="701">
        <f t="shared" si="16"/>
        <v>0</v>
      </c>
    </row>
    <row r="79" spans="2:24">
      <c r="B79" s="696">
        <f t="shared" si="17"/>
        <v>2066</v>
      </c>
      <c r="C79" s="702"/>
      <c r="D79" s="689">
        <v>1</v>
      </c>
      <c r="E79" s="690">
        <f t="shared" si="14"/>
        <v>0.435</v>
      </c>
      <c r="F79" s="690">
        <f t="shared" si="14"/>
        <v>0.129</v>
      </c>
      <c r="G79" s="690">
        <f t="shared" si="14"/>
        <v>0</v>
      </c>
      <c r="H79" s="690">
        <f t="shared" si="14"/>
        <v>0</v>
      </c>
      <c r="I79" s="690">
        <f t="shared" si="14"/>
        <v>9.9000000000000005E-2</v>
      </c>
      <c r="J79" s="690">
        <f t="shared" si="14"/>
        <v>2.7E-2</v>
      </c>
      <c r="K79" s="690">
        <f t="shared" si="14"/>
        <v>8.9999999999999993E-3</v>
      </c>
      <c r="L79" s="690">
        <f t="shared" si="14"/>
        <v>7.1999999999999995E-2</v>
      </c>
      <c r="M79" s="690">
        <f t="shared" si="14"/>
        <v>3.3000000000000002E-2</v>
      </c>
      <c r="N79" s="690">
        <f t="shared" si="14"/>
        <v>0.04</v>
      </c>
      <c r="O79" s="690">
        <f t="shared" si="14"/>
        <v>0.156</v>
      </c>
      <c r="P79" s="697">
        <f t="shared" si="15"/>
        <v>1</v>
      </c>
      <c r="S79" s="696">
        <f t="shared" si="18"/>
        <v>2066</v>
      </c>
      <c r="T79" s="698">
        <v>0</v>
      </c>
      <c r="U79" s="698">
        <v>5</v>
      </c>
      <c r="V79" s="699">
        <f t="shared" ref="V79:V93" si="19">T79*U79</f>
        <v>0</v>
      </c>
      <c r="W79" s="700">
        <v>1</v>
      </c>
      <c r="X79" s="701">
        <f t="shared" si="16"/>
        <v>0</v>
      </c>
    </row>
    <row r="80" spans="2:24">
      <c r="B80" s="696">
        <f t="shared" si="17"/>
        <v>2067</v>
      </c>
      <c r="C80" s="702"/>
      <c r="D80" s="689">
        <v>1</v>
      </c>
      <c r="E80" s="690">
        <f t="shared" si="14"/>
        <v>0.435</v>
      </c>
      <c r="F80" s="690">
        <f t="shared" si="14"/>
        <v>0.129</v>
      </c>
      <c r="G80" s="690">
        <f t="shared" si="14"/>
        <v>0</v>
      </c>
      <c r="H80" s="690">
        <f t="shared" si="14"/>
        <v>0</v>
      </c>
      <c r="I80" s="690">
        <f t="shared" si="14"/>
        <v>9.9000000000000005E-2</v>
      </c>
      <c r="J80" s="690">
        <f t="shared" si="14"/>
        <v>2.7E-2</v>
      </c>
      <c r="K80" s="690">
        <f t="shared" si="14"/>
        <v>8.9999999999999993E-3</v>
      </c>
      <c r="L80" s="690">
        <f t="shared" si="14"/>
        <v>7.1999999999999995E-2</v>
      </c>
      <c r="M80" s="690">
        <f t="shared" si="14"/>
        <v>3.3000000000000002E-2</v>
      </c>
      <c r="N80" s="690">
        <f t="shared" si="14"/>
        <v>0.04</v>
      </c>
      <c r="O80" s="690">
        <f t="shared" si="14"/>
        <v>0.156</v>
      </c>
      <c r="P80" s="697">
        <f t="shared" si="15"/>
        <v>1</v>
      </c>
      <c r="S80" s="696">
        <f t="shared" si="18"/>
        <v>2067</v>
      </c>
      <c r="T80" s="698">
        <v>0</v>
      </c>
      <c r="U80" s="698">
        <v>5</v>
      </c>
      <c r="V80" s="699">
        <f t="shared" si="19"/>
        <v>0</v>
      </c>
      <c r="W80" s="700">
        <v>1</v>
      </c>
      <c r="X80" s="701">
        <f t="shared" si="16"/>
        <v>0</v>
      </c>
    </row>
    <row r="81" spans="2:24">
      <c r="B81" s="696">
        <f t="shared" si="17"/>
        <v>2068</v>
      </c>
      <c r="C81" s="702"/>
      <c r="D81" s="689">
        <v>1</v>
      </c>
      <c r="E81" s="690">
        <f t="shared" si="14"/>
        <v>0.435</v>
      </c>
      <c r="F81" s="690">
        <f t="shared" si="14"/>
        <v>0.129</v>
      </c>
      <c r="G81" s="690">
        <f t="shared" si="14"/>
        <v>0</v>
      </c>
      <c r="H81" s="690">
        <f t="shared" si="14"/>
        <v>0</v>
      </c>
      <c r="I81" s="690">
        <f t="shared" si="14"/>
        <v>9.9000000000000005E-2</v>
      </c>
      <c r="J81" s="690">
        <f t="shared" si="14"/>
        <v>2.7E-2</v>
      </c>
      <c r="K81" s="690">
        <f t="shared" si="14"/>
        <v>8.9999999999999993E-3</v>
      </c>
      <c r="L81" s="690">
        <f t="shared" si="14"/>
        <v>7.1999999999999995E-2</v>
      </c>
      <c r="M81" s="690">
        <f t="shared" si="14"/>
        <v>3.3000000000000002E-2</v>
      </c>
      <c r="N81" s="690">
        <f t="shared" si="14"/>
        <v>0.04</v>
      </c>
      <c r="O81" s="690">
        <f t="shared" si="14"/>
        <v>0.156</v>
      </c>
      <c r="P81" s="697">
        <f t="shared" si="15"/>
        <v>1</v>
      </c>
      <c r="S81" s="696">
        <f t="shared" si="18"/>
        <v>2068</v>
      </c>
      <c r="T81" s="698">
        <v>0</v>
      </c>
      <c r="U81" s="698">
        <v>5</v>
      </c>
      <c r="V81" s="699">
        <f t="shared" si="19"/>
        <v>0</v>
      </c>
      <c r="W81" s="700">
        <v>1</v>
      </c>
      <c r="X81" s="701">
        <f t="shared" si="16"/>
        <v>0</v>
      </c>
    </row>
    <row r="82" spans="2:24">
      <c r="B82" s="696">
        <f t="shared" si="17"/>
        <v>2069</v>
      </c>
      <c r="C82" s="702"/>
      <c r="D82" s="689">
        <v>1</v>
      </c>
      <c r="E82" s="690">
        <f t="shared" si="14"/>
        <v>0.435</v>
      </c>
      <c r="F82" s="690">
        <f t="shared" si="14"/>
        <v>0.129</v>
      </c>
      <c r="G82" s="690">
        <f t="shared" si="14"/>
        <v>0</v>
      </c>
      <c r="H82" s="690">
        <f t="shared" si="14"/>
        <v>0</v>
      </c>
      <c r="I82" s="690">
        <f t="shared" si="14"/>
        <v>9.9000000000000005E-2</v>
      </c>
      <c r="J82" s="690">
        <f t="shared" si="14"/>
        <v>2.7E-2</v>
      </c>
      <c r="K82" s="690">
        <f t="shared" si="14"/>
        <v>8.9999999999999993E-3</v>
      </c>
      <c r="L82" s="690">
        <f t="shared" si="14"/>
        <v>7.1999999999999995E-2</v>
      </c>
      <c r="M82" s="690">
        <f t="shared" si="14"/>
        <v>3.3000000000000002E-2</v>
      </c>
      <c r="N82" s="690">
        <f t="shared" si="14"/>
        <v>0.04</v>
      </c>
      <c r="O82" s="690">
        <f t="shared" si="14"/>
        <v>0.156</v>
      </c>
      <c r="P82" s="697">
        <f t="shared" si="15"/>
        <v>1</v>
      </c>
      <c r="S82" s="696">
        <f t="shared" si="18"/>
        <v>2069</v>
      </c>
      <c r="T82" s="698">
        <v>0</v>
      </c>
      <c r="U82" s="698">
        <v>5</v>
      </c>
      <c r="V82" s="699">
        <f t="shared" si="19"/>
        <v>0</v>
      </c>
      <c r="W82" s="700">
        <v>1</v>
      </c>
      <c r="X82" s="701">
        <f t="shared" si="16"/>
        <v>0</v>
      </c>
    </row>
    <row r="83" spans="2:24">
      <c r="B83" s="696">
        <f t="shared" si="17"/>
        <v>2070</v>
      </c>
      <c r="C83" s="702"/>
      <c r="D83" s="689">
        <v>1</v>
      </c>
      <c r="E83" s="690">
        <f t="shared" ref="E83:O93" si="20">E$8</f>
        <v>0.435</v>
      </c>
      <c r="F83" s="690">
        <f t="shared" si="20"/>
        <v>0.129</v>
      </c>
      <c r="G83" s="690">
        <f t="shared" si="14"/>
        <v>0</v>
      </c>
      <c r="H83" s="690">
        <f t="shared" si="20"/>
        <v>0</v>
      </c>
      <c r="I83" s="690">
        <f t="shared" si="14"/>
        <v>9.9000000000000005E-2</v>
      </c>
      <c r="J83" s="690">
        <f t="shared" si="20"/>
        <v>2.7E-2</v>
      </c>
      <c r="K83" s="690">
        <f t="shared" si="20"/>
        <v>8.9999999999999993E-3</v>
      </c>
      <c r="L83" s="690">
        <f t="shared" si="20"/>
        <v>7.1999999999999995E-2</v>
      </c>
      <c r="M83" s="690">
        <f t="shared" si="20"/>
        <v>3.3000000000000002E-2</v>
      </c>
      <c r="N83" s="690">
        <f t="shared" si="20"/>
        <v>0.04</v>
      </c>
      <c r="O83" s="690">
        <f t="shared" si="20"/>
        <v>0.156</v>
      </c>
      <c r="P83" s="697">
        <f t="shared" si="15"/>
        <v>1</v>
      </c>
      <c r="S83" s="696">
        <f t="shared" si="18"/>
        <v>2070</v>
      </c>
      <c r="T83" s="698">
        <v>0</v>
      </c>
      <c r="U83" s="698">
        <v>5</v>
      </c>
      <c r="V83" s="699">
        <f t="shared" si="19"/>
        <v>0</v>
      </c>
      <c r="W83" s="700">
        <v>1</v>
      </c>
      <c r="X83" s="701">
        <f t="shared" si="16"/>
        <v>0</v>
      </c>
    </row>
    <row r="84" spans="2:24">
      <c r="B84" s="696">
        <f t="shared" si="17"/>
        <v>2071</v>
      </c>
      <c r="C84" s="702"/>
      <c r="D84" s="689">
        <v>1</v>
      </c>
      <c r="E84" s="690">
        <f t="shared" si="20"/>
        <v>0.435</v>
      </c>
      <c r="F84" s="690">
        <f t="shared" si="20"/>
        <v>0.129</v>
      </c>
      <c r="G84" s="690">
        <f t="shared" si="14"/>
        <v>0</v>
      </c>
      <c r="H84" s="690">
        <f t="shared" si="20"/>
        <v>0</v>
      </c>
      <c r="I84" s="690">
        <f t="shared" si="14"/>
        <v>9.9000000000000005E-2</v>
      </c>
      <c r="J84" s="690">
        <f t="shared" si="20"/>
        <v>2.7E-2</v>
      </c>
      <c r="K84" s="690">
        <f t="shared" si="20"/>
        <v>8.9999999999999993E-3</v>
      </c>
      <c r="L84" s="690">
        <f t="shared" si="20"/>
        <v>7.1999999999999995E-2</v>
      </c>
      <c r="M84" s="690">
        <f t="shared" si="20"/>
        <v>3.3000000000000002E-2</v>
      </c>
      <c r="N84" s="690">
        <f t="shared" si="20"/>
        <v>0.04</v>
      </c>
      <c r="O84" s="690">
        <f t="shared" si="20"/>
        <v>0.156</v>
      </c>
      <c r="P84" s="697">
        <f t="shared" si="15"/>
        <v>1</v>
      </c>
      <c r="S84" s="696">
        <f t="shared" si="18"/>
        <v>2071</v>
      </c>
      <c r="T84" s="698">
        <v>0</v>
      </c>
      <c r="U84" s="698">
        <v>5</v>
      </c>
      <c r="V84" s="699">
        <f t="shared" si="19"/>
        <v>0</v>
      </c>
      <c r="W84" s="700">
        <v>1</v>
      </c>
      <c r="X84" s="701">
        <f t="shared" si="16"/>
        <v>0</v>
      </c>
    </row>
    <row r="85" spans="2:24">
      <c r="B85" s="696">
        <f t="shared" si="17"/>
        <v>2072</v>
      </c>
      <c r="C85" s="702"/>
      <c r="D85" s="689">
        <v>1</v>
      </c>
      <c r="E85" s="690">
        <f t="shared" si="20"/>
        <v>0.435</v>
      </c>
      <c r="F85" s="690">
        <f t="shared" si="20"/>
        <v>0.129</v>
      </c>
      <c r="G85" s="690">
        <f t="shared" si="14"/>
        <v>0</v>
      </c>
      <c r="H85" s="690">
        <f t="shared" si="20"/>
        <v>0</v>
      </c>
      <c r="I85" s="690">
        <f t="shared" si="14"/>
        <v>9.9000000000000005E-2</v>
      </c>
      <c r="J85" s="690">
        <f t="shared" si="20"/>
        <v>2.7E-2</v>
      </c>
      <c r="K85" s="690">
        <f t="shared" si="20"/>
        <v>8.9999999999999993E-3</v>
      </c>
      <c r="L85" s="690">
        <f t="shared" si="20"/>
        <v>7.1999999999999995E-2</v>
      </c>
      <c r="M85" s="690">
        <f t="shared" si="20"/>
        <v>3.3000000000000002E-2</v>
      </c>
      <c r="N85" s="690">
        <f t="shared" si="20"/>
        <v>0.04</v>
      </c>
      <c r="O85" s="690">
        <f t="shared" si="20"/>
        <v>0.156</v>
      </c>
      <c r="P85" s="697">
        <f t="shared" si="15"/>
        <v>1</v>
      </c>
      <c r="S85" s="696">
        <f t="shared" si="18"/>
        <v>2072</v>
      </c>
      <c r="T85" s="698">
        <v>0</v>
      </c>
      <c r="U85" s="698">
        <v>5</v>
      </c>
      <c r="V85" s="699">
        <f t="shared" si="19"/>
        <v>0</v>
      </c>
      <c r="W85" s="700">
        <v>1</v>
      </c>
      <c r="X85" s="701">
        <f t="shared" si="16"/>
        <v>0</v>
      </c>
    </row>
    <row r="86" spans="2:24">
      <c r="B86" s="696">
        <f t="shared" si="17"/>
        <v>2073</v>
      </c>
      <c r="C86" s="702"/>
      <c r="D86" s="689">
        <v>1</v>
      </c>
      <c r="E86" s="690">
        <f t="shared" si="20"/>
        <v>0.435</v>
      </c>
      <c r="F86" s="690">
        <f t="shared" si="20"/>
        <v>0.129</v>
      </c>
      <c r="G86" s="690">
        <f t="shared" si="14"/>
        <v>0</v>
      </c>
      <c r="H86" s="690">
        <f t="shared" si="20"/>
        <v>0</v>
      </c>
      <c r="I86" s="690">
        <f t="shared" si="14"/>
        <v>9.9000000000000005E-2</v>
      </c>
      <c r="J86" s="690">
        <f t="shared" si="20"/>
        <v>2.7E-2</v>
      </c>
      <c r="K86" s="690">
        <f t="shared" si="20"/>
        <v>8.9999999999999993E-3</v>
      </c>
      <c r="L86" s="690">
        <f t="shared" si="20"/>
        <v>7.1999999999999995E-2</v>
      </c>
      <c r="M86" s="690">
        <f t="shared" si="20"/>
        <v>3.3000000000000002E-2</v>
      </c>
      <c r="N86" s="690">
        <f t="shared" si="20"/>
        <v>0.04</v>
      </c>
      <c r="O86" s="690">
        <f t="shared" si="20"/>
        <v>0.156</v>
      </c>
      <c r="P86" s="697">
        <f t="shared" si="15"/>
        <v>1</v>
      </c>
      <c r="S86" s="696">
        <f t="shared" si="18"/>
        <v>2073</v>
      </c>
      <c r="T86" s="698">
        <v>0</v>
      </c>
      <c r="U86" s="698">
        <v>5</v>
      </c>
      <c r="V86" s="699">
        <f t="shared" si="19"/>
        <v>0</v>
      </c>
      <c r="W86" s="700">
        <v>1</v>
      </c>
      <c r="X86" s="701">
        <f t="shared" si="16"/>
        <v>0</v>
      </c>
    </row>
    <row r="87" spans="2:24">
      <c r="B87" s="696">
        <f t="shared" si="17"/>
        <v>2074</v>
      </c>
      <c r="C87" s="702"/>
      <c r="D87" s="689">
        <v>1</v>
      </c>
      <c r="E87" s="690">
        <f t="shared" si="20"/>
        <v>0.435</v>
      </c>
      <c r="F87" s="690">
        <f t="shared" si="20"/>
        <v>0.129</v>
      </c>
      <c r="G87" s="690">
        <f t="shared" si="14"/>
        <v>0</v>
      </c>
      <c r="H87" s="690">
        <f t="shared" si="20"/>
        <v>0</v>
      </c>
      <c r="I87" s="690">
        <f t="shared" si="14"/>
        <v>9.9000000000000005E-2</v>
      </c>
      <c r="J87" s="690">
        <f t="shared" si="20"/>
        <v>2.7E-2</v>
      </c>
      <c r="K87" s="690">
        <f t="shared" si="20"/>
        <v>8.9999999999999993E-3</v>
      </c>
      <c r="L87" s="690">
        <f t="shared" si="20"/>
        <v>7.1999999999999995E-2</v>
      </c>
      <c r="M87" s="690">
        <f t="shared" si="20"/>
        <v>3.3000000000000002E-2</v>
      </c>
      <c r="N87" s="690">
        <f t="shared" si="20"/>
        <v>0.04</v>
      </c>
      <c r="O87" s="690">
        <f t="shared" si="20"/>
        <v>0.156</v>
      </c>
      <c r="P87" s="697">
        <f t="shared" si="15"/>
        <v>1</v>
      </c>
      <c r="S87" s="696">
        <f t="shared" si="18"/>
        <v>2074</v>
      </c>
      <c r="T87" s="698">
        <v>0</v>
      </c>
      <c r="U87" s="698">
        <v>5</v>
      </c>
      <c r="V87" s="699">
        <f t="shared" si="19"/>
        <v>0</v>
      </c>
      <c r="W87" s="700">
        <v>1</v>
      </c>
      <c r="X87" s="701">
        <f t="shared" si="16"/>
        <v>0</v>
      </c>
    </row>
    <row r="88" spans="2:24">
      <c r="B88" s="696">
        <f t="shared" si="17"/>
        <v>2075</v>
      </c>
      <c r="C88" s="702"/>
      <c r="D88" s="689">
        <v>1</v>
      </c>
      <c r="E88" s="690">
        <f t="shared" si="20"/>
        <v>0.435</v>
      </c>
      <c r="F88" s="690">
        <f t="shared" si="20"/>
        <v>0.129</v>
      </c>
      <c r="G88" s="690">
        <f t="shared" si="14"/>
        <v>0</v>
      </c>
      <c r="H88" s="690">
        <f t="shared" si="20"/>
        <v>0</v>
      </c>
      <c r="I88" s="690">
        <f t="shared" si="14"/>
        <v>9.9000000000000005E-2</v>
      </c>
      <c r="J88" s="690">
        <f t="shared" si="20"/>
        <v>2.7E-2</v>
      </c>
      <c r="K88" s="690">
        <f t="shared" si="20"/>
        <v>8.9999999999999993E-3</v>
      </c>
      <c r="L88" s="690">
        <f t="shared" si="20"/>
        <v>7.1999999999999995E-2</v>
      </c>
      <c r="M88" s="690">
        <f t="shared" si="20"/>
        <v>3.3000000000000002E-2</v>
      </c>
      <c r="N88" s="690">
        <f t="shared" si="20"/>
        <v>0.04</v>
      </c>
      <c r="O88" s="690">
        <f t="shared" si="20"/>
        <v>0.156</v>
      </c>
      <c r="P88" s="697">
        <f t="shared" si="15"/>
        <v>1</v>
      </c>
      <c r="S88" s="696">
        <f t="shared" si="18"/>
        <v>2075</v>
      </c>
      <c r="T88" s="698">
        <v>0</v>
      </c>
      <c r="U88" s="698">
        <v>5</v>
      </c>
      <c r="V88" s="699">
        <f t="shared" si="19"/>
        <v>0</v>
      </c>
      <c r="W88" s="700">
        <v>1</v>
      </c>
      <c r="X88" s="701">
        <f t="shared" si="16"/>
        <v>0</v>
      </c>
    </row>
    <row r="89" spans="2:24">
      <c r="B89" s="696">
        <f t="shared" si="17"/>
        <v>2076</v>
      </c>
      <c r="C89" s="702"/>
      <c r="D89" s="689">
        <v>1</v>
      </c>
      <c r="E89" s="690">
        <f t="shared" si="20"/>
        <v>0.435</v>
      </c>
      <c r="F89" s="690">
        <f t="shared" si="20"/>
        <v>0.129</v>
      </c>
      <c r="G89" s="690">
        <f t="shared" si="20"/>
        <v>0</v>
      </c>
      <c r="H89" s="690">
        <f t="shared" si="20"/>
        <v>0</v>
      </c>
      <c r="I89" s="690">
        <f t="shared" si="20"/>
        <v>9.9000000000000005E-2</v>
      </c>
      <c r="J89" s="690">
        <f t="shared" si="20"/>
        <v>2.7E-2</v>
      </c>
      <c r="K89" s="690">
        <f t="shared" si="20"/>
        <v>8.9999999999999993E-3</v>
      </c>
      <c r="L89" s="690">
        <f t="shared" si="20"/>
        <v>7.1999999999999995E-2</v>
      </c>
      <c r="M89" s="690">
        <f t="shared" si="20"/>
        <v>3.3000000000000002E-2</v>
      </c>
      <c r="N89" s="690">
        <f t="shared" si="20"/>
        <v>0.04</v>
      </c>
      <c r="O89" s="690">
        <f t="shared" si="20"/>
        <v>0.156</v>
      </c>
      <c r="P89" s="697">
        <f t="shared" si="15"/>
        <v>1</v>
      </c>
      <c r="S89" s="696">
        <f t="shared" si="18"/>
        <v>2076</v>
      </c>
      <c r="T89" s="698">
        <v>0</v>
      </c>
      <c r="U89" s="698">
        <v>5</v>
      </c>
      <c r="V89" s="699">
        <f t="shared" si="19"/>
        <v>0</v>
      </c>
      <c r="W89" s="700">
        <v>1</v>
      </c>
      <c r="X89" s="701">
        <f t="shared" si="16"/>
        <v>0</v>
      </c>
    </row>
    <row r="90" spans="2:24">
      <c r="B90" s="696">
        <f t="shared" si="17"/>
        <v>2077</v>
      </c>
      <c r="C90" s="702"/>
      <c r="D90" s="689">
        <v>1</v>
      </c>
      <c r="E90" s="690">
        <f t="shared" si="20"/>
        <v>0.435</v>
      </c>
      <c r="F90" s="690">
        <f t="shared" si="20"/>
        <v>0.129</v>
      </c>
      <c r="G90" s="690">
        <f t="shared" si="20"/>
        <v>0</v>
      </c>
      <c r="H90" s="690">
        <f t="shared" si="20"/>
        <v>0</v>
      </c>
      <c r="I90" s="690">
        <f t="shared" si="20"/>
        <v>9.9000000000000005E-2</v>
      </c>
      <c r="J90" s="690">
        <f t="shared" si="20"/>
        <v>2.7E-2</v>
      </c>
      <c r="K90" s="690">
        <f t="shared" si="20"/>
        <v>8.9999999999999993E-3</v>
      </c>
      <c r="L90" s="690">
        <f t="shared" si="20"/>
        <v>7.1999999999999995E-2</v>
      </c>
      <c r="M90" s="690">
        <f t="shared" si="20"/>
        <v>3.3000000000000002E-2</v>
      </c>
      <c r="N90" s="690">
        <f t="shared" si="20"/>
        <v>0.04</v>
      </c>
      <c r="O90" s="690">
        <f t="shared" si="20"/>
        <v>0.156</v>
      </c>
      <c r="P90" s="697">
        <f t="shared" si="15"/>
        <v>1</v>
      </c>
      <c r="S90" s="696">
        <f t="shared" si="18"/>
        <v>2077</v>
      </c>
      <c r="T90" s="698">
        <v>0</v>
      </c>
      <c r="U90" s="698">
        <v>5</v>
      </c>
      <c r="V90" s="699">
        <f t="shared" si="19"/>
        <v>0</v>
      </c>
      <c r="W90" s="700">
        <v>1</v>
      </c>
      <c r="X90" s="701">
        <f t="shared" si="16"/>
        <v>0</v>
      </c>
    </row>
    <row r="91" spans="2:24">
      <c r="B91" s="696">
        <f t="shared" si="17"/>
        <v>2078</v>
      </c>
      <c r="C91" s="702"/>
      <c r="D91" s="689">
        <v>1</v>
      </c>
      <c r="E91" s="690">
        <f t="shared" si="20"/>
        <v>0.435</v>
      </c>
      <c r="F91" s="690">
        <f t="shared" si="20"/>
        <v>0.129</v>
      </c>
      <c r="G91" s="690">
        <f t="shared" si="20"/>
        <v>0</v>
      </c>
      <c r="H91" s="690">
        <f t="shared" si="20"/>
        <v>0</v>
      </c>
      <c r="I91" s="690">
        <f t="shared" si="20"/>
        <v>9.9000000000000005E-2</v>
      </c>
      <c r="J91" s="690">
        <f t="shared" si="20"/>
        <v>2.7E-2</v>
      </c>
      <c r="K91" s="690">
        <f t="shared" si="20"/>
        <v>8.9999999999999993E-3</v>
      </c>
      <c r="L91" s="690">
        <f t="shared" si="20"/>
        <v>7.1999999999999995E-2</v>
      </c>
      <c r="M91" s="690">
        <f t="shared" si="20"/>
        <v>3.3000000000000002E-2</v>
      </c>
      <c r="N91" s="690">
        <f t="shared" si="20"/>
        <v>0.04</v>
      </c>
      <c r="O91" s="690">
        <f t="shared" si="20"/>
        <v>0.156</v>
      </c>
      <c r="P91" s="697">
        <f t="shared" si="15"/>
        <v>1</v>
      </c>
      <c r="S91" s="696">
        <f t="shared" si="18"/>
        <v>2078</v>
      </c>
      <c r="T91" s="698">
        <v>0</v>
      </c>
      <c r="U91" s="698">
        <v>5</v>
      </c>
      <c r="V91" s="699">
        <f t="shared" si="19"/>
        <v>0</v>
      </c>
      <c r="W91" s="700">
        <v>1</v>
      </c>
      <c r="X91" s="701">
        <f t="shared" si="16"/>
        <v>0</v>
      </c>
    </row>
    <row r="92" spans="2:24">
      <c r="B92" s="696">
        <f t="shared" si="17"/>
        <v>2079</v>
      </c>
      <c r="C92" s="702"/>
      <c r="D92" s="689">
        <v>1</v>
      </c>
      <c r="E92" s="690">
        <f t="shared" si="20"/>
        <v>0.435</v>
      </c>
      <c r="F92" s="690">
        <f t="shared" si="20"/>
        <v>0.129</v>
      </c>
      <c r="G92" s="690">
        <f t="shared" si="20"/>
        <v>0</v>
      </c>
      <c r="H92" s="690">
        <f t="shared" si="20"/>
        <v>0</v>
      </c>
      <c r="I92" s="690">
        <f t="shared" si="20"/>
        <v>9.9000000000000005E-2</v>
      </c>
      <c r="J92" s="690">
        <f t="shared" si="20"/>
        <v>2.7E-2</v>
      </c>
      <c r="K92" s="690">
        <f t="shared" si="20"/>
        <v>8.9999999999999993E-3</v>
      </c>
      <c r="L92" s="690">
        <f t="shared" si="20"/>
        <v>7.1999999999999995E-2</v>
      </c>
      <c r="M92" s="690">
        <f t="shared" si="20"/>
        <v>3.3000000000000002E-2</v>
      </c>
      <c r="N92" s="690">
        <f t="shared" si="20"/>
        <v>0.04</v>
      </c>
      <c r="O92" s="690">
        <f t="shared" si="20"/>
        <v>0.156</v>
      </c>
      <c r="P92" s="697">
        <f t="shared" si="15"/>
        <v>1</v>
      </c>
      <c r="S92" s="696">
        <f t="shared" si="18"/>
        <v>2079</v>
      </c>
      <c r="T92" s="698">
        <v>0</v>
      </c>
      <c r="U92" s="698">
        <v>5</v>
      </c>
      <c r="V92" s="699">
        <f t="shared" si="19"/>
        <v>0</v>
      </c>
      <c r="W92" s="700">
        <v>1</v>
      </c>
      <c r="X92" s="701">
        <f t="shared" si="16"/>
        <v>0</v>
      </c>
    </row>
    <row r="93" spans="2:24" ht="13.5" thickBot="1">
      <c r="B93" s="703">
        <f t="shared" si="17"/>
        <v>2080</v>
      </c>
      <c r="C93" s="704"/>
      <c r="D93" s="689">
        <v>1</v>
      </c>
      <c r="E93" s="705">
        <f t="shared" si="20"/>
        <v>0.435</v>
      </c>
      <c r="F93" s="705">
        <f t="shared" si="20"/>
        <v>0.129</v>
      </c>
      <c r="G93" s="705">
        <f t="shared" si="20"/>
        <v>0</v>
      </c>
      <c r="H93" s="705">
        <f t="shared" si="20"/>
        <v>0</v>
      </c>
      <c r="I93" s="705">
        <f t="shared" si="20"/>
        <v>9.9000000000000005E-2</v>
      </c>
      <c r="J93" s="705">
        <f t="shared" si="20"/>
        <v>2.7E-2</v>
      </c>
      <c r="K93" s="705">
        <f t="shared" si="20"/>
        <v>8.9999999999999993E-3</v>
      </c>
      <c r="L93" s="705">
        <f t="shared" si="20"/>
        <v>7.1999999999999995E-2</v>
      </c>
      <c r="M93" s="705">
        <f t="shared" si="20"/>
        <v>3.3000000000000002E-2</v>
      </c>
      <c r="N93" s="705">
        <f t="shared" si="20"/>
        <v>0.04</v>
      </c>
      <c r="O93" s="706">
        <f t="shared" si="20"/>
        <v>0.156</v>
      </c>
      <c r="P93" s="707">
        <f t="shared" si="15"/>
        <v>1</v>
      </c>
      <c r="S93" s="703">
        <f t="shared" si="18"/>
        <v>2080</v>
      </c>
      <c r="T93" s="708">
        <v>0</v>
      </c>
      <c r="U93" s="709">
        <v>5</v>
      </c>
      <c r="V93" s="710">
        <f t="shared" si="19"/>
        <v>0</v>
      </c>
      <c r="W93" s="711">
        <v>1</v>
      </c>
      <c r="X93" s="712">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41"/>
    <col min="2" max="2" width="7.42578125" style="441" customWidth="1"/>
    <col min="3" max="3" width="10.42578125" style="441" customWidth="1"/>
    <col min="4" max="4" width="10.28515625" style="441" customWidth="1"/>
    <col min="5" max="5" width="11.140625" style="441" customWidth="1"/>
    <col min="6" max="7" width="11.42578125" style="441" customWidth="1"/>
    <col min="8" max="8" width="8.7109375" style="441" customWidth="1"/>
    <col min="9" max="9" width="11" style="441" customWidth="1"/>
    <col min="10" max="16384" width="8.85546875" style="441"/>
  </cols>
  <sheetData>
    <row r="2" spans="2:16" ht="18">
      <c r="B2" s="440" t="s">
        <v>241</v>
      </c>
    </row>
    <row r="3" spans="2:16" ht="13.5" thickBot="1">
      <c r="B3" s="479" t="s">
        <v>274</v>
      </c>
    </row>
    <row r="4" spans="2:16" ht="25.5">
      <c r="B4" s="484" t="s">
        <v>1</v>
      </c>
      <c r="C4" s="485" t="s">
        <v>6</v>
      </c>
      <c r="D4" s="486" t="s">
        <v>269</v>
      </c>
      <c r="E4" s="486" t="s">
        <v>267</v>
      </c>
      <c r="F4" s="486" t="s">
        <v>139</v>
      </c>
      <c r="G4" s="486" t="s">
        <v>2</v>
      </c>
      <c r="H4" s="485" t="s">
        <v>16</v>
      </c>
      <c r="I4" s="485" t="s">
        <v>229</v>
      </c>
      <c r="J4" s="485" t="s">
        <v>230</v>
      </c>
      <c r="K4" s="485" t="s">
        <v>231</v>
      </c>
      <c r="L4" s="485" t="s">
        <v>232</v>
      </c>
      <c r="M4" s="487" t="s">
        <v>233</v>
      </c>
      <c r="N4" s="487" t="s">
        <v>146</v>
      </c>
      <c r="O4" s="487" t="s">
        <v>204</v>
      </c>
      <c r="P4" s="487" t="s">
        <v>308</v>
      </c>
    </row>
    <row r="5" spans="2:16" ht="13.5" thickBot="1">
      <c r="B5" s="488"/>
      <c r="C5" s="483" t="s">
        <v>24</v>
      </c>
      <c r="D5" s="483" t="s">
        <v>24</v>
      </c>
      <c r="E5" s="483" t="s">
        <v>24</v>
      </c>
      <c r="F5" s="483" t="s">
        <v>24</v>
      </c>
      <c r="G5" s="483" t="s">
        <v>24</v>
      </c>
      <c r="H5" s="483" t="s">
        <v>24</v>
      </c>
      <c r="I5" s="483" t="s">
        <v>24</v>
      </c>
      <c r="J5" s="483" t="s">
        <v>24</v>
      </c>
      <c r="K5" s="483" t="s">
        <v>24</v>
      </c>
      <c r="L5" s="483" t="s">
        <v>24</v>
      </c>
      <c r="M5" s="483" t="s">
        <v>24</v>
      </c>
      <c r="N5" s="483" t="s">
        <v>24</v>
      </c>
      <c r="O5" s="483" t="s">
        <v>24</v>
      </c>
      <c r="P5" s="483" t="s">
        <v>24</v>
      </c>
    </row>
    <row r="6" spans="2:16">
      <c r="B6" s="447">
        <f>year</f>
        <v>2000</v>
      </c>
      <c r="C6" s="482">
        <v>0.59</v>
      </c>
      <c r="D6" s="482">
        <v>0.44</v>
      </c>
      <c r="E6" s="482">
        <v>0.44</v>
      </c>
      <c r="F6" s="482">
        <v>0.56999999999999995</v>
      </c>
      <c r="G6" s="482">
        <v>0.56999999999999995</v>
      </c>
      <c r="H6" s="482">
        <v>0.73</v>
      </c>
      <c r="I6" s="482">
        <v>0.89</v>
      </c>
      <c r="J6" s="482">
        <v>0.56999999999999995</v>
      </c>
      <c r="K6" s="482">
        <v>0.97</v>
      </c>
      <c r="L6" s="482">
        <v>0.66</v>
      </c>
      <c r="M6" s="482">
        <v>0.95</v>
      </c>
      <c r="N6" s="482">
        <v>0</v>
      </c>
      <c r="O6" s="482">
        <v>0</v>
      </c>
      <c r="P6" s="482">
        <v>0</v>
      </c>
    </row>
    <row r="7" spans="2:16">
      <c r="B7" s="442">
        <f>B6+1</f>
        <v>2001</v>
      </c>
      <c r="C7" s="482">
        <v>0.59</v>
      </c>
      <c r="D7" s="482">
        <v>0.44</v>
      </c>
      <c r="E7" s="482">
        <v>0.44</v>
      </c>
      <c r="F7" s="482">
        <v>0.56999999999999995</v>
      </c>
      <c r="G7" s="482">
        <v>0.56999999999999995</v>
      </c>
      <c r="H7" s="482">
        <v>0.73</v>
      </c>
      <c r="I7" s="482">
        <v>0.89</v>
      </c>
      <c r="J7" s="482">
        <v>0.56999999999999995</v>
      </c>
      <c r="K7" s="482">
        <v>0.97</v>
      </c>
      <c r="L7" s="482">
        <v>0.66</v>
      </c>
      <c r="M7" s="482">
        <v>0.95</v>
      </c>
      <c r="N7" s="482">
        <v>0</v>
      </c>
      <c r="O7" s="482">
        <v>0</v>
      </c>
      <c r="P7" s="482">
        <v>0</v>
      </c>
    </row>
    <row r="8" spans="2:16">
      <c r="B8" s="442">
        <f t="shared" ref="B8:B71" si="0">B7+1</f>
        <v>2002</v>
      </c>
      <c r="C8" s="482">
        <v>0.59</v>
      </c>
      <c r="D8" s="482">
        <v>0.44</v>
      </c>
      <c r="E8" s="482">
        <v>0.44</v>
      </c>
      <c r="F8" s="482">
        <v>0.56999999999999995</v>
      </c>
      <c r="G8" s="482">
        <v>0.56999999999999995</v>
      </c>
      <c r="H8" s="482">
        <v>0.73</v>
      </c>
      <c r="I8" s="482">
        <v>0.89</v>
      </c>
      <c r="J8" s="482">
        <v>0.56999999999999995</v>
      </c>
      <c r="K8" s="482">
        <v>0.97</v>
      </c>
      <c r="L8" s="482">
        <v>0.66</v>
      </c>
      <c r="M8" s="482">
        <v>0.95</v>
      </c>
      <c r="N8" s="482">
        <v>0</v>
      </c>
      <c r="O8" s="482">
        <v>0</v>
      </c>
      <c r="P8" s="482">
        <v>0</v>
      </c>
    </row>
    <row r="9" spans="2:16">
      <c r="B9" s="442">
        <f t="shared" si="0"/>
        <v>2003</v>
      </c>
      <c r="C9" s="482">
        <v>0.59</v>
      </c>
      <c r="D9" s="482">
        <v>0.44</v>
      </c>
      <c r="E9" s="482">
        <v>0.44</v>
      </c>
      <c r="F9" s="482">
        <v>0.56999999999999995</v>
      </c>
      <c r="G9" s="482">
        <v>0.56999999999999995</v>
      </c>
      <c r="H9" s="482">
        <v>0.73</v>
      </c>
      <c r="I9" s="482">
        <v>0.89</v>
      </c>
      <c r="J9" s="482">
        <v>0.56999999999999995</v>
      </c>
      <c r="K9" s="482">
        <v>0.97</v>
      </c>
      <c r="L9" s="482">
        <v>0.66</v>
      </c>
      <c r="M9" s="482">
        <v>0.95</v>
      </c>
      <c r="N9" s="482">
        <v>0</v>
      </c>
      <c r="O9" s="482">
        <v>0</v>
      </c>
      <c r="P9" s="482">
        <v>0</v>
      </c>
    </row>
    <row r="10" spans="2:16">
      <c r="B10" s="442">
        <f t="shared" si="0"/>
        <v>2004</v>
      </c>
      <c r="C10" s="482">
        <v>0.59</v>
      </c>
      <c r="D10" s="482">
        <v>0.44</v>
      </c>
      <c r="E10" s="482">
        <v>0.44</v>
      </c>
      <c r="F10" s="482">
        <v>0.56999999999999995</v>
      </c>
      <c r="G10" s="482">
        <v>0.56999999999999995</v>
      </c>
      <c r="H10" s="482">
        <v>0.73</v>
      </c>
      <c r="I10" s="482">
        <v>0.89</v>
      </c>
      <c r="J10" s="482">
        <v>0.56999999999999995</v>
      </c>
      <c r="K10" s="482">
        <v>0.97</v>
      </c>
      <c r="L10" s="482">
        <v>0.66</v>
      </c>
      <c r="M10" s="482">
        <v>0.95</v>
      </c>
      <c r="N10" s="482">
        <v>0</v>
      </c>
      <c r="O10" s="482">
        <v>0</v>
      </c>
      <c r="P10" s="482">
        <v>0</v>
      </c>
    </row>
    <row r="11" spans="2:16">
      <c r="B11" s="442">
        <f t="shared" si="0"/>
        <v>2005</v>
      </c>
      <c r="C11" s="482">
        <v>0.59</v>
      </c>
      <c r="D11" s="482">
        <v>0.44</v>
      </c>
      <c r="E11" s="482">
        <v>0.44</v>
      </c>
      <c r="F11" s="482">
        <v>0.56999999999999995</v>
      </c>
      <c r="G11" s="482">
        <v>0.56999999999999995</v>
      </c>
      <c r="H11" s="482">
        <v>0.73</v>
      </c>
      <c r="I11" s="482">
        <v>0.89</v>
      </c>
      <c r="J11" s="482">
        <v>0.56999999999999995</v>
      </c>
      <c r="K11" s="482">
        <v>0.97</v>
      </c>
      <c r="L11" s="482">
        <v>0.66</v>
      </c>
      <c r="M11" s="482">
        <v>0.95</v>
      </c>
      <c r="N11" s="482">
        <v>0</v>
      </c>
      <c r="O11" s="482">
        <v>0</v>
      </c>
      <c r="P11" s="482">
        <v>0</v>
      </c>
    </row>
    <row r="12" spans="2:16">
      <c r="B12" s="442">
        <f t="shared" si="0"/>
        <v>2006</v>
      </c>
      <c r="C12" s="482">
        <v>0.59</v>
      </c>
      <c r="D12" s="482">
        <v>0.44</v>
      </c>
      <c r="E12" s="482">
        <v>0.44</v>
      </c>
      <c r="F12" s="482">
        <v>0.56999999999999995</v>
      </c>
      <c r="G12" s="482">
        <v>0.56999999999999995</v>
      </c>
      <c r="H12" s="482">
        <v>0.73</v>
      </c>
      <c r="I12" s="482">
        <v>0.89</v>
      </c>
      <c r="J12" s="482">
        <v>0.56999999999999995</v>
      </c>
      <c r="K12" s="482">
        <v>0.97</v>
      </c>
      <c r="L12" s="482">
        <v>0.66</v>
      </c>
      <c r="M12" s="482">
        <v>0.95</v>
      </c>
      <c r="N12" s="482">
        <v>0</v>
      </c>
      <c r="O12" s="482">
        <v>0</v>
      </c>
      <c r="P12" s="482">
        <v>0</v>
      </c>
    </row>
    <row r="13" spans="2:16">
      <c r="B13" s="442">
        <f t="shared" si="0"/>
        <v>2007</v>
      </c>
      <c r="C13" s="482">
        <v>0.59</v>
      </c>
      <c r="D13" s="482">
        <v>0.44</v>
      </c>
      <c r="E13" s="482">
        <v>0.44</v>
      </c>
      <c r="F13" s="482">
        <v>0.56999999999999995</v>
      </c>
      <c r="G13" s="482">
        <v>0.56999999999999995</v>
      </c>
      <c r="H13" s="482">
        <v>0.73</v>
      </c>
      <c r="I13" s="482">
        <v>0.89</v>
      </c>
      <c r="J13" s="482">
        <v>0.56999999999999995</v>
      </c>
      <c r="K13" s="482">
        <v>0.97</v>
      </c>
      <c r="L13" s="482">
        <v>0.66</v>
      </c>
      <c r="M13" s="482">
        <v>0.95</v>
      </c>
      <c r="N13" s="482">
        <v>0</v>
      </c>
      <c r="O13" s="482">
        <v>0</v>
      </c>
      <c r="P13" s="482">
        <v>0</v>
      </c>
    </row>
    <row r="14" spans="2:16">
      <c r="B14" s="442">
        <f t="shared" si="0"/>
        <v>2008</v>
      </c>
      <c r="C14" s="482">
        <v>0.59</v>
      </c>
      <c r="D14" s="482">
        <v>0.44</v>
      </c>
      <c r="E14" s="482">
        <v>0.44</v>
      </c>
      <c r="F14" s="482">
        <v>0.56999999999999995</v>
      </c>
      <c r="G14" s="482">
        <v>0.56999999999999995</v>
      </c>
      <c r="H14" s="482">
        <v>0.73</v>
      </c>
      <c r="I14" s="482">
        <v>0.89</v>
      </c>
      <c r="J14" s="482">
        <v>0.56999999999999995</v>
      </c>
      <c r="K14" s="482">
        <v>0.97</v>
      </c>
      <c r="L14" s="482">
        <v>0.66</v>
      </c>
      <c r="M14" s="482">
        <v>0.95</v>
      </c>
      <c r="N14" s="482">
        <v>0</v>
      </c>
      <c r="O14" s="482">
        <v>0</v>
      </c>
      <c r="P14" s="482">
        <v>0</v>
      </c>
    </row>
    <row r="15" spans="2:16">
      <c r="B15" s="442">
        <f t="shared" si="0"/>
        <v>2009</v>
      </c>
      <c r="C15" s="482">
        <v>0.59</v>
      </c>
      <c r="D15" s="482">
        <v>0.44</v>
      </c>
      <c r="E15" s="482">
        <v>0.44</v>
      </c>
      <c r="F15" s="482">
        <v>0.56999999999999995</v>
      </c>
      <c r="G15" s="482">
        <v>0.56999999999999995</v>
      </c>
      <c r="H15" s="482">
        <v>0.73</v>
      </c>
      <c r="I15" s="482">
        <v>0.89</v>
      </c>
      <c r="J15" s="482">
        <v>0.56999999999999995</v>
      </c>
      <c r="K15" s="482">
        <v>0.97</v>
      </c>
      <c r="L15" s="482">
        <v>0.66</v>
      </c>
      <c r="M15" s="482">
        <v>0.95</v>
      </c>
      <c r="N15" s="482">
        <v>0</v>
      </c>
      <c r="O15" s="482">
        <v>0</v>
      </c>
      <c r="P15" s="482">
        <v>0</v>
      </c>
    </row>
    <row r="16" spans="2:16">
      <c r="B16" s="442">
        <f t="shared" si="0"/>
        <v>2010</v>
      </c>
      <c r="C16" s="482">
        <v>0.59</v>
      </c>
      <c r="D16" s="482">
        <v>0.44</v>
      </c>
      <c r="E16" s="482">
        <v>0.44</v>
      </c>
      <c r="F16" s="482">
        <v>0.56999999999999995</v>
      </c>
      <c r="G16" s="482">
        <v>0.56999999999999995</v>
      </c>
      <c r="H16" s="482">
        <v>0.73</v>
      </c>
      <c r="I16" s="482">
        <v>0.89</v>
      </c>
      <c r="J16" s="482">
        <v>0.56999999999999995</v>
      </c>
      <c r="K16" s="482">
        <v>0.97</v>
      </c>
      <c r="L16" s="482">
        <v>0.66</v>
      </c>
      <c r="M16" s="482">
        <v>0.95</v>
      </c>
      <c r="N16" s="482">
        <v>0</v>
      </c>
      <c r="O16" s="482">
        <v>0</v>
      </c>
      <c r="P16" s="482">
        <v>0</v>
      </c>
    </row>
    <row r="17" spans="2:20">
      <c r="B17" s="442">
        <f t="shared" si="0"/>
        <v>2011</v>
      </c>
      <c r="C17" s="482">
        <v>0.59</v>
      </c>
      <c r="D17" s="482">
        <v>0.44</v>
      </c>
      <c r="E17" s="482">
        <v>0.44</v>
      </c>
      <c r="F17" s="482">
        <v>0.56999999999999995</v>
      </c>
      <c r="G17" s="482">
        <v>0.56999999999999995</v>
      </c>
      <c r="H17" s="482">
        <v>0.73</v>
      </c>
      <c r="I17" s="482">
        <v>0.89</v>
      </c>
      <c r="J17" s="482">
        <v>0.56999999999999995</v>
      </c>
      <c r="K17" s="482">
        <v>0.97</v>
      </c>
      <c r="L17" s="482">
        <v>0.66</v>
      </c>
      <c r="M17" s="482">
        <v>0.95</v>
      </c>
      <c r="N17" s="482">
        <v>0</v>
      </c>
      <c r="O17" s="482">
        <v>0</v>
      </c>
      <c r="P17" s="482">
        <v>0</v>
      </c>
    </row>
    <row r="18" spans="2:20">
      <c r="B18" s="442">
        <f t="shared" si="0"/>
        <v>2012</v>
      </c>
      <c r="C18" s="482">
        <v>0.59</v>
      </c>
      <c r="D18" s="482">
        <v>0.44</v>
      </c>
      <c r="E18" s="482">
        <v>0.44</v>
      </c>
      <c r="F18" s="482">
        <v>0.56999999999999995</v>
      </c>
      <c r="G18" s="482">
        <v>0.56999999999999995</v>
      </c>
      <c r="H18" s="482">
        <v>0.73</v>
      </c>
      <c r="I18" s="482">
        <v>0.89</v>
      </c>
      <c r="J18" s="482">
        <v>0.56999999999999995</v>
      </c>
      <c r="K18" s="482">
        <v>0.97</v>
      </c>
      <c r="L18" s="482">
        <v>0.66</v>
      </c>
      <c r="M18" s="482">
        <v>0.95</v>
      </c>
      <c r="N18" s="482">
        <v>0</v>
      </c>
      <c r="O18" s="482">
        <v>0</v>
      </c>
      <c r="P18" s="482">
        <v>0</v>
      </c>
      <c r="S18" s="443"/>
      <c r="T18" s="444"/>
    </row>
    <row r="19" spans="2:20">
      <c r="B19" s="442">
        <f t="shared" si="0"/>
        <v>2013</v>
      </c>
      <c r="C19" s="482">
        <v>0.59</v>
      </c>
      <c r="D19" s="482">
        <v>0.44</v>
      </c>
      <c r="E19" s="482">
        <v>0.44</v>
      </c>
      <c r="F19" s="482">
        <v>0.56999999999999995</v>
      </c>
      <c r="G19" s="482">
        <v>0.56999999999999995</v>
      </c>
      <c r="H19" s="482">
        <v>0.73</v>
      </c>
      <c r="I19" s="482">
        <v>0.89</v>
      </c>
      <c r="J19" s="482">
        <v>0.56999999999999995</v>
      </c>
      <c r="K19" s="482">
        <v>0.97</v>
      </c>
      <c r="L19" s="482">
        <v>0.66</v>
      </c>
      <c r="M19" s="482">
        <v>0.95</v>
      </c>
      <c r="N19" s="482">
        <v>0</v>
      </c>
      <c r="O19" s="482">
        <v>0</v>
      </c>
      <c r="P19" s="482">
        <v>0</v>
      </c>
      <c r="S19" s="443"/>
      <c r="T19" s="445"/>
    </row>
    <row r="20" spans="2:20">
      <c r="B20" s="442">
        <f t="shared" si="0"/>
        <v>2014</v>
      </c>
      <c r="C20" s="482">
        <v>0.59</v>
      </c>
      <c r="D20" s="482">
        <v>0.44</v>
      </c>
      <c r="E20" s="482">
        <v>0.44</v>
      </c>
      <c r="F20" s="482">
        <v>0.56999999999999995</v>
      </c>
      <c r="G20" s="482">
        <v>0.56999999999999995</v>
      </c>
      <c r="H20" s="482">
        <v>0.73</v>
      </c>
      <c r="I20" s="482">
        <v>0.89</v>
      </c>
      <c r="J20" s="482">
        <v>0.56999999999999995</v>
      </c>
      <c r="K20" s="482">
        <v>0.97</v>
      </c>
      <c r="L20" s="482">
        <v>0.66</v>
      </c>
      <c r="M20" s="482">
        <v>0.95</v>
      </c>
      <c r="N20" s="482">
        <v>0</v>
      </c>
      <c r="O20" s="482">
        <v>0</v>
      </c>
      <c r="P20" s="482">
        <v>0</v>
      </c>
      <c r="S20" s="443"/>
      <c r="T20" s="445"/>
    </row>
    <row r="21" spans="2:20">
      <c r="B21" s="442">
        <f t="shared" si="0"/>
        <v>2015</v>
      </c>
      <c r="C21" s="482">
        <v>0.59</v>
      </c>
      <c r="D21" s="482">
        <v>0.44</v>
      </c>
      <c r="E21" s="482">
        <v>0.44</v>
      </c>
      <c r="F21" s="482">
        <v>0.56999999999999995</v>
      </c>
      <c r="G21" s="482">
        <v>0.56999999999999995</v>
      </c>
      <c r="H21" s="482">
        <v>0.73</v>
      </c>
      <c r="I21" s="482">
        <v>0.89</v>
      </c>
      <c r="J21" s="482">
        <v>0.56999999999999995</v>
      </c>
      <c r="K21" s="482">
        <v>0.97</v>
      </c>
      <c r="L21" s="482">
        <v>0.66</v>
      </c>
      <c r="M21" s="482">
        <v>0.95</v>
      </c>
      <c r="N21" s="482">
        <v>0</v>
      </c>
      <c r="O21" s="482">
        <v>0</v>
      </c>
      <c r="P21" s="482">
        <v>0</v>
      </c>
      <c r="S21" s="443"/>
      <c r="T21" s="445"/>
    </row>
    <row r="22" spans="2:20">
      <c r="B22" s="442">
        <f t="shared" si="0"/>
        <v>2016</v>
      </c>
      <c r="C22" s="482">
        <v>0.59</v>
      </c>
      <c r="D22" s="482">
        <v>0.44</v>
      </c>
      <c r="E22" s="482">
        <v>0.44</v>
      </c>
      <c r="F22" s="482">
        <v>0.56999999999999995</v>
      </c>
      <c r="G22" s="482">
        <v>0.56999999999999995</v>
      </c>
      <c r="H22" s="482">
        <v>0.73</v>
      </c>
      <c r="I22" s="482">
        <v>0.89</v>
      </c>
      <c r="J22" s="482">
        <v>0.56999999999999995</v>
      </c>
      <c r="K22" s="482">
        <v>0.97</v>
      </c>
      <c r="L22" s="482">
        <v>0.66</v>
      </c>
      <c r="M22" s="482">
        <v>0.95</v>
      </c>
      <c r="N22" s="482">
        <v>0</v>
      </c>
      <c r="O22" s="482">
        <v>0</v>
      </c>
      <c r="P22" s="482">
        <v>0</v>
      </c>
      <c r="S22" s="443"/>
      <c r="T22" s="445"/>
    </row>
    <row r="23" spans="2:20">
      <c r="B23" s="442">
        <f t="shared" si="0"/>
        <v>2017</v>
      </c>
      <c r="C23" s="482">
        <v>0.59</v>
      </c>
      <c r="D23" s="482">
        <v>0.44</v>
      </c>
      <c r="E23" s="482">
        <v>0.44</v>
      </c>
      <c r="F23" s="482">
        <v>0.56999999999999995</v>
      </c>
      <c r="G23" s="482">
        <v>0.56999999999999995</v>
      </c>
      <c r="H23" s="482">
        <v>0.73</v>
      </c>
      <c r="I23" s="482">
        <v>0.89</v>
      </c>
      <c r="J23" s="482">
        <v>0.56999999999999995</v>
      </c>
      <c r="K23" s="482">
        <v>0.97</v>
      </c>
      <c r="L23" s="482">
        <v>0.66</v>
      </c>
      <c r="M23" s="482">
        <v>0.95</v>
      </c>
      <c r="N23" s="482">
        <v>0</v>
      </c>
      <c r="O23" s="482">
        <v>0</v>
      </c>
      <c r="P23" s="482">
        <v>0</v>
      </c>
      <c r="S23" s="443"/>
      <c r="T23" s="445"/>
    </row>
    <row r="24" spans="2:20">
      <c r="B24" s="442">
        <f t="shared" si="0"/>
        <v>2018</v>
      </c>
      <c r="C24" s="482">
        <v>0.59</v>
      </c>
      <c r="D24" s="482">
        <v>0.44</v>
      </c>
      <c r="E24" s="482">
        <v>0.44</v>
      </c>
      <c r="F24" s="482">
        <v>0.56999999999999995</v>
      </c>
      <c r="G24" s="482">
        <v>0.56999999999999995</v>
      </c>
      <c r="H24" s="482">
        <v>0.73</v>
      </c>
      <c r="I24" s="482">
        <v>0.89</v>
      </c>
      <c r="J24" s="482">
        <v>0.56999999999999995</v>
      </c>
      <c r="K24" s="482">
        <v>0.97</v>
      </c>
      <c r="L24" s="482">
        <v>0.66</v>
      </c>
      <c r="M24" s="482">
        <v>0.95</v>
      </c>
      <c r="N24" s="482">
        <v>0</v>
      </c>
      <c r="O24" s="482">
        <v>0</v>
      </c>
      <c r="P24" s="482">
        <v>0</v>
      </c>
      <c r="S24" s="443"/>
      <c r="T24" s="445"/>
    </row>
    <row r="25" spans="2:20">
      <c r="B25" s="442">
        <f t="shared" si="0"/>
        <v>2019</v>
      </c>
      <c r="C25" s="482">
        <v>0.59</v>
      </c>
      <c r="D25" s="482">
        <v>0.44</v>
      </c>
      <c r="E25" s="482">
        <v>0.44</v>
      </c>
      <c r="F25" s="482">
        <v>0.56999999999999995</v>
      </c>
      <c r="G25" s="482">
        <v>0.56999999999999995</v>
      </c>
      <c r="H25" s="482">
        <v>0.73</v>
      </c>
      <c r="I25" s="482">
        <v>0.89</v>
      </c>
      <c r="J25" s="482">
        <v>0.56999999999999995</v>
      </c>
      <c r="K25" s="482">
        <v>0.97</v>
      </c>
      <c r="L25" s="482">
        <v>0.66</v>
      </c>
      <c r="M25" s="482">
        <v>0.95</v>
      </c>
      <c r="N25" s="482">
        <v>0</v>
      </c>
      <c r="O25" s="482">
        <v>0</v>
      </c>
      <c r="P25" s="482">
        <v>0</v>
      </c>
      <c r="S25" s="443"/>
      <c r="T25" s="445"/>
    </row>
    <row r="26" spans="2:20">
      <c r="B26" s="442">
        <f t="shared" si="0"/>
        <v>2020</v>
      </c>
      <c r="C26" s="482">
        <v>0.59</v>
      </c>
      <c r="D26" s="482">
        <v>0.44</v>
      </c>
      <c r="E26" s="482">
        <v>0.44</v>
      </c>
      <c r="F26" s="482">
        <v>0.56999999999999995</v>
      </c>
      <c r="G26" s="482">
        <v>0.56999999999999995</v>
      </c>
      <c r="H26" s="482">
        <v>0.73</v>
      </c>
      <c r="I26" s="482">
        <v>0.89</v>
      </c>
      <c r="J26" s="482">
        <v>0.56999999999999995</v>
      </c>
      <c r="K26" s="482">
        <v>0.97</v>
      </c>
      <c r="L26" s="482">
        <v>0.66</v>
      </c>
      <c r="M26" s="482">
        <v>0.95</v>
      </c>
      <c r="N26" s="482">
        <v>0</v>
      </c>
      <c r="O26" s="482">
        <v>0</v>
      </c>
      <c r="P26" s="482">
        <v>0</v>
      </c>
      <c r="S26" s="443"/>
      <c r="T26" s="445"/>
    </row>
    <row r="27" spans="2:20">
      <c r="B27" s="442">
        <f t="shared" si="0"/>
        <v>2021</v>
      </c>
      <c r="C27" s="482">
        <v>0.59</v>
      </c>
      <c r="D27" s="482">
        <v>0.44</v>
      </c>
      <c r="E27" s="482">
        <v>0.44</v>
      </c>
      <c r="F27" s="482">
        <v>0.56999999999999995</v>
      </c>
      <c r="G27" s="482">
        <v>0.56999999999999995</v>
      </c>
      <c r="H27" s="482">
        <v>0.73</v>
      </c>
      <c r="I27" s="482">
        <v>0.89</v>
      </c>
      <c r="J27" s="482">
        <v>0.56999999999999995</v>
      </c>
      <c r="K27" s="482">
        <v>0.97</v>
      </c>
      <c r="L27" s="482">
        <v>0.66</v>
      </c>
      <c r="M27" s="482">
        <v>0.95</v>
      </c>
      <c r="N27" s="482">
        <v>0</v>
      </c>
      <c r="O27" s="482">
        <v>0</v>
      </c>
      <c r="P27" s="482">
        <v>0</v>
      </c>
      <c r="S27" s="446"/>
      <c r="T27" s="445"/>
    </row>
    <row r="28" spans="2:20">
      <c r="B28" s="442">
        <f t="shared" si="0"/>
        <v>2022</v>
      </c>
      <c r="C28" s="482">
        <v>0.59</v>
      </c>
      <c r="D28" s="482">
        <v>0.44</v>
      </c>
      <c r="E28" s="482">
        <v>0.44</v>
      </c>
      <c r="F28" s="482">
        <v>0.56999999999999995</v>
      </c>
      <c r="G28" s="482">
        <v>0.56999999999999995</v>
      </c>
      <c r="H28" s="482">
        <v>0.73</v>
      </c>
      <c r="I28" s="482">
        <v>0.89</v>
      </c>
      <c r="J28" s="482">
        <v>0.56999999999999995</v>
      </c>
      <c r="K28" s="482">
        <v>0.97</v>
      </c>
      <c r="L28" s="482">
        <v>0.66</v>
      </c>
      <c r="M28" s="482">
        <v>0.95</v>
      </c>
      <c r="N28" s="482">
        <v>0</v>
      </c>
      <c r="O28" s="482">
        <v>0</v>
      </c>
      <c r="P28" s="482">
        <v>0</v>
      </c>
    </row>
    <row r="29" spans="2:20">
      <c r="B29" s="442">
        <f t="shared" si="0"/>
        <v>2023</v>
      </c>
      <c r="C29" s="482">
        <v>0.59</v>
      </c>
      <c r="D29" s="482">
        <v>0.44</v>
      </c>
      <c r="E29" s="482">
        <v>0.44</v>
      </c>
      <c r="F29" s="482">
        <v>0.56999999999999995</v>
      </c>
      <c r="G29" s="482">
        <v>0.56999999999999995</v>
      </c>
      <c r="H29" s="482">
        <v>0.73</v>
      </c>
      <c r="I29" s="482">
        <v>0.89</v>
      </c>
      <c r="J29" s="482">
        <v>0.56999999999999995</v>
      </c>
      <c r="K29" s="482">
        <v>0.97</v>
      </c>
      <c r="L29" s="482">
        <v>0.66</v>
      </c>
      <c r="M29" s="482">
        <v>0.95</v>
      </c>
      <c r="N29" s="482">
        <v>0</v>
      </c>
      <c r="O29" s="482">
        <v>0</v>
      </c>
      <c r="P29" s="482">
        <v>0</v>
      </c>
    </row>
    <row r="30" spans="2:20">
      <c r="B30" s="442">
        <f t="shared" si="0"/>
        <v>2024</v>
      </c>
      <c r="C30" s="482">
        <v>0.59</v>
      </c>
      <c r="D30" s="482">
        <v>0.44</v>
      </c>
      <c r="E30" s="482">
        <v>0.44</v>
      </c>
      <c r="F30" s="482">
        <v>0.56999999999999995</v>
      </c>
      <c r="G30" s="482">
        <v>0.56999999999999995</v>
      </c>
      <c r="H30" s="482">
        <v>0.73</v>
      </c>
      <c r="I30" s="482">
        <v>0.89</v>
      </c>
      <c r="J30" s="482">
        <v>0.56999999999999995</v>
      </c>
      <c r="K30" s="482">
        <v>0.97</v>
      </c>
      <c r="L30" s="482">
        <v>0.66</v>
      </c>
      <c r="M30" s="482">
        <v>0.95</v>
      </c>
      <c r="N30" s="482">
        <v>0</v>
      </c>
      <c r="O30" s="482">
        <v>0</v>
      </c>
      <c r="P30" s="482">
        <v>0</v>
      </c>
    </row>
    <row r="31" spans="2:20">
      <c r="B31" s="442">
        <f t="shared" si="0"/>
        <v>2025</v>
      </c>
      <c r="C31" s="482">
        <v>0.59</v>
      </c>
      <c r="D31" s="482">
        <v>0.44</v>
      </c>
      <c r="E31" s="482">
        <v>0.44</v>
      </c>
      <c r="F31" s="482">
        <v>0.56999999999999995</v>
      </c>
      <c r="G31" s="482">
        <v>0.56999999999999995</v>
      </c>
      <c r="H31" s="482">
        <v>0.73</v>
      </c>
      <c r="I31" s="482">
        <v>0.89</v>
      </c>
      <c r="J31" s="482">
        <v>0.56999999999999995</v>
      </c>
      <c r="K31" s="482">
        <v>0.97</v>
      </c>
      <c r="L31" s="482">
        <v>0.66</v>
      </c>
      <c r="M31" s="482">
        <v>0.95</v>
      </c>
      <c r="N31" s="482">
        <v>0</v>
      </c>
      <c r="O31" s="482">
        <v>0</v>
      </c>
      <c r="P31" s="482">
        <v>0</v>
      </c>
    </row>
    <row r="32" spans="2:20">
      <c r="B32" s="442">
        <f t="shared" si="0"/>
        <v>2026</v>
      </c>
      <c r="C32" s="482">
        <v>0.59</v>
      </c>
      <c r="D32" s="482">
        <v>0.44</v>
      </c>
      <c r="E32" s="482">
        <v>0.44</v>
      </c>
      <c r="F32" s="482">
        <v>0.56999999999999995</v>
      </c>
      <c r="G32" s="482">
        <v>0.56999999999999995</v>
      </c>
      <c r="H32" s="482">
        <v>0.73</v>
      </c>
      <c r="I32" s="482">
        <v>0.89</v>
      </c>
      <c r="J32" s="482">
        <v>0.56999999999999995</v>
      </c>
      <c r="K32" s="482">
        <v>0.97</v>
      </c>
      <c r="L32" s="482">
        <v>0.66</v>
      </c>
      <c r="M32" s="482">
        <v>0.95</v>
      </c>
      <c r="N32" s="482">
        <v>0</v>
      </c>
      <c r="O32" s="482">
        <v>0</v>
      </c>
      <c r="P32" s="482">
        <v>0</v>
      </c>
    </row>
    <row r="33" spans="2:16">
      <c r="B33" s="442">
        <f t="shared" si="0"/>
        <v>2027</v>
      </c>
      <c r="C33" s="482">
        <v>0.59</v>
      </c>
      <c r="D33" s="482">
        <v>0.44</v>
      </c>
      <c r="E33" s="482">
        <v>0.44</v>
      </c>
      <c r="F33" s="482">
        <v>0.56999999999999995</v>
      </c>
      <c r="G33" s="482">
        <v>0.56999999999999995</v>
      </c>
      <c r="H33" s="482">
        <v>0.73</v>
      </c>
      <c r="I33" s="482">
        <v>0.89</v>
      </c>
      <c r="J33" s="482">
        <v>0.56999999999999995</v>
      </c>
      <c r="K33" s="482">
        <v>0.97</v>
      </c>
      <c r="L33" s="482">
        <v>0.66</v>
      </c>
      <c r="M33" s="482">
        <v>0.95</v>
      </c>
      <c r="N33" s="482">
        <v>0</v>
      </c>
      <c r="O33" s="482">
        <v>0</v>
      </c>
      <c r="P33" s="482">
        <v>0</v>
      </c>
    </row>
    <row r="34" spans="2:16">
      <c r="B34" s="442">
        <f t="shared" si="0"/>
        <v>2028</v>
      </c>
      <c r="C34" s="482">
        <v>0.59</v>
      </c>
      <c r="D34" s="482">
        <v>0.44</v>
      </c>
      <c r="E34" s="482">
        <v>0.44</v>
      </c>
      <c r="F34" s="482">
        <v>0.56999999999999995</v>
      </c>
      <c r="G34" s="482">
        <v>0.56999999999999995</v>
      </c>
      <c r="H34" s="482">
        <v>0.73</v>
      </c>
      <c r="I34" s="482">
        <v>0.89</v>
      </c>
      <c r="J34" s="482">
        <v>0.56999999999999995</v>
      </c>
      <c r="K34" s="482">
        <v>0.97</v>
      </c>
      <c r="L34" s="482">
        <v>0.66</v>
      </c>
      <c r="M34" s="482">
        <v>0.95</v>
      </c>
      <c r="N34" s="482">
        <v>0</v>
      </c>
      <c r="O34" s="482">
        <v>0</v>
      </c>
      <c r="P34" s="482">
        <v>0</v>
      </c>
    </row>
    <row r="35" spans="2:16">
      <c r="B35" s="442">
        <f t="shared" si="0"/>
        <v>2029</v>
      </c>
      <c r="C35" s="482">
        <v>0.59</v>
      </c>
      <c r="D35" s="482">
        <v>0.44</v>
      </c>
      <c r="E35" s="482">
        <v>0.44</v>
      </c>
      <c r="F35" s="482">
        <v>0.56999999999999995</v>
      </c>
      <c r="G35" s="482">
        <v>0.56999999999999995</v>
      </c>
      <c r="H35" s="482">
        <v>0.73</v>
      </c>
      <c r="I35" s="482">
        <v>0.89</v>
      </c>
      <c r="J35" s="482">
        <v>0.56999999999999995</v>
      </c>
      <c r="K35" s="482">
        <v>0.97</v>
      </c>
      <c r="L35" s="482">
        <v>0.66</v>
      </c>
      <c r="M35" s="482">
        <v>0.95</v>
      </c>
      <c r="N35" s="482">
        <v>0</v>
      </c>
      <c r="O35" s="482">
        <v>0</v>
      </c>
      <c r="P35" s="482">
        <v>0</v>
      </c>
    </row>
    <row r="36" spans="2:16">
      <c r="B36" s="442">
        <f t="shared" si="0"/>
        <v>2030</v>
      </c>
      <c r="C36" s="482">
        <v>0.59</v>
      </c>
      <c r="D36" s="482">
        <v>0.44</v>
      </c>
      <c r="E36" s="482">
        <v>0.44</v>
      </c>
      <c r="F36" s="482">
        <v>0.56999999999999995</v>
      </c>
      <c r="G36" s="482">
        <v>0.56999999999999995</v>
      </c>
      <c r="H36" s="482">
        <v>0.73</v>
      </c>
      <c r="I36" s="482">
        <v>0.89</v>
      </c>
      <c r="J36" s="482">
        <v>0.56999999999999995</v>
      </c>
      <c r="K36" s="482">
        <v>0.97</v>
      </c>
      <c r="L36" s="482">
        <v>0.66</v>
      </c>
      <c r="M36" s="482">
        <v>0.95</v>
      </c>
      <c r="N36" s="482">
        <v>0</v>
      </c>
      <c r="O36" s="482">
        <v>0</v>
      </c>
      <c r="P36" s="482">
        <v>0</v>
      </c>
    </row>
    <row r="37" spans="2:16">
      <c r="B37" s="442">
        <f t="shared" si="0"/>
        <v>2031</v>
      </c>
      <c r="C37" s="482">
        <v>0.59</v>
      </c>
      <c r="D37" s="482">
        <v>0.44</v>
      </c>
      <c r="E37" s="482">
        <v>0.44</v>
      </c>
      <c r="F37" s="482">
        <v>0.56999999999999995</v>
      </c>
      <c r="G37" s="482">
        <v>0.56999999999999995</v>
      </c>
      <c r="H37" s="482">
        <v>0.73</v>
      </c>
      <c r="I37" s="482">
        <v>0.89</v>
      </c>
      <c r="J37" s="482">
        <v>0.56999999999999995</v>
      </c>
      <c r="K37" s="482">
        <v>0.97</v>
      </c>
      <c r="L37" s="482">
        <v>0.66</v>
      </c>
      <c r="M37" s="482">
        <v>0.95</v>
      </c>
      <c r="N37" s="482">
        <v>0</v>
      </c>
      <c r="O37" s="482">
        <v>0</v>
      </c>
      <c r="P37" s="482">
        <v>0</v>
      </c>
    </row>
    <row r="38" spans="2:16">
      <c r="B38" s="442">
        <f t="shared" si="0"/>
        <v>2032</v>
      </c>
      <c r="C38" s="482">
        <v>0.59</v>
      </c>
      <c r="D38" s="482">
        <v>0.44</v>
      </c>
      <c r="E38" s="482">
        <v>0.44</v>
      </c>
      <c r="F38" s="482">
        <v>0.56999999999999995</v>
      </c>
      <c r="G38" s="482">
        <v>0.56999999999999995</v>
      </c>
      <c r="H38" s="482">
        <v>0.73</v>
      </c>
      <c r="I38" s="482">
        <v>0.89</v>
      </c>
      <c r="J38" s="482">
        <v>0.56999999999999995</v>
      </c>
      <c r="K38" s="482">
        <v>0.97</v>
      </c>
      <c r="L38" s="482">
        <v>0.66</v>
      </c>
      <c r="M38" s="482">
        <v>0.95</v>
      </c>
      <c r="N38" s="482">
        <v>0</v>
      </c>
      <c r="O38" s="482">
        <v>0</v>
      </c>
      <c r="P38" s="482">
        <v>0</v>
      </c>
    </row>
    <row r="39" spans="2:16">
      <c r="B39" s="442">
        <f t="shared" si="0"/>
        <v>2033</v>
      </c>
      <c r="C39" s="482">
        <v>0.59</v>
      </c>
      <c r="D39" s="482">
        <v>0.44</v>
      </c>
      <c r="E39" s="482">
        <v>0.44</v>
      </c>
      <c r="F39" s="482">
        <v>0.56999999999999995</v>
      </c>
      <c r="G39" s="482">
        <v>0.56999999999999995</v>
      </c>
      <c r="H39" s="482">
        <v>0.73</v>
      </c>
      <c r="I39" s="482">
        <v>0.89</v>
      </c>
      <c r="J39" s="482">
        <v>0.56999999999999995</v>
      </c>
      <c r="K39" s="482">
        <v>0.97</v>
      </c>
      <c r="L39" s="482">
        <v>0.66</v>
      </c>
      <c r="M39" s="482">
        <v>0.95</v>
      </c>
      <c r="N39" s="482">
        <v>0</v>
      </c>
      <c r="O39" s="482">
        <v>0</v>
      </c>
      <c r="P39" s="482">
        <v>0</v>
      </c>
    </row>
    <row r="40" spans="2:16">
      <c r="B40" s="442">
        <f t="shared" si="0"/>
        <v>2034</v>
      </c>
      <c r="C40" s="482">
        <v>0.59</v>
      </c>
      <c r="D40" s="482">
        <v>0.44</v>
      </c>
      <c r="E40" s="482">
        <v>0.44</v>
      </c>
      <c r="F40" s="482">
        <v>0.56999999999999995</v>
      </c>
      <c r="G40" s="482">
        <v>0.56999999999999995</v>
      </c>
      <c r="H40" s="482">
        <v>0.73</v>
      </c>
      <c r="I40" s="482">
        <v>0.89</v>
      </c>
      <c r="J40" s="482">
        <v>0.56999999999999995</v>
      </c>
      <c r="K40" s="482">
        <v>0.97</v>
      </c>
      <c r="L40" s="482">
        <v>0.66</v>
      </c>
      <c r="M40" s="482">
        <v>0.95</v>
      </c>
      <c r="N40" s="482">
        <v>0</v>
      </c>
      <c r="O40" s="482">
        <v>0</v>
      </c>
      <c r="P40" s="482">
        <v>0</v>
      </c>
    </row>
    <row r="41" spans="2:16">
      <c r="B41" s="442">
        <f t="shared" si="0"/>
        <v>2035</v>
      </c>
      <c r="C41" s="482">
        <v>0.59</v>
      </c>
      <c r="D41" s="482">
        <v>0.44</v>
      </c>
      <c r="E41" s="482">
        <v>0.44</v>
      </c>
      <c r="F41" s="482">
        <v>0.56999999999999995</v>
      </c>
      <c r="G41" s="482">
        <v>0.56999999999999995</v>
      </c>
      <c r="H41" s="482">
        <v>0.73</v>
      </c>
      <c r="I41" s="482">
        <v>0.89</v>
      </c>
      <c r="J41" s="482">
        <v>0.56999999999999995</v>
      </c>
      <c r="K41" s="482">
        <v>0.97</v>
      </c>
      <c r="L41" s="482">
        <v>0.66</v>
      </c>
      <c r="M41" s="482">
        <v>0.95</v>
      </c>
      <c r="N41" s="482">
        <v>0</v>
      </c>
      <c r="O41" s="482">
        <v>0</v>
      </c>
      <c r="P41" s="482">
        <v>0</v>
      </c>
    </row>
    <row r="42" spans="2:16">
      <c r="B42" s="442">
        <f t="shared" si="0"/>
        <v>2036</v>
      </c>
      <c r="C42" s="482">
        <v>0.59</v>
      </c>
      <c r="D42" s="482">
        <v>0.44</v>
      </c>
      <c r="E42" s="482">
        <v>0.44</v>
      </c>
      <c r="F42" s="482">
        <v>0.56999999999999995</v>
      </c>
      <c r="G42" s="482">
        <v>0.56999999999999995</v>
      </c>
      <c r="H42" s="482">
        <v>0.73</v>
      </c>
      <c r="I42" s="482">
        <v>0.89</v>
      </c>
      <c r="J42" s="482">
        <v>0.56999999999999995</v>
      </c>
      <c r="K42" s="482">
        <v>0.97</v>
      </c>
      <c r="L42" s="482">
        <v>0.66</v>
      </c>
      <c r="M42" s="482">
        <v>0.95</v>
      </c>
      <c r="N42" s="482">
        <v>0</v>
      </c>
      <c r="O42" s="482">
        <v>0</v>
      </c>
      <c r="P42" s="482">
        <v>0</v>
      </c>
    </row>
    <row r="43" spans="2:16">
      <c r="B43" s="442">
        <f t="shared" si="0"/>
        <v>2037</v>
      </c>
      <c r="C43" s="482">
        <v>0.59</v>
      </c>
      <c r="D43" s="482">
        <v>0.44</v>
      </c>
      <c r="E43" s="482">
        <v>0.44</v>
      </c>
      <c r="F43" s="482">
        <v>0.56999999999999995</v>
      </c>
      <c r="G43" s="482">
        <v>0.56999999999999995</v>
      </c>
      <c r="H43" s="482">
        <v>0.73</v>
      </c>
      <c r="I43" s="482">
        <v>0.89</v>
      </c>
      <c r="J43" s="482">
        <v>0.56999999999999995</v>
      </c>
      <c r="K43" s="482">
        <v>0.97</v>
      </c>
      <c r="L43" s="482">
        <v>0.66</v>
      </c>
      <c r="M43" s="482">
        <v>0.95</v>
      </c>
      <c r="N43" s="482">
        <v>0</v>
      </c>
      <c r="O43" s="482">
        <v>0</v>
      </c>
      <c r="P43" s="482">
        <v>0</v>
      </c>
    </row>
    <row r="44" spans="2:16">
      <c r="B44" s="442">
        <f t="shared" si="0"/>
        <v>2038</v>
      </c>
      <c r="C44" s="482">
        <v>0.59</v>
      </c>
      <c r="D44" s="482">
        <v>0.44</v>
      </c>
      <c r="E44" s="482">
        <v>0.44</v>
      </c>
      <c r="F44" s="482">
        <v>0.56999999999999995</v>
      </c>
      <c r="G44" s="482">
        <v>0.56999999999999995</v>
      </c>
      <c r="H44" s="482">
        <v>0.73</v>
      </c>
      <c r="I44" s="482">
        <v>0.89</v>
      </c>
      <c r="J44" s="482">
        <v>0.56999999999999995</v>
      </c>
      <c r="K44" s="482">
        <v>0.97</v>
      </c>
      <c r="L44" s="482">
        <v>0.66</v>
      </c>
      <c r="M44" s="482">
        <v>0.95</v>
      </c>
      <c r="N44" s="482">
        <v>0</v>
      </c>
      <c r="O44" s="482">
        <v>0</v>
      </c>
      <c r="P44" s="482">
        <v>0</v>
      </c>
    </row>
    <row r="45" spans="2:16">
      <c r="B45" s="442">
        <f t="shared" si="0"/>
        <v>2039</v>
      </c>
      <c r="C45" s="482">
        <v>0.59</v>
      </c>
      <c r="D45" s="482">
        <v>0.44</v>
      </c>
      <c r="E45" s="482">
        <v>0.44</v>
      </c>
      <c r="F45" s="482">
        <v>0.56999999999999995</v>
      </c>
      <c r="G45" s="482">
        <v>0.56999999999999995</v>
      </c>
      <c r="H45" s="482">
        <v>0.73</v>
      </c>
      <c r="I45" s="482">
        <v>0.89</v>
      </c>
      <c r="J45" s="482">
        <v>0.56999999999999995</v>
      </c>
      <c r="K45" s="482">
        <v>0.97</v>
      </c>
      <c r="L45" s="482">
        <v>0.66</v>
      </c>
      <c r="M45" s="482">
        <v>0.95</v>
      </c>
      <c r="N45" s="482">
        <v>0</v>
      </c>
      <c r="O45" s="482">
        <v>0</v>
      </c>
      <c r="P45" s="482">
        <v>0</v>
      </c>
    </row>
    <row r="46" spans="2:16">
      <c r="B46" s="442">
        <f t="shared" si="0"/>
        <v>2040</v>
      </c>
      <c r="C46" s="482">
        <v>0.59</v>
      </c>
      <c r="D46" s="482">
        <v>0.44</v>
      </c>
      <c r="E46" s="482">
        <v>0.44</v>
      </c>
      <c r="F46" s="482">
        <v>0.56999999999999995</v>
      </c>
      <c r="G46" s="482">
        <v>0.56999999999999995</v>
      </c>
      <c r="H46" s="482">
        <v>0.73</v>
      </c>
      <c r="I46" s="482">
        <v>0.89</v>
      </c>
      <c r="J46" s="482">
        <v>0.56999999999999995</v>
      </c>
      <c r="K46" s="482">
        <v>0.97</v>
      </c>
      <c r="L46" s="482">
        <v>0.66</v>
      </c>
      <c r="M46" s="482">
        <v>0.95</v>
      </c>
      <c r="N46" s="482">
        <v>0</v>
      </c>
      <c r="O46" s="482">
        <v>0</v>
      </c>
      <c r="P46" s="482">
        <v>0</v>
      </c>
    </row>
    <row r="47" spans="2:16">
      <c r="B47" s="442">
        <f t="shared" si="0"/>
        <v>2041</v>
      </c>
      <c r="C47" s="482">
        <v>0.59</v>
      </c>
      <c r="D47" s="482">
        <v>0.44</v>
      </c>
      <c r="E47" s="482">
        <v>0.44</v>
      </c>
      <c r="F47" s="482">
        <v>0.56999999999999995</v>
      </c>
      <c r="G47" s="482">
        <v>0.56999999999999995</v>
      </c>
      <c r="H47" s="482">
        <v>0.73</v>
      </c>
      <c r="I47" s="482">
        <v>0.89</v>
      </c>
      <c r="J47" s="482">
        <v>0.56999999999999995</v>
      </c>
      <c r="K47" s="482">
        <v>0.97</v>
      </c>
      <c r="L47" s="482">
        <v>0.66</v>
      </c>
      <c r="M47" s="482">
        <v>0.95</v>
      </c>
      <c r="N47" s="482">
        <v>0</v>
      </c>
      <c r="O47" s="482">
        <v>0</v>
      </c>
      <c r="P47" s="482">
        <v>0</v>
      </c>
    </row>
    <row r="48" spans="2:16">
      <c r="B48" s="442">
        <f t="shared" si="0"/>
        <v>2042</v>
      </c>
      <c r="C48" s="482">
        <v>0.59</v>
      </c>
      <c r="D48" s="482">
        <v>0.44</v>
      </c>
      <c r="E48" s="482">
        <v>0.44</v>
      </c>
      <c r="F48" s="482">
        <v>0.56999999999999995</v>
      </c>
      <c r="G48" s="482">
        <v>0.56999999999999995</v>
      </c>
      <c r="H48" s="482">
        <v>0.73</v>
      </c>
      <c r="I48" s="482">
        <v>0.89</v>
      </c>
      <c r="J48" s="482">
        <v>0.56999999999999995</v>
      </c>
      <c r="K48" s="482">
        <v>0.97</v>
      </c>
      <c r="L48" s="482">
        <v>0.66</v>
      </c>
      <c r="M48" s="482">
        <v>0.95</v>
      </c>
      <c r="N48" s="482">
        <v>0</v>
      </c>
      <c r="O48" s="482">
        <v>0</v>
      </c>
      <c r="P48" s="482">
        <v>0</v>
      </c>
    </row>
    <row r="49" spans="2:16">
      <c r="B49" s="442">
        <f t="shared" si="0"/>
        <v>2043</v>
      </c>
      <c r="C49" s="482">
        <v>0.59</v>
      </c>
      <c r="D49" s="482">
        <v>0.44</v>
      </c>
      <c r="E49" s="482">
        <v>0.44</v>
      </c>
      <c r="F49" s="482">
        <v>0.56999999999999995</v>
      </c>
      <c r="G49" s="482">
        <v>0.56999999999999995</v>
      </c>
      <c r="H49" s="482">
        <v>0.73</v>
      </c>
      <c r="I49" s="482">
        <v>0.89</v>
      </c>
      <c r="J49" s="482">
        <v>0.56999999999999995</v>
      </c>
      <c r="K49" s="482">
        <v>0.97</v>
      </c>
      <c r="L49" s="482">
        <v>0.66</v>
      </c>
      <c r="M49" s="482">
        <v>0.95</v>
      </c>
      <c r="N49" s="482">
        <v>0</v>
      </c>
      <c r="O49" s="482">
        <v>0</v>
      </c>
      <c r="P49" s="482">
        <v>0</v>
      </c>
    </row>
    <row r="50" spans="2:16">
      <c r="B50" s="442">
        <f t="shared" si="0"/>
        <v>2044</v>
      </c>
      <c r="C50" s="482">
        <v>0.59</v>
      </c>
      <c r="D50" s="482">
        <v>0.44</v>
      </c>
      <c r="E50" s="482">
        <v>0.44</v>
      </c>
      <c r="F50" s="482">
        <v>0.56999999999999995</v>
      </c>
      <c r="G50" s="482">
        <v>0.56999999999999995</v>
      </c>
      <c r="H50" s="482">
        <v>0.73</v>
      </c>
      <c r="I50" s="482">
        <v>0.89</v>
      </c>
      <c r="J50" s="482">
        <v>0.56999999999999995</v>
      </c>
      <c r="K50" s="482">
        <v>0.97</v>
      </c>
      <c r="L50" s="482">
        <v>0.66</v>
      </c>
      <c r="M50" s="482">
        <v>0.95</v>
      </c>
      <c r="N50" s="482">
        <v>0</v>
      </c>
      <c r="O50" s="482">
        <v>0</v>
      </c>
      <c r="P50" s="482">
        <v>0</v>
      </c>
    </row>
    <row r="51" spans="2:16">
      <c r="B51" s="442">
        <f t="shared" si="0"/>
        <v>2045</v>
      </c>
      <c r="C51" s="482">
        <v>0.59</v>
      </c>
      <c r="D51" s="482">
        <v>0.44</v>
      </c>
      <c r="E51" s="482">
        <v>0.44</v>
      </c>
      <c r="F51" s="482">
        <v>0.56999999999999995</v>
      </c>
      <c r="G51" s="482">
        <v>0.56999999999999995</v>
      </c>
      <c r="H51" s="482">
        <v>0.73</v>
      </c>
      <c r="I51" s="482">
        <v>0.89</v>
      </c>
      <c r="J51" s="482">
        <v>0.56999999999999995</v>
      </c>
      <c r="K51" s="482">
        <v>0.97</v>
      </c>
      <c r="L51" s="482">
        <v>0.66</v>
      </c>
      <c r="M51" s="482">
        <v>0.95</v>
      </c>
      <c r="N51" s="482">
        <v>0</v>
      </c>
      <c r="O51" s="482">
        <v>0</v>
      </c>
      <c r="P51" s="482">
        <v>0</v>
      </c>
    </row>
    <row r="52" spans="2:16">
      <c r="B52" s="442">
        <f t="shared" si="0"/>
        <v>2046</v>
      </c>
      <c r="C52" s="482">
        <v>0.59</v>
      </c>
      <c r="D52" s="482">
        <v>0.44</v>
      </c>
      <c r="E52" s="482">
        <v>0.44</v>
      </c>
      <c r="F52" s="482">
        <v>0.56999999999999995</v>
      </c>
      <c r="G52" s="482">
        <v>0.56999999999999995</v>
      </c>
      <c r="H52" s="482">
        <v>0.73</v>
      </c>
      <c r="I52" s="482">
        <v>0.89</v>
      </c>
      <c r="J52" s="482">
        <v>0.56999999999999995</v>
      </c>
      <c r="K52" s="482">
        <v>0.97</v>
      </c>
      <c r="L52" s="482">
        <v>0.66</v>
      </c>
      <c r="M52" s="482">
        <v>0.95</v>
      </c>
      <c r="N52" s="482">
        <v>0</v>
      </c>
      <c r="O52" s="482">
        <v>0</v>
      </c>
      <c r="P52" s="482">
        <v>0</v>
      </c>
    </row>
    <row r="53" spans="2:16">
      <c r="B53" s="442">
        <f t="shared" si="0"/>
        <v>2047</v>
      </c>
      <c r="C53" s="482">
        <v>0.59</v>
      </c>
      <c r="D53" s="482">
        <v>0.44</v>
      </c>
      <c r="E53" s="482">
        <v>0.44</v>
      </c>
      <c r="F53" s="482">
        <v>0.56999999999999995</v>
      </c>
      <c r="G53" s="482">
        <v>0.56999999999999995</v>
      </c>
      <c r="H53" s="482">
        <v>0.73</v>
      </c>
      <c r="I53" s="482">
        <v>0.89</v>
      </c>
      <c r="J53" s="482">
        <v>0.56999999999999995</v>
      </c>
      <c r="K53" s="482">
        <v>0.97</v>
      </c>
      <c r="L53" s="482">
        <v>0.66</v>
      </c>
      <c r="M53" s="482">
        <v>0.95</v>
      </c>
      <c r="N53" s="482">
        <v>0</v>
      </c>
      <c r="O53" s="482">
        <v>0</v>
      </c>
      <c r="P53" s="482">
        <v>0</v>
      </c>
    </row>
    <row r="54" spans="2:16">
      <c r="B54" s="442">
        <f t="shared" si="0"/>
        <v>2048</v>
      </c>
      <c r="C54" s="482">
        <v>0.59</v>
      </c>
      <c r="D54" s="482">
        <v>0.44</v>
      </c>
      <c r="E54" s="482">
        <v>0.44</v>
      </c>
      <c r="F54" s="482">
        <v>0.56999999999999995</v>
      </c>
      <c r="G54" s="482">
        <v>0.56999999999999995</v>
      </c>
      <c r="H54" s="482">
        <v>0.73</v>
      </c>
      <c r="I54" s="482">
        <v>0.89</v>
      </c>
      <c r="J54" s="482">
        <v>0.56999999999999995</v>
      </c>
      <c r="K54" s="482">
        <v>0.97</v>
      </c>
      <c r="L54" s="482">
        <v>0.66</v>
      </c>
      <c r="M54" s="482">
        <v>0.95</v>
      </c>
      <c r="N54" s="482">
        <v>0</v>
      </c>
      <c r="O54" s="482">
        <v>0</v>
      </c>
      <c r="P54" s="482">
        <v>0</v>
      </c>
    </row>
    <row r="55" spans="2:16">
      <c r="B55" s="442">
        <f t="shared" si="0"/>
        <v>2049</v>
      </c>
      <c r="C55" s="482">
        <v>0.59</v>
      </c>
      <c r="D55" s="482">
        <v>0.44</v>
      </c>
      <c r="E55" s="482">
        <v>0.44</v>
      </c>
      <c r="F55" s="482">
        <v>0.56999999999999995</v>
      </c>
      <c r="G55" s="482">
        <v>0.56999999999999995</v>
      </c>
      <c r="H55" s="482">
        <v>0.73</v>
      </c>
      <c r="I55" s="482">
        <v>0.89</v>
      </c>
      <c r="J55" s="482">
        <v>0.56999999999999995</v>
      </c>
      <c r="K55" s="482">
        <v>0.97</v>
      </c>
      <c r="L55" s="482">
        <v>0.66</v>
      </c>
      <c r="M55" s="482">
        <v>0.95</v>
      </c>
      <c r="N55" s="482">
        <v>0</v>
      </c>
      <c r="O55" s="482">
        <v>0</v>
      </c>
      <c r="P55" s="482">
        <v>0</v>
      </c>
    </row>
    <row r="56" spans="2:16">
      <c r="B56" s="442">
        <f t="shared" si="0"/>
        <v>2050</v>
      </c>
      <c r="C56" s="482">
        <v>0.59</v>
      </c>
      <c r="D56" s="482">
        <v>0.44</v>
      </c>
      <c r="E56" s="482">
        <v>0.44</v>
      </c>
      <c r="F56" s="482">
        <v>0.56999999999999995</v>
      </c>
      <c r="G56" s="482">
        <v>0.56999999999999995</v>
      </c>
      <c r="H56" s="482">
        <v>0.73</v>
      </c>
      <c r="I56" s="482">
        <v>0.89</v>
      </c>
      <c r="J56" s="482">
        <v>0.56999999999999995</v>
      </c>
      <c r="K56" s="482">
        <v>0.97</v>
      </c>
      <c r="L56" s="482">
        <v>0.66</v>
      </c>
      <c r="M56" s="482">
        <v>0.95</v>
      </c>
      <c r="N56" s="482">
        <v>0</v>
      </c>
      <c r="O56" s="482">
        <v>0</v>
      </c>
      <c r="P56" s="482">
        <v>0</v>
      </c>
    </row>
    <row r="57" spans="2:16">
      <c r="B57" s="442">
        <f t="shared" si="0"/>
        <v>2051</v>
      </c>
      <c r="C57" s="482">
        <v>0.59</v>
      </c>
      <c r="D57" s="482">
        <v>0.44</v>
      </c>
      <c r="E57" s="482">
        <v>0.44</v>
      </c>
      <c r="F57" s="482">
        <v>0.56999999999999995</v>
      </c>
      <c r="G57" s="482">
        <v>0.56999999999999995</v>
      </c>
      <c r="H57" s="482">
        <v>0.73</v>
      </c>
      <c r="I57" s="482">
        <v>0.89</v>
      </c>
      <c r="J57" s="482">
        <v>0.56999999999999995</v>
      </c>
      <c r="K57" s="482">
        <v>0.97</v>
      </c>
      <c r="L57" s="482">
        <v>0.66</v>
      </c>
      <c r="M57" s="482">
        <v>0.95</v>
      </c>
      <c r="N57" s="482">
        <v>0</v>
      </c>
      <c r="O57" s="482">
        <v>0</v>
      </c>
      <c r="P57" s="482">
        <v>0</v>
      </c>
    </row>
    <row r="58" spans="2:16">
      <c r="B58" s="442">
        <f t="shared" si="0"/>
        <v>2052</v>
      </c>
      <c r="C58" s="482">
        <v>0.59</v>
      </c>
      <c r="D58" s="482">
        <v>0.44</v>
      </c>
      <c r="E58" s="482">
        <v>0.44</v>
      </c>
      <c r="F58" s="482">
        <v>0.56999999999999995</v>
      </c>
      <c r="G58" s="482">
        <v>0.56999999999999995</v>
      </c>
      <c r="H58" s="482">
        <v>0.73</v>
      </c>
      <c r="I58" s="482">
        <v>0.89</v>
      </c>
      <c r="J58" s="482">
        <v>0.56999999999999995</v>
      </c>
      <c r="K58" s="482">
        <v>0.97</v>
      </c>
      <c r="L58" s="482">
        <v>0.66</v>
      </c>
      <c r="M58" s="482">
        <v>0.95</v>
      </c>
      <c r="N58" s="482">
        <v>0</v>
      </c>
      <c r="O58" s="482">
        <v>0</v>
      </c>
      <c r="P58" s="482">
        <v>0</v>
      </c>
    </row>
    <row r="59" spans="2:16">
      <c r="B59" s="442">
        <f t="shared" si="0"/>
        <v>2053</v>
      </c>
      <c r="C59" s="482">
        <v>0.59</v>
      </c>
      <c r="D59" s="482">
        <v>0.44</v>
      </c>
      <c r="E59" s="482">
        <v>0.44</v>
      </c>
      <c r="F59" s="482">
        <v>0.56999999999999995</v>
      </c>
      <c r="G59" s="482">
        <v>0.56999999999999995</v>
      </c>
      <c r="H59" s="482">
        <v>0.73</v>
      </c>
      <c r="I59" s="482">
        <v>0.89</v>
      </c>
      <c r="J59" s="482">
        <v>0.56999999999999995</v>
      </c>
      <c r="K59" s="482">
        <v>0.97</v>
      </c>
      <c r="L59" s="482">
        <v>0.66</v>
      </c>
      <c r="M59" s="482">
        <v>0.95</v>
      </c>
      <c r="N59" s="482">
        <v>0</v>
      </c>
      <c r="O59" s="482">
        <v>0</v>
      </c>
      <c r="P59" s="482">
        <v>0</v>
      </c>
    </row>
    <row r="60" spans="2:16">
      <c r="B60" s="442">
        <f t="shared" si="0"/>
        <v>2054</v>
      </c>
      <c r="C60" s="482">
        <v>0.59</v>
      </c>
      <c r="D60" s="482">
        <v>0.44</v>
      </c>
      <c r="E60" s="482">
        <v>0.44</v>
      </c>
      <c r="F60" s="482">
        <v>0.56999999999999995</v>
      </c>
      <c r="G60" s="482">
        <v>0.56999999999999995</v>
      </c>
      <c r="H60" s="482">
        <v>0.73</v>
      </c>
      <c r="I60" s="482">
        <v>0.89</v>
      </c>
      <c r="J60" s="482">
        <v>0.56999999999999995</v>
      </c>
      <c r="K60" s="482">
        <v>0.97</v>
      </c>
      <c r="L60" s="482">
        <v>0.66</v>
      </c>
      <c r="M60" s="482">
        <v>0.95</v>
      </c>
      <c r="N60" s="482">
        <v>0</v>
      </c>
      <c r="O60" s="482">
        <v>0</v>
      </c>
      <c r="P60" s="482">
        <v>0</v>
      </c>
    </row>
    <row r="61" spans="2:16">
      <c r="B61" s="442">
        <f t="shared" si="0"/>
        <v>2055</v>
      </c>
      <c r="C61" s="482">
        <v>0.59</v>
      </c>
      <c r="D61" s="482">
        <v>0.44</v>
      </c>
      <c r="E61" s="482">
        <v>0.44</v>
      </c>
      <c r="F61" s="482">
        <v>0.56999999999999995</v>
      </c>
      <c r="G61" s="482">
        <v>0.56999999999999995</v>
      </c>
      <c r="H61" s="482">
        <v>0.73</v>
      </c>
      <c r="I61" s="482">
        <v>0.89</v>
      </c>
      <c r="J61" s="482">
        <v>0.56999999999999995</v>
      </c>
      <c r="K61" s="482">
        <v>0.97</v>
      </c>
      <c r="L61" s="482">
        <v>0.66</v>
      </c>
      <c r="M61" s="482">
        <v>0.95</v>
      </c>
      <c r="N61" s="482">
        <v>0</v>
      </c>
      <c r="O61" s="482">
        <v>0</v>
      </c>
      <c r="P61" s="482">
        <v>0</v>
      </c>
    </row>
    <row r="62" spans="2:16">
      <c r="B62" s="442">
        <f t="shared" si="0"/>
        <v>2056</v>
      </c>
      <c r="C62" s="482">
        <v>0.59</v>
      </c>
      <c r="D62" s="482">
        <v>0.44</v>
      </c>
      <c r="E62" s="482">
        <v>0.44</v>
      </c>
      <c r="F62" s="482">
        <v>0.56999999999999995</v>
      </c>
      <c r="G62" s="482">
        <v>0.56999999999999995</v>
      </c>
      <c r="H62" s="482">
        <v>0.73</v>
      </c>
      <c r="I62" s="482">
        <v>0.89</v>
      </c>
      <c r="J62" s="482">
        <v>0.56999999999999995</v>
      </c>
      <c r="K62" s="482">
        <v>0.97</v>
      </c>
      <c r="L62" s="482">
        <v>0.66</v>
      </c>
      <c r="M62" s="482">
        <v>0.95</v>
      </c>
      <c r="N62" s="482">
        <v>0</v>
      </c>
      <c r="O62" s="482">
        <v>0</v>
      </c>
      <c r="P62" s="482">
        <v>0</v>
      </c>
    </row>
    <row r="63" spans="2:16">
      <c r="B63" s="442">
        <f t="shared" si="0"/>
        <v>2057</v>
      </c>
      <c r="C63" s="482">
        <v>0.59</v>
      </c>
      <c r="D63" s="482">
        <v>0.44</v>
      </c>
      <c r="E63" s="482">
        <v>0.44</v>
      </c>
      <c r="F63" s="482">
        <v>0.56999999999999995</v>
      </c>
      <c r="G63" s="482">
        <v>0.56999999999999995</v>
      </c>
      <c r="H63" s="482">
        <v>0.73</v>
      </c>
      <c r="I63" s="482">
        <v>0.89</v>
      </c>
      <c r="J63" s="482">
        <v>0.56999999999999995</v>
      </c>
      <c r="K63" s="482">
        <v>0.97</v>
      </c>
      <c r="L63" s="482">
        <v>0.66</v>
      </c>
      <c r="M63" s="482">
        <v>0.95</v>
      </c>
      <c r="N63" s="482">
        <v>0</v>
      </c>
      <c r="O63" s="482">
        <v>0</v>
      </c>
      <c r="P63" s="482">
        <v>0</v>
      </c>
    </row>
    <row r="64" spans="2:16">
      <c r="B64" s="442">
        <f t="shared" si="0"/>
        <v>2058</v>
      </c>
      <c r="C64" s="482">
        <v>0.59</v>
      </c>
      <c r="D64" s="482">
        <v>0.44</v>
      </c>
      <c r="E64" s="482">
        <v>0.44</v>
      </c>
      <c r="F64" s="482">
        <v>0.56999999999999995</v>
      </c>
      <c r="G64" s="482">
        <v>0.56999999999999995</v>
      </c>
      <c r="H64" s="482">
        <v>0.73</v>
      </c>
      <c r="I64" s="482">
        <v>0.89</v>
      </c>
      <c r="J64" s="482">
        <v>0.56999999999999995</v>
      </c>
      <c r="K64" s="482">
        <v>0.97</v>
      </c>
      <c r="L64" s="482">
        <v>0.66</v>
      </c>
      <c r="M64" s="482">
        <v>0.95</v>
      </c>
      <c r="N64" s="482">
        <v>0</v>
      </c>
      <c r="O64" s="482">
        <v>0</v>
      </c>
      <c r="P64" s="482">
        <v>0</v>
      </c>
    </row>
    <row r="65" spans="2:16">
      <c r="B65" s="442">
        <f t="shared" si="0"/>
        <v>2059</v>
      </c>
      <c r="C65" s="482">
        <v>0.59</v>
      </c>
      <c r="D65" s="482">
        <v>0.44</v>
      </c>
      <c r="E65" s="482">
        <v>0.44</v>
      </c>
      <c r="F65" s="482">
        <v>0.56999999999999995</v>
      </c>
      <c r="G65" s="482">
        <v>0.56999999999999995</v>
      </c>
      <c r="H65" s="482">
        <v>0.73</v>
      </c>
      <c r="I65" s="482">
        <v>0.89</v>
      </c>
      <c r="J65" s="482">
        <v>0.56999999999999995</v>
      </c>
      <c r="K65" s="482">
        <v>0.97</v>
      </c>
      <c r="L65" s="482">
        <v>0.66</v>
      </c>
      <c r="M65" s="482">
        <v>0.95</v>
      </c>
      <c r="N65" s="482">
        <v>0</v>
      </c>
      <c r="O65" s="482">
        <v>0</v>
      </c>
      <c r="P65" s="482">
        <v>0</v>
      </c>
    </row>
    <row r="66" spans="2:16">
      <c r="B66" s="442">
        <f t="shared" si="0"/>
        <v>2060</v>
      </c>
      <c r="C66" s="482">
        <v>0.59</v>
      </c>
      <c r="D66" s="482">
        <v>0.44</v>
      </c>
      <c r="E66" s="482">
        <v>0.44</v>
      </c>
      <c r="F66" s="482">
        <v>0.56999999999999995</v>
      </c>
      <c r="G66" s="482">
        <v>0.56999999999999995</v>
      </c>
      <c r="H66" s="482">
        <v>0.73</v>
      </c>
      <c r="I66" s="482">
        <v>0.89</v>
      </c>
      <c r="J66" s="482">
        <v>0.56999999999999995</v>
      </c>
      <c r="K66" s="482">
        <v>0.97</v>
      </c>
      <c r="L66" s="482">
        <v>0.66</v>
      </c>
      <c r="M66" s="482">
        <v>0.95</v>
      </c>
      <c r="N66" s="482">
        <v>0</v>
      </c>
      <c r="O66" s="482">
        <v>0</v>
      </c>
      <c r="P66" s="482">
        <v>0</v>
      </c>
    </row>
    <row r="67" spans="2:16">
      <c r="B67" s="442">
        <f t="shared" si="0"/>
        <v>2061</v>
      </c>
      <c r="C67" s="482">
        <v>0.59</v>
      </c>
      <c r="D67" s="482">
        <v>0.44</v>
      </c>
      <c r="E67" s="482">
        <v>0.44</v>
      </c>
      <c r="F67" s="482">
        <v>0.56999999999999995</v>
      </c>
      <c r="G67" s="482">
        <v>0.56999999999999995</v>
      </c>
      <c r="H67" s="482">
        <v>0.73</v>
      </c>
      <c r="I67" s="482">
        <v>0.89</v>
      </c>
      <c r="J67" s="482">
        <v>0.56999999999999995</v>
      </c>
      <c r="K67" s="482">
        <v>0.97</v>
      </c>
      <c r="L67" s="482">
        <v>0.66</v>
      </c>
      <c r="M67" s="482">
        <v>0.95</v>
      </c>
      <c r="N67" s="482">
        <v>0</v>
      </c>
      <c r="O67" s="482">
        <v>0</v>
      </c>
      <c r="P67" s="482">
        <v>0</v>
      </c>
    </row>
    <row r="68" spans="2:16">
      <c r="B68" s="442">
        <f t="shared" si="0"/>
        <v>2062</v>
      </c>
      <c r="C68" s="482">
        <v>0.59</v>
      </c>
      <c r="D68" s="482">
        <v>0.44</v>
      </c>
      <c r="E68" s="482">
        <v>0.44</v>
      </c>
      <c r="F68" s="482">
        <v>0.56999999999999995</v>
      </c>
      <c r="G68" s="482">
        <v>0.56999999999999995</v>
      </c>
      <c r="H68" s="482">
        <v>0.73</v>
      </c>
      <c r="I68" s="482">
        <v>0.89</v>
      </c>
      <c r="J68" s="482">
        <v>0.56999999999999995</v>
      </c>
      <c r="K68" s="482">
        <v>0.97</v>
      </c>
      <c r="L68" s="482">
        <v>0.66</v>
      </c>
      <c r="M68" s="482">
        <v>0.95</v>
      </c>
      <c r="N68" s="482">
        <v>0</v>
      </c>
      <c r="O68" s="482">
        <v>0</v>
      </c>
      <c r="P68" s="482">
        <v>0</v>
      </c>
    </row>
    <row r="69" spans="2:16">
      <c r="B69" s="442">
        <f t="shared" si="0"/>
        <v>2063</v>
      </c>
      <c r="C69" s="482">
        <v>0.59</v>
      </c>
      <c r="D69" s="482">
        <v>0.44</v>
      </c>
      <c r="E69" s="482">
        <v>0.44</v>
      </c>
      <c r="F69" s="482">
        <v>0.56999999999999995</v>
      </c>
      <c r="G69" s="482">
        <v>0.56999999999999995</v>
      </c>
      <c r="H69" s="482">
        <v>0.73</v>
      </c>
      <c r="I69" s="482">
        <v>0.89</v>
      </c>
      <c r="J69" s="482">
        <v>0.56999999999999995</v>
      </c>
      <c r="K69" s="482">
        <v>0.97</v>
      </c>
      <c r="L69" s="482">
        <v>0.66</v>
      </c>
      <c r="M69" s="482">
        <v>0.95</v>
      </c>
      <c r="N69" s="482">
        <v>0</v>
      </c>
      <c r="O69" s="482">
        <v>0</v>
      </c>
      <c r="P69" s="482">
        <v>0</v>
      </c>
    </row>
    <row r="70" spans="2:16">
      <c r="B70" s="442">
        <f t="shared" si="0"/>
        <v>2064</v>
      </c>
      <c r="C70" s="482">
        <v>0.59</v>
      </c>
      <c r="D70" s="482">
        <v>0.44</v>
      </c>
      <c r="E70" s="482">
        <v>0.44</v>
      </c>
      <c r="F70" s="482">
        <v>0.56999999999999995</v>
      </c>
      <c r="G70" s="482">
        <v>0.56999999999999995</v>
      </c>
      <c r="H70" s="482">
        <v>0.73</v>
      </c>
      <c r="I70" s="482">
        <v>0.89</v>
      </c>
      <c r="J70" s="482">
        <v>0.56999999999999995</v>
      </c>
      <c r="K70" s="482">
        <v>0.97</v>
      </c>
      <c r="L70" s="482">
        <v>0.66</v>
      </c>
      <c r="M70" s="482">
        <v>0.95</v>
      </c>
      <c r="N70" s="482">
        <v>0</v>
      </c>
      <c r="O70" s="482">
        <v>0</v>
      </c>
      <c r="P70" s="482">
        <v>0</v>
      </c>
    </row>
    <row r="71" spans="2:16">
      <c r="B71" s="442">
        <f t="shared" si="0"/>
        <v>2065</v>
      </c>
      <c r="C71" s="482">
        <v>0.59</v>
      </c>
      <c r="D71" s="482">
        <v>0.44</v>
      </c>
      <c r="E71" s="482">
        <v>0.44</v>
      </c>
      <c r="F71" s="482">
        <v>0.56999999999999995</v>
      </c>
      <c r="G71" s="482">
        <v>0.56999999999999995</v>
      </c>
      <c r="H71" s="482">
        <v>0.73</v>
      </c>
      <c r="I71" s="482">
        <v>0.89</v>
      </c>
      <c r="J71" s="482">
        <v>0.56999999999999995</v>
      </c>
      <c r="K71" s="482">
        <v>0.97</v>
      </c>
      <c r="L71" s="482">
        <v>0.66</v>
      </c>
      <c r="M71" s="482">
        <v>0.95</v>
      </c>
      <c r="N71" s="482">
        <v>0</v>
      </c>
      <c r="O71" s="482">
        <v>0</v>
      </c>
      <c r="P71" s="482">
        <v>0</v>
      </c>
    </row>
    <row r="72" spans="2:16">
      <c r="B72" s="442">
        <f t="shared" ref="B72:B86" si="1">B71+1</f>
        <v>2066</v>
      </c>
      <c r="C72" s="482">
        <v>0.59</v>
      </c>
      <c r="D72" s="482">
        <v>0.44</v>
      </c>
      <c r="E72" s="482">
        <v>0.44</v>
      </c>
      <c r="F72" s="482">
        <v>0.56999999999999995</v>
      </c>
      <c r="G72" s="482">
        <v>0.56999999999999995</v>
      </c>
      <c r="H72" s="482">
        <v>0.73</v>
      </c>
      <c r="I72" s="482">
        <v>0.89</v>
      </c>
      <c r="J72" s="482">
        <v>0.56999999999999995</v>
      </c>
      <c r="K72" s="482">
        <v>0.97</v>
      </c>
      <c r="L72" s="482">
        <v>0.66</v>
      </c>
      <c r="M72" s="482">
        <v>0.95</v>
      </c>
      <c r="N72" s="482">
        <v>0</v>
      </c>
      <c r="O72" s="482">
        <v>0</v>
      </c>
      <c r="P72" s="482">
        <v>0</v>
      </c>
    </row>
    <row r="73" spans="2:16">
      <c r="B73" s="442">
        <f t="shared" si="1"/>
        <v>2067</v>
      </c>
      <c r="C73" s="482">
        <v>0.59</v>
      </c>
      <c r="D73" s="482">
        <v>0.44</v>
      </c>
      <c r="E73" s="482">
        <v>0.44</v>
      </c>
      <c r="F73" s="482">
        <v>0.56999999999999995</v>
      </c>
      <c r="G73" s="482">
        <v>0.56999999999999995</v>
      </c>
      <c r="H73" s="482">
        <v>0.73</v>
      </c>
      <c r="I73" s="482">
        <v>0.89</v>
      </c>
      <c r="J73" s="482">
        <v>0.56999999999999995</v>
      </c>
      <c r="K73" s="482">
        <v>0.97</v>
      </c>
      <c r="L73" s="482">
        <v>0.66</v>
      </c>
      <c r="M73" s="482">
        <v>0.95</v>
      </c>
      <c r="N73" s="482">
        <v>0</v>
      </c>
      <c r="O73" s="482">
        <v>0</v>
      </c>
      <c r="P73" s="482">
        <v>0</v>
      </c>
    </row>
    <row r="74" spans="2:16">
      <c r="B74" s="442">
        <f t="shared" si="1"/>
        <v>2068</v>
      </c>
      <c r="C74" s="482">
        <v>0.59</v>
      </c>
      <c r="D74" s="482">
        <v>0.44</v>
      </c>
      <c r="E74" s="482">
        <v>0.44</v>
      </c>
      <c r="F74" s="482">
        <v>0.56999999999999995</v>
      </c>
      <c r="G74" s="482">
        <v>0.56999999999999995</v>
      </c>
      <c r="H74" s="482">
        <v>0.73</v>
      </c>
      <c r="I74" s="482">
        <v>0.89</v>
      </c>
      <c r="J74" s="482">
        <v>0.56999999999999995</v>
      </c>
      <c r="K74" s="482">
        <v>0.97</v>
      </c>
      <c r="L74" s="482">
        <v>0.66</v>
      </c>
      <c r="M74" s="482">
        <v>0.95</v>
      </c>
      <c r="N74" s="482">
        <v>0</v>
      </c>
      <c r="O74" s="482">
        <v>0</v>
      </c>
      <c r="P74" s="482">
        <v>0</v>
      </c>
    </row>
    <row r="75" spans="2:16">
      <c r="B75" s="442">
        <f t="shared" si="1"/>
        <v>2069</v>
      </c>
      <c r="C75" s="482">
        <v>0.59</v>
      </c>
      <c r="D75" s="482">
        <v>0.44</v>
      </c>
      <c r="E75" s="482">
        <v>0.44</v>
      </c>
      <c r="F75" s="482">
        <v>0.56999999999999995</v>
      </c>
      <c r="G75" s="482">
        <v>0.56999999999999995</v>
      </c>
      <c r="H75" s="482">
        <v>0.73</v>
      </c>
      <c r="I75" s="482">
        <v>0.89</v>
      </c>
      <c r="J75" s="482">
        <v>0.56999999999999995</v>
      </c>
      <c r="K75" s="482">
        <v>0.97</v>
      </c>
      <c r="L75" s="482">
        <v>0.66</v>
      </c>
      <c r="M75" s="482">
        <v>0.95</v>
      </c>
      <c r="N75" s="482">
        <v>0</v>
      </c>
      <c r="O75" s="482">
        <v>0</v>
      </c>
      <c r="P75" s="482">
        <v>0</v>
      </c>
    </row>
    <row r="76" spans="2:16">
      <c r="B76" s="442">
        <f t="shared" si="1"/>
        <v>2070</v>
      </c>
      <c r="C76" s="482">
        <v>0.59</v>
      </c>
      <c r="D76" s="482">
        <v>0.44</v>
      </c>
      <c r="E76" s="482">
        <v>0.44</v>
      </c>
      <c r="F76" s="482">
        <v>0.56999999999999995</v>
      </c>
      <c r="G76" s="482">
        <v>0.56999999999999995</v>
      </c>
      <c r="H76" s="482">
        <v>0.73</v>
      </c>
      <c r="I76" s="482">
        <v>0.89</v>
      </c>
      <c r="J76" s="482">
        <v>0.56999999999999995</v>
      </c>
      <c r="K76" s="482">
        <v>0.97</v>
      </c>
      <c r="L76" s="482">
        <v>0.66</v>
      </c>
      <c r="M76" s="482">
        <v>0.95</v>
      </c>
      <c r="N76" s="482">
        <v>0</v>
      </c>
      <c r="O76" s="482">
        <v>0</v>
      </c>
      <c r="P76" s="482">
        <v>0</v>
      </c>
    </row>
    <row r="77" spans="2:16">
      <c r="B77" s="442">
        <f t="shared" si="1"/>
        <v>2071</v>
      </c>
      <c r="C77" s="482">
        <v>0.59</v>
      </c>
      <c r="D77" s="482">
        <v>0.44</v>
      </c>
      <c r="E77" s="482">
        <v>0.44</v>
      </c>
      <c r="F77" s="482">
        <v>0.56999999999999995</v>
      </c>
      <c r="G77" s="482">
        <v>0.56999999999999995</v>
      </c>
      <c r="H77" s="482">
        <v>0.73</v>
      </c>
      <c r="I77" s="482">
        <v>0.89</v>
      </c>
      <c r="J77" s="482">
        <v>0.56999999999999995</v>
      </c>
      <c r="K77" s="482">
        <v>0.97</v>
      </c>
      <c r="L77" s="482">
        <v>0.66</v>
      </c>
      <c r="M77" s="482">
        <v>0.95</v>
      </c>
      <c r="N77" s="482">
        <v>0</v>
      </c>
      <c r="O77" s="482">
        <v>0</v>
      </c>
      <c r="P77" s="482">
        <v>0</v>
      </c>
    </row>
    <row r="78" spans="2:16">
      <c r="B78" s="442">
        <f t="shared" si="1"/>
        <v>2072</v>
      </c>
      <c r="C78" s="482">
        <v>0.59</v>
      </c>
      <c r="D78" s="482">
        <v>0.44</v>
      </c>
      <c r="E78" s="482">
        <v>0.44</v>
      </c>
      <c r="F78" s="482">
        <v>0.56999999999999995</v>
      </c>
      <c r="G78" s="482">
        <v>0.56999999999999995</v>
      </c>
      <c r="H78" s="482">
        <v>0.73</v>
      </c>
      <c r="I78" s="482">
        <v>0.89</v>
      </c>
      <c r="J78" s="482">
        <v>0.56999999999999995</v>
      </c>
      <c r="K78" s="482">
        <v>0.97</v>
      </c>
      <c r="L78" s="482">
        <v>0.66</v>
      </c>
      <c r="M78" s="482">
        <v>0.95</v>
      </c>
      <c r="N78" s="482">
        <v>0</v>
      </c>
      <c r="O78" s="482">
        <v>0</v>
      </c>
      <c r="P78" s="482">
        <v>0</v>
      </c>
    </row>
    <row r="79" spans="2:16">
      <c r="B79" s="442">
        <f t="shared" si="1"/>
        <v>2073</v>
      </c>
      <c r="C79" s="482">
        <v>0.59</v>
      </c>
      <c r="D79" s="482">
        <v>0.44</v>
      </c>
      <c r="E79" s="482">
        <v>0.44</v>
      </c>
      <c r="F79" s="482">
        <v>0.56999999999999995</v>
      </c>
      <c r="G79" s="482">
        <v>0.56999999999999995</v>
      </c>
      <c r="H79" s="482">
        <v>0.73</v>
      </c>
      <c r="I79" s="482">
        <v>0.89</v>
      </c>
      <c r="J79" s="482">
        <v>0.56999999999999995</v>
      </c>
      <c r="K79" s="482">
        <v>0.97</v>
      </c>
      <c r="L79" s="482">
        <v>0.66</v>
      </c>
      <c r="M79" s="482">
        <v>0.95</v>
      </c>
      <c r="N79" s="482">
        <v>0</v>
      </c>
      <c r="O79" s="482">
        <v>0</v>
      </c>
      <c r="P79" s="482">
        <v>0</v>
      </c>
    </row>
    <row r="80" spans="2:16">
      <c r="B80" s="442">
        <f t="shared" si="1"/>
        <v>2074</v>
      </c>
      <c r="C80" s="482">
        <v>0.59</v>
      </c>
      <c r="D80" s="482">
        <v>0.44</v>
      </c>
      <c r="E80" s="482">
        <v>0.44</v>
      </c>
      <c r="F80" s="482">
        <v>0.56999999999999995</v>
      </c>
      <c r="G80" s="482">
        <v>0.56999999999999995</v>
      </c>
      <c r="H80" s="482">
        <v>0.73</v>
      </c>
      <c r="I80" s="482">
        <v>0.89</v>
      </c>
      <c r="J80" s="482">
        <v>0.56999999999999995</v>
      </c>
      <c r="K80" s="482">
        <v>0.97</v>
      </c>
      <c r="L80" s="482">
        <v>0.66</v>
      </c>
      <c r="M80" s="482">
        <v>0.95</v>
      </c>
      <c r="N80" s="482">
        <v>0</v>
      </c>
      <c r="O80" s="482">
        <v>0</v>
      </c>
      <c r="P80" s="482">
        <v>0</v>
      </c>
    </row>
    <row r="81" spans="2:16">
      <c r="B81" s="442">
        <f t="shared" si="1"/>
        <v>2075</v>
      </c>
      <c r="C81" s="482">
        <v>0.59</v>
      </c>
      <c r="D81" s="482">
        <v>0.44</v>
      </c>
      <c r="E81" s="482">
        <v>0.44</v>
      </c>
      <c r="F81" s="482">
        <v>0.56999999999999995</v>
      </c>
      <c r="G81" s="482">
        <v>0.56999999999999995</v>
      </c>
      <c r="H81" s="482">
        <v>0.73</v>
      </c>
      <c r="I81" s="482">
        <v>0.89</v>
      </c>
      <c r="J81" s="482">
        <v>0.56999999999999995</v>
      </c>
      <c r="K81" s="482">
        <v>0.97</v>
      </c>
      <c r="L81" s="482">
        <v>0.66</v>
      </c>
      <c r="M81" s="482">
        <v>0.95</v>
      </c>
      <c r="N81" s="482">
        <v>0</v>
      </c>
      <c r="O81" s="482">
        <v>0</v>
      </c>
      <c r="P81" s="482">
        <v>0</v>
      </c>
    </row>
    <row r="82" spans="2:16">
      <c r="B82" s="442">
        <f t="shared" si="1"/>
        <v>2076</v>
      </c>
      <c r="C82" s="482">
        <v>0.59</v>
      </c>
      <c r="D82" s="482">
        <v>0.44</v>
      </c>
      <c r="E82" s="482">
        <v>0.44</v>
      </c>
      <c r="F82" s="482">
        <v>0.56999999999999995</v>
      </c>
      <c r="G82" s="482">
        <v>0.56999999999999995</v>
      </c>
      <c r="H82" s="482">
        <v>0.73</v>
      </c>
      <c r="I82" s="482">
        <v>0.89</v>
      </c>
      <c r="J82" s="482">
        <v>0.56999999999999995</v>
      </c>
      <c r="K82" s="482">
        <v>0.97</v>
      </c>
      <c r="L82" s="482">
        <v>0.66</v>
      </c>
      <c r="M82" s="482">
        <v>0.95</v>
      </c>
      <c r="N82" s="482">
        <v>0</v>
      </c>
      <c r="O82" s="482">
        <v>0</v>
      </c>
      <c r="P82" s="482">
        <v>0</v>
      </c>
    </row>
    <row r="83" spans="2:16">
      <c r="B83" s="442">
        <f t="shared" si="1"/>
        <v>2077</v>
      </c>
      <c r="C83" s="482">
        <v>0.59</v>
      </c>
      <c r="D83" s="482">
        <v>0.44</v>
      </c>
      <c r="E83" s="482">
        <v>0.44</v>
      </c>
      <c r="F83" s="482">
        <v>0.56999999999999995</v>
      </c>
      <c r="G83" s="482">
        <v>0.56999999999999995</v>
      </c>
      <c r="H83" s="482">
        <v>0.73</v>
      </c>
      <c r="I83" s="482">
        <v>0.89</v>
      </c>
      <c r="J83" s="482">
        <v>0.56999999999999995</v>
      </c>
      <c r="K83" s="482">
        <v>0.97</v>
      </c>
      <c r="L83" s="482">
        <v>0.66</v>
      </c>
      <c r="M83" s="482">
        <v>0.95</v>
      </c>
      <c r="N83" s="482">
        <v>0</v>
      </c>
      <c r="O83" s="482">
        <v>0</v>
      </c>
      <c r="P83" s="482">
        <v>0</v>
      </c>
    </row>
    <row r="84" spans="2:16">
      <c r="B84" s="442">
        <f t="shared" si="1"/>
        <v>2078</v>
      </c>
      <c r="C84" s="482">
        <v>0.59</v>
      </c>
      <c r="D84" s="482">
        <v>0.44</v>
      </c>
      <c r="E84" s="482">
        <v>0.44</v>
      </c>
      <c r="F84" s="482">
        <v>0.56999999999999995</v>
      </c>
      <c r="G84" s="482">
        <v>0.56999999999999995</v>
      </c>
      <c r="H84" s="482">
        <v>0.73</v>
      </c>
      <c r="I84" s="482">
        <v>0.89</v>
      </c>
      <c r="J84" s="482">
        <v>0.56999999999999995</v>
      </c>
      <c r="K84" s="482">
        <v>0.97</v>
      </c>
      <c r="L84" s="482">
        <v>0.66</v>
      </c>
      <c r="M84" s="482">
        <v>0.95</v>
      </c>
      <c r="N84" s="482">
        <v>0</v>
      </c>
      <c r="O84" s="482">
        <v>0</v>
      </c>
      <c r="P84" s="482">
        <v>0</v>
      </c>
    </row>
    <row r="85" spans="2:16">
      <c r="B85" s="442">
        <f t="shared" si="1"/>
        <v>2079</v>
      </c>
      <c r="C85" s="482">
        <v>0.59</v>
      </c>
      <c r="D85" s="482">
        <v>0.44</v>
      </c>
      <c r="E85" s="482">
        <v>0.44</v>
      </c>
      <c r="F85" s="482">
        <v>0.56999999999999995</v>
      </c>
      <c r="G85" s="482">
        <v>0.56999999999999995</v>
      </c>
      <c r="H85" s="482">
        <v>0.73</v>
      </c>
      <c r="I85" s="482">
        <v>0.89</v>
      </c>
      <c r="J85" s="482">
        <v>0.56999999999999995</v>
      </c>
      <c r="K85" s="482">
        <v>0.97</v>
      </c>
      <c r="L85" s="482">
        <v>0.66</v>
      </c>
      <c r="M85" s="482">
        <v>0.95</v>
      </c>
      <c r="N85" s="482">
        <v>0</v>
      </c>
      <c r="O85" s="482">
        <v>0</v>
      </c>
      <c r="P85" s="482">
        <v>0</v>
      </c>
    </row>
    <row r="86" spans="2:16">
      <c r="B86" s="442">
        <f t="shared" si="1"/>
        <v>2080</v>
      </c>
      <c r="C86" s="482">
        <v>0.59</v>
      </c>
      <c r="D86" s="482">
        <v>0.44</v>
      </c>
      <c r="E86" s="482">
        <v>0.44</v>
      </c>
      <c r="F86" s="482">
        <v>0.56999999999999995</v>
      </c>
      <c r="G86" s="482">
        <v>0.56999999999999995</v>
      </c>
      <c r="H86" s="482">
        <v>0.73</v>
      </c>
      <c r="I86" s="482">
        <v>0.89</v>
      </c>
      <c r="J86" s="482">
        <v>0.56999999999999995</v>
      </c>
      <c r="K86" s="482">
        <v>0.97</v>
      </c>
      <c r="L86" s="482">
        <v>0.66</v>
      </c>
      <c r="M86" s="482">
        <v>0.95</v>
      </c>
      <c r="N86" s="482">
        <v>0</v>
      </c>
      <c r="O86" s="482">
        <v>0</v>
      </c>
      <c r="P86" s="482">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7" t="str">
        <f>city</f>
        <v>Kalimantan Timur</v>
      </c>
      <c r="J2" s="828"/>
      <c r="K2" s="828"/>
      <c r="L2" s="828"/>
      <c r="M2" s="828"/>
      <c r="N2" s="828"/>
      <c r="O2" s="828"/>
    </row>
    <row r="3" spans="2:16" ht="16.5" thickBot="1">
      <c r="C3" s="4"/>
      <c r="H3" s="5" t="s">
        <v>276</v>
      </c>
      <c r="I3" s="827" t="str">
        <f>province</f>
        <v>Kalimantan Timur</v>
      </c>
      <c r="J3" s="828"/>
      <c r="K3" s="828"/>
      <c r="L3" s="828"/>
      <c r="M3" s="828"/>
      <c r="N3" s="828"/>
      <c r="O3" s="828"/>
    </row>
    <row r="4" spans="2:16" ht="16.5" thickBot="1">
      <c r="D4" s="4"/>
      <c r="E4" s="4"/>
      <c r="H4" s="5" t="s">
        <v>30</v>
      </c>
      <c r="I4" s="827" t="str">
        <f>country</f>
        <v>Indonesia</v>
      </c>
      <c r="J4" s="828"/>
      <c r="K4" s="828"/>
      <c r="L4" s="828"/>
      <c r="M4" s="828"/>
      <c r="N4" s="828"/>
      <c r="O4" s="828"/>
      <c r="P4" s="604"/>
    </row>
    <row r="5" spans="2:16">
      <c r="C5" s="5"/>
      <c r="D5" s="5"/>
      <c r="E5" s="5"/>
      <c r="F5" s="69"/>
      <c r="G5" s="69"/>
      <c r="P5" s="604"/>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33" t="s">
        <v>32</v>
      </c>
      <c r="D10" s="834"/>
      <c r="E10" s="834"/>
      <c r="F10" s="834"/>
      <c r="G10" s="834"/>
      <c r="H10" s="834"/>
      <c r="I10" s="834"/>
      <c r="J10" s="834"/>
      <c r="K10" s="834"/>
      <c r="L10" s="834"/>
      <c r="M10" s="834"/>
      <c r="N10" s="834"/>
      <c r="O10" s="834"/>
      <c r="P10" s="835"/>
    </row>
    <row r="11" spans="2:16" ht="13.5" customHeight="1" thickBot="1">
      <c r="C11" s="816" t="s">
        <v>228</v>
      </c>
      <c r="D11" s="816" t="s">
        <v>262</v>
      </c>
      <c r="E11" s="816" t="s">
        <v>267</v>
      </c>
      <c r="F11" s="816" t="s">
        <v>261</v>
      </c>
      <c r="G11" s="816" t="s">
        <v>2</v>
      </c>
      <c r="H11" s="816" t="s">
        <v>16</v>
      </c>
      <c r="I11" s="816" t="s">
        <v>229</v>
      </c>
      <c r="J11" s="829" t="s">
        <v>273</v>
      </c>
      <c r="K11" s="830"/>
      <c r="L11" s="830"/>
      <c r="M11" s="831"/>
      <c r="N11" s="816" t="s">
        <v>146</v>
      </c>
      <c r="O11" s="816" t="s">
        <v>210</v>
      </c>
      <c r="P11" s="815" t="s">
        <v>308</v>
      </c>
    </row>
    <row r="12" spans="2:16" s="1" customFormat="1">
      <c r="B12" s="419" t="s">
        <v>1</v>
      </c>
      <c r="C12" s="832"/>
      <c r="D12" s="832"/>
      <c r="E12" s="832"/>
      <c r="F12" s="832"/>
      <c r="G12" s="832"/>
      <c r="H12" s="832"/>
      <c r="I12" s="832"/>
      <c r="J12" s="423" t="s">
        <v>230</v>
      </c>
      <c r="K12" s="423" t="s">
        <v>231</v>
      </c>
      <c r="L12" s="423" t="s">
        <v>232</v>
      </c>
      <c r="M12" s="419" t="s">
        <v>233</v>
      </c>
      <c r="N12" s="832"/>
      <c r="O12" s="832"/>
      <c r="P12" s="832"/>
    </row>
    <row r="13" spans="2:16" s="3" customFormat="1" ht="13.5" thickBot="1">
      <c r="B13" s="33"/>
      <c r="C13" s="420" t="s">
        <v>15</v>
      </c>
      <c r="D13" s="421" t="s">
        <v>15</v>
      </c>
      <c r="E13" s="421" t="s">
        <v>15</v>
      </c>
      <c r="F13" s="422" t="s">
        <v>15</v>
      </c>
      <c r="G13" s="421" t="s">
        <v>15</v>
      </c>
      <c r="H13" s="422" t="s">
        <v>15</v>
      </c>
      <c r="I13" s="422" t="s">
        <v>15</v>
      </c>
      <c r="J13" s="422" t="s">
        <v>15</v>
      </c>
      <c r="K13" s="422" t="s">
        <v>15</v>
      </c>
      <c r="L13" s="422" t="s">
        <v>15</v>
      </c>
      <c r="M13" s="422" t="s">
        <v>15</v>
      </c>
      <c r="N13" s="422" t="s">
        <v>15</v>
      </c>
      <c r="O13" s="493" t="s">
        <v>15</v>
      </c>
      <c r="P13" s="493" t="s">
        <v>15</v>
      </c>
    </row>
    <row r="14" spans="2:16">
      <c r="B14" s="129">
        <f>year</f>
        <v>2000</v>
      </c>
      <c r="C14" s="613">
        <f>Activity!$C13*Activity!$D13*Activity!E13</f>
        <v>0</v>
      </c>
      <c r="D14" s="614">
        <f>Activity!$C13*Activity!$D13*Activity!F13</f>
        <v>0</v>
      </c>
      <c r="E14" s="614">
        <f>Activity!$C13*Activity!$D13*Activity!G13</f>
        <v>0</v>
      </c>
      <c r="F14" s="614">
        <f>Activity!$C13*Activity!$D13*Activity!H13</f>
        <v>0</v>
      </c>
      <c r="G14" s="614">
        <f>Activity!$C13*Activity!$D13*Activity!I13</f>
        <v>0</v>
      </c>
      <c r="H14" s="614">
        <f>Activity!$C13*Activity!$D13*Activity!J13</f>
        <v>0</v>
      </c>
      <c r="I14" s="614">
        <f>Activity!$C13*Activity!$D13*Activity!K13</f>
        <v>0</v>
      </c>
      <c r="J14" s="614">
        <f>Activity!$C13*Activity!$D13*Activity!L13</f>
        <v>0</v>
      </c>
      <c r="K14" s="615">
        <f>Activity!$C13*Activity!$D13*Activity!M13</f>
        <v>0</v>
      </c>
      <c r="L14" s="615">
        <f>Activity!$C13*Activity!$D13*Activity!N13</f>
        <v>0</v>
      </c>
      <c r="M14" s="614">
        <f>Activity!$C13*Activity!$D13*Activity!O13</f>
        <v>0</v>
      </c>
      <c r="N14" s="474">
        <v>0</v>
      </c>
      <c r="O14" s="622">
        <f>Activity!C13*Activity!D13</f>
        <v>0</v>
      </c>
      <c r="P14" s="623">
        <f>Activity!X13</f>
        <v>0</v>
      </c>
    </row>
    <row r="15" spans="2:16">
      <c r="B15" s="34">
        <f>B14+1</f>
        <v>2001</v>
      </c>
      <c r="C15" s="616">
        <f>Activity!$C14*Activity!$D14*Activity!E14</f>
        <v>0</v>
      </c>
      <c r="D15" s="617">
        <f>Activity!$C14*Activity!$D14*Activity!F14</f>
        <v>0</v>
      </c>
      <c r="E15" s="615">
        <f>Activity!$C14*Activity!$D14*Activity!G14</f>
        <v>0</v>
      </c>
      <c r="F15" s="617">
        <f>Activity!$C14*Activity!$D14*Activity!H14</f>
        <v>0</v>
      </c>
      <c r="G15" s="617">
        <f>Activity!$C14*Activity!$D14*Activity!I14</f>
        <v>0</v>
      </c>
      <c r="H15" s="617">
        <f>Activity!$C14*Activity!$D14*Activity!J14</f>
        <v>0</v>
      </c>
      <c r="I15" s="617">
        <f>Activity!$C14*Activity!$D14*Activity!K14</f>
        <v>0</v>
      </c>
      <c r="J15" s="618">
        <f>Activity!$C14*Activity!$D14*Activity!L14</f>
        <v>0</v>
      </c>
      <c r="K15" s="617">
        <f>Activity!$C14*Activity!$D14*Activity!M14</f>
        <v>0</v>
      </c>
      <c r="L15" s="617">
        <f>Activity!$C14*Activity!$D14*Activity!N14</f>
        <v>0</v>
      </c>
      <c r="M15" s="615">
        <f>Activity!$C14*Activity!$D14*Activity!O14</f>
        <v>0</v>
      </c>
      <c r="N15" s="475">
        <v>0</v>
      </c>
      <c r="O15" s="617">
        <f>Activity!C14*Activity!D14</f>
        <v>0</v>
      </c>
      <c r="P15" s="624">
        <f>Activity!X14</f>
        <v>0</v>
      </c>
    </row>
    <row r="16" spans="2:16">
      <c r="B16" s="7">
        <f t="shared" ref="B16:B21" si="0">B15+1</f>
        <v>2002</v>
      </c>
      <c r="C16" s="616">
        <f>Activity!$C15*Activity!$D15*Activity!E15</f>
        <v>0</v>
      </c>
      <c r="D16" s="617">
        <f>Activity!$C15*Activity!$D15*Activity!F15</f>
        <v>0</v>
      </c>
      <c r="E16" s="615">
        <f>Activity!$C15*Activity!$D15*Activity!G15</f>
        <v>0</v>
      </c>
      <c r="F16" s="617">
        <f>Activity!$C15*Activity!$D15*Activity!H15</f>
        <v>0</v>
      </c>
      <c r="G16" s="617">
        <f>Activity!$C15*Activity!$D15*Activity!I15</f>
        <v>0</v>
      </c>
      <c r="H16" s="617">
        <f>Activity!$C15*Activity!$D15*Activity!J15</f>
        <v>0</v>
      </c>
      <c r="I16" s="617">
        <f>Activity!$C15*Activity!$D15*Activity!K15</f>
        <v>0</v>
      </c>
      <c r="J16" s="618">
        <f>Activity!$C15*Activity!$D15*Activity!L15</f>
        <v>0</v>
      </c>
      <c r="K16" s="617">
        <f>Activity!$C15*Activity!$D15*Activity!M15</f>
        <v>0</v>
      </c>
      <c r="L16" s="617">
        <f>Activity!$C15*Activity!$D15*Activity!N15</f>
        <v>0</v>
      </c>
      <c r="M16" s="615">
        <f>Activity!$C15*Activity!$D15*Activity!O15</f>
        <v>0</v>
      </c>
      <c r="N16" s="475">
        <v>0</v>
      </c>
      <c r="O16" s="617">
        <f>Activity!C15*Activity!D15</f>
        <v>0</v>
      </c>
      <c r="P16" s="624">
        <f>Activity!X15</f>
        <v>0</v>
      </c>
    </row>
    <row r="17" spans="2:16">
      <c r="B17" s="7">
        <f t="shared" si="0"/>
        <v>2003</v>
      </c>
      <c r="C17" s="616">
        <f>Activity!$C16*Activity!$D16*Activity!E16</f>
        <v>0</v>
      </c>
      <c r="D17" s="617">
        <f>Activity!$C16*Activity!$D16*Activity!F16</f>
        <v>0</v>
      </c>
      <c r="E17" s="615">
        <f>Activity!$C16*Activity!$D16*Activity!G16</f>
        <v>0</v>
      </c>
      <c r="F17" s="617">
        <f>Activity!$C16*Activity!$D16*Activity!H16</f>
        <v>0</v>
      </c>
      <c r="G17" s="617">
        <f>Activity!$C16*Activity!$D16*Activity!I16</f>
        <v>0</v>
      </c>
      <c r="H17" s="617">
        <f>Activity!$C16*Activity!$D16*Activity!J16</f>
        <v>0</v>
      </c>
      <c r="I17" s="617">
        <f>Activity!$C16*Activity!$D16*Activity!K16</f>
        <v>0</v>
      </c>
      <c r="J17" s="618">
        <f>Activity!$C16*Activity!$D16*Activity!L16</f>
        <v>0</v>
      </c>
      <c r="K17" s="617">
        <f>Activity!$C16*Activity!$D16*Activity!M16</f>
        <v>0</v>
      </c>
      <c r="L17" s="617">
        <f>Activity!$C16*Activity!$D16*Activity!N16</f>
        <v>0</v>
      </c>
      <c r="M17" s="615">
        <f>Activity!$C16*Activity!$D16*Activity!O16</f>
        <v>0</v>
      </c>
      <c r="N17" s="475">
        <v>0</v>
      </c>
      <c r="O17" s="617">
        <f>Activity!C16*Activity!D16</f>
        <v>0</v>
      </c>
      <c r="P17" s="624">
        <f>Activity!X16</f>
        <v>0</v>
      </c>
    </row>
    <row r="18" spans="2:16">
      <c r="B18" s="7">
        <f t="shared" si="0"/>
        <v>2004</v>
      </c>
      <c r="C18" s="616">
        <f>Activity!$C17*Activity!$D17*Activity!E17</f>
        <v>0</v>
      </c>
      <c r="D18" s="617">
        <f>Activity!$C17*Activity!$D17*Activity!F17</f>
        <v>0</v>
      </c>
      <c r="E18" s="615">
        <f>Activity!$C17*Activity!$D17*Activity!G17</f>
        <v>0</v>
      </c>
      <c r="F18" s="617">
        <f>Activity!$C17*Activity!$D17*Activity!H17</f>
        <v>0</v>
      </c>
      <c r="G18" s="617">
        <f>Activity!$C17*Activity!$D17*Activity!I17</f>
        <v>0</v>
      </c>
      <c r="H18" s="617">
        <f>Activity!$C17*Activity!$D17*Activity!J17</f>
        <v>0</v>
      </c>
      <c r="I18" s="617">
        <f>Activity!$C17*Activity!$D17*Activity!K17</f>
        <v>0</v>
      </c>
      <c r="J18" s="618">
        <f>Activity!$C17*Activity!$D17*Activity!L17</f>
        <v>0</v>
      </c>
      <c r="K18" s="617">
        <f>Activity!$C17*Activity!$D17*Activity!M17</f>
        <v>0</v>
      </c>
      <c r="L18" s="617">
        <f>Activity!$C17*Activity!$D17*Activity!N17</f>
        <v>0</v>
      </c>
      <c r="M18" s="615">
        <f>Activity!$C17*Activity!$D17*Activity!O17</f>
        <v>0</v>
      </c>
      <c r="N18" s="475">
        <v>0</v>
      </c>
      <c r="O18" s="617">
        <f>Activity!C17*Activity!D17</f>
        <v>0</v>
      </c>
      <c r="P18" s="624">
        <f>Activity!X17</f>
        <v>0</v>
      </c>
    </row>
    <row r="19" spans="2:16">
      <c r="B19" s="7">
        <f t="shared" si="0"/>
        <v>2005</v>
      </c>
      <c r="C19" s="616">
        <f>Activity!$C18*Activity!$D18*Activity!E18</f>
        <v>0</v>
      </c>
      <c r="D19" s="617">
        <f>Activity!$C18*Activity!$D18*Activity!F18</f>
        <v>0</v>
      </c>
      <c r="E19" s="615">
        <f>Activity!$C18*Activity!$D18*Activity!G18</f>
        <v>0</v>
      </c>
      <c r="F19" s="617">
        <f>Activity!$C18*Activity!$D18*Activity!H18</f>
        <v>0</v>
      </c>
      <c r="G19" s="617">
        <f>Activity!$C18*Activity!$D18*Activity!I18</f>
        <v>0</v>
      </c>
      <c r="H19" s="617">
        <f>Activity!$C18*Activity!$D18*Activity!J18</f>
        <v>0</v>
      </c>
      <c r="I19" s="617">
        <f>Activity!$C18*Activity!$D18*Activity!K18</f>
        <v>0</v>
      </c>
      <c r="J19" s="618">
        <f>Activity!$C18*Activity!$D18*Activity!L18</f>
        <v>0</v>
      </c>
      <c r="K19" s="617">
        <f>Activity!$C18*Activity!$D18*Activity!M18</f>
        <v>0</v>
      </c>
      <c r="L19" s="617">
        <f>Activity!$C18*Activity!$D18*Activity!N18</f>
        <v>0</v>
      </c>
      <c r="M19" s="615">
        <f>Activity!$C18*Activity!$D18*Activity!O18</f>
        <v>0</v>
      </c>
      <c r="N19" s="475">
        <v>0</v>
      </c>
      <c r="O19" s="617">
        <f>Activity!C18*Activity!D18</f>
        <v>0</v>
      </c>
      <c r="P19" s="624">
        <f>Activity!X18</f>
        <v>0</v>
      </c>
    </row>
    <row r="20" spans="2:16">
      <c r="B20" s="7">
        <f t="shared" si="0"/>
        <v>2006</v>
      </c>
      <c r="C20" s="616">
        <f>Activity!$C19*Activity!$D19*Activity!E19</f>
        <v>0</v>
      </c>
      <c r="D20" s="617">
        <f>Activity!$C19*Activity!$D19*Activity!F19</f>
        <v>0</v>
      </c>
      <c r="E20" s="615">
        <f>Activity!$C19*Activity!$D19*Activity!G19</f>
        <v>0</v>
      </c>
      <c r="F20" s="617">
        <f>Activity!$C19*Activity!$D19*Activity!H19</f>
        <v>0</v>
      </c>
      <c r="G20" s="617">
        <f>Activity!$C19*Activity!$D19*Activity!I19</f>
        <v>0</v>
      </c>
      <c r="H20" s="617">
        <f>Activity!$C19*Activity!$D19*Activity!J19</f>
        <v>0</v>
      </c>
      <c r="I20" s="617">
        <f>Activity!$C19*Activity!$D19*Activity!K19</f>
        <v>0</v>
      </c>
      <c r="J20" s="618">
        <f>Activity!$C19*Activity!$D19*Activity!L19</f>
        <v>0</v>
      </c>
      <c r="K20" s="617">
        <f>Activity!$C19*Activity!$D19*Activity!M19</f>
        <v>0</v>
      </c>
      <c r="L20" s="617">
        <f>Activity!$C19*Activity!$D19*Activity!N19</f>
        <v>0</v>
      </c>
      <c r="M20" s="615">
        <f>Activity!$C19*Activity!$D19*Activity!O19</f>
        <v>0</v>
      </c>
      <c r="N20" s="475">
        <v>0</v>
      </c>
      <c r="O20" s="617">
        <f>Activity!C19*Activity!D19</f>
        <v>0</v>
      </c>
      <c r="P20" s="624">
        <f>Activity!X19</f>
        <v>0</v>
      </c>
    </row>
    <row r="21" spans="2:16">
      <c r="B21" s="7">
        <f t="shared" si="0"/>
        <v>2007</v>
      </c>
      <c r="C21" s="616">
        <f>Activity!$C20*Activity!$D20*Activity!E20</f>
        <v>0</v>
      </c>
      <c r="D21" s="617">
        <f>Activity!$C20*Activity!$D20*Activity!F20</f>
        <v>0</v>
      </c>
      <c r="E21" s="615">
        <f>Activity!$C20*Activity!$D20*Activity!G20</f>
        <v>0</v>
      </c>
      <c r="F21" s="617">
        <f>Activity!$C20*Activity!$D20*Activity!H20</f>
        <v>0</v>
      </c>
      <c r="G21" s="617">
        <f>Activity!$C20*Activity!$D20*Activity!I20</f>
        <v>0</v>
      </c>
      <c r="H21" s="617">
        <f>Activity!$C20*Activity!$D20*Activity!J20</f>
        <v>0</v>
      </c>
      <c r="I21" s="617">
        <f>Activity!$C20*Activity!$D20*Activity!K20</f>
        <v>0</v>
      </c>
      <c r="J21" s="618">
        <f>Activity!$C20*Activity!$D20*Activity!L20</f>
        <v>0</v>
      </c>
      <c r="K21" s="617">
        <f>Activity!$C20*Activity!$D20*Activity!M20</f>
        <v>0</v>
      </c>
      <c r="L21" s="617">
        <f>Activity!$C20*Activity!$D20*Activity!N20</f>
        <v>0</v>
      </c>
      <c r="M21" s="615">
        <f>Activity!$C20*Activity!$D20*Activity!O20</f>
        <v>0</v>
      </c>
      <c r="N21" s="475">
        <v>0</v>
      </c>
      <c r="O21" s="617">
        <f>Activity!C20*Activity!D20</f>
        <v>0</v>
      </c>
      <c r="P21" s="624">
        <f>Activity!X20</f>
        <v>0</v>
      </c>
    </row>
    <row r="22" spans="2:16">
      <c r="B22" s="7">
        <f t="shared" ref="B22:B85" si="1">B21+1</f>
        <v>2008</v>
      </c>
      <c r="C22" s="616">
        <f>Activity!$C21*Activity!$D21*Activity!E21</f>
        <v>0</v>
      </c>
      <c r="D22" s="617">
        <f>Activity!$C21*Activity!$D21*Activity!F21</f>
        <v>0</v>
      </c>
      <c r="E22" s="615">
        <f>Activity!$C21*Activity!$D21*Activity!G21</f>
        <v>0</v>
      </c>
      <c r="F22" s="617">
        <f>Activity!$C21*Activity!$D21*Activity!H21</f>
        <v>0</v>
      </c>
      <c r="G22" s="617">
        <f>Activity!$C21*Activity!$D21*Activity!I21</f>
        <v>0</v>
      </c>
      <c r="H22" s="617">
        <f>Activity!$C21*Activity!$D21*Activity!J21</f>
        <v>0</v>
      </c>
      <c r="I22" s="617">
        <f>Activity!$C21*Activity!$D21*Activity!K21</f>
        <v>0</v>
      </c>
      <c r="J22" s="618">
        <f>Activity!$C21*Activity!$D21*Activity!L21</f>
        <v>0</v>
      </c>
      <c r="K22" s="617">
        <f>Activity!$C21*Activity!$D21*Activity!M21</f>
        <v>0</v>
      </c>
      <c r="L22" s="617">
        <f>Activity!$C21*Activity!$D21*Activity!N21</f>
        <v>0</v>
      </c>
      <c r="M22" s="615">
        <f>Activity!$C21*Activity!$D21*Activity!O21</f>
        <v>0</v>
      </c>
      <c r="N22" s="475">
        <v>0</v>
      </c>
      <c r="O22" s="617">
        <f>Activity!C21*Activity!D21</f>
        <v>0</v>
      </c>
      <c r="P22" s="624">
        <f>Activity!X21</f>
        <v>0</v>
      </c>
    </row>
    <row r="23" spans="2:16">
      <c r="B23" s="7">
        <f t="shared" si="1"/>
        <v>2009</v>
      </c>
      <c r="C23" s="616">
        <f>Activity!$C22*Activity!$D22*Activity!E22</f>
        <v>0</v>
      </c>
      <c r="D23" s="617">
        <f>Activity!$C22*Activity!$D22*Activity!F22</f>
        <v>0</v>
      </c>
      <c r="E23" s="615">
        <f>Activity!$C22*Activity!$D22*Activity!G22</f>
        <v>0</v>
      </c>
      <c r="F23" s="617">
        <f>Activity!$C22*Activity!$D22*Activity!H22</f>
        <v>0</v>
      </c>
      <c r="G23" s="617">
        <f>Activity!$C22*Activity!$D22*Activity!I22</f>
        <v>0</v>
      </c>
      <c r="H23" s="617">
        <f>Activity!$C22*Activity!$D22*Activity!J22</f>
        <v>0</v>
      </c>
      <c r="I23" s="617">
        <f>Activity!$C22*Activity!$D22*Activity!K22</f>
        <v>0</v>
      </c>
      <c r="J23" s="618">
        <f>Activity!$C22*Activity!$D22*Activity!L22</f>
        <v>0</v>
      </c>
      <c r="K23" s="617">
        <f>Activity!$C22*Activity!$D22*Activity!M22</f>
        <v>0</v>
      </c>
      <c r="L23" s="617">
        <f>Activity!$C22*Activity!$D22*Activity!N22</f>
        <v>0</v>
      </c>
      <c r="M23" s="615">
        <f>Activity!$C22*Activity!$D22*Activity!O22</f>
        <v>0</v>
      </c>
      <c r="N23" s="475">
        <v>0</v>
      </c>
      <c r="O23" s="617">
        <f>Activity!C22*Activity!D22</f>
        <v>0</v>
      </c>
      <c r="P23" s="624">
        <f>Activity!X22</f>
        <v>0</v>
      </c>
    </row>
    <row r="24" spans="2:16">
      <c r="B24" s="7">
        <f t="shared" si="1"/>
        <v>2010</v>
      </c>
      <c r="C24" s="616">
        <f>Activity!$C23*Activity!$D23*Activity!E23</f>
        <v>0</v>
      </c>
      <c r="D24" s="617">
        <f>Activity!$C23*Activity!$D23*Activity!F23</f>
        <v>0</v>
      </c>
      <c r="E24" s="615">
        <f>Activity!$C23*Activity!$D23*Activity!G23</f>
        <v>0</v>
      </c>
      <c r="F24" s="617">
        <f>Activity!$C23*Activity!$D23*Activity!H23</f>
        <v>0</v>
      </c>
      <c r="G24" s="617">
        <f>Activity!$C23*Activity!$D23*Activity!I23</f>
        <v>0</v>
      </c>
      <c r="H24" s="617">
        <f>Activity!$C23*Activity!$D23*Activity!J23</f>
        <v>0</v>
      </c>
      <c r="I24" s="617">
        <f>Activity!$C23*Activity!$D23*Activity!K23</f>
        <v>0</v>
      </c>
      <c r="J24" s="618">
        <f>Activity!$C23*Activity!$D23*Activity!L23</f>
        <v>0</v>
      </c>
      <c r="K24" s="617">
        <f>Activity!$C23*Activity!$D23*Activity!M23</f>
        <v>0</v>
      </c>
      <c r="L24" s="617">
        <f>Activity!$C23*Activity!$D23*Activity!N23</f>
        <v>0</v>
      </c>
      <c r="M24" s="615">
        <f>Activity!$C23*Activity!$D23*Activity!O23</f>
        <v>0</v>
      </c>
      <c r="N24" s="475">
        <v>0</v>
      </c>
      <c r="O24" s="617">
        <f>Activity!C23*Activity!D23</f>
        <v>0</v>
      </c>
      <c r="P24" s="624">
        <f>Activity!X23</f>
        <v>0</v>
      </c>
    </row>
    <row r="25" spans="2:16">
      <c r="B25" s="7">
        <f t="shared" si="1"/>
        <v>2011</v>
      </c>
      <c r="C25" s="616">
        <f>Activity!$C24*Activity!$D24*Activity!E24</f>
        <v>0</v>
      </c>
      <c r="D25" s="617">
        <f>Activity!$C24*Activity!$D24*Activity!F24</f>
        <v>0</v>
      </c>
      <c r="E25" s="615">
        <f>Activity!$C24*Activity!$D24*Activity!G24</f>
        <v>0</v>
      </c>
      <c r="F25" s="617">
        <f>Activity!$C24*Activity!$D24*Activity!H24</f>
        <v>0</v>
      </c>
      <c r="G25" s="617">
        <f>Activity!$C24*Activity!$D24*Activity!I24</f>
        <v>0</v>
      </c>
      <c r="H25" s="617">
        <f>Activity!$C24*Activity!$D24*Activity!J24</f>
        <v>0</v>
      </c>
      <c r="I25" s="617">
        <f>Activity!$C24*Activity!$D24*Activity!K24</f>
        <v>0</v>
      </c>
      <c r="J25" s="618">
        <f>Activity!$C24*Activity!$D24*Activity!L24</f>
        <v>0</v>
      </c>
      <c r="K25" s="617">
        <f>Activity!$C24*Activity!$D24*Activity!M24</f>
        <v>0</v>
      </c>
      <c r="L25" s="617">
        <f>Activity!$C24*Activity!$D24*Activity!N24</f>
        <v>0</v>
      </c>
      <c r="M25" s="615">
        <f>Activity!$C24*Activity!$D24*Activity!O24</f>
        <v>0</v>
      </c>
      <c r="N25" s="475">
        <v>0</v>
      </c>
      <c r="O25" s="617">
        <f>Activity!C24*Activity!D24</f>
        <v>0</v>
      </c>
      <c r="P25" s="624">
        <f>Activity!X24</f>
        <v>0</v>
      </c>
    </row>
    <row r="26" spans="2:16">
      <c r="B26" s="7">
        <f t="shared" si="1"/>
        <v>2012</v>
      </c>
      <c r="C26" s="616">
        <f>Activity!$C25*Activity!$D25*Activity!E25</f>
        <v>0</v>
      </c>
      <c r="D26" s="617">
        <f>Activity!$C25*Activity!$D25*Activity!F25</f>
        <v>0</v>
      </c>
      <c r="E26" s="615">
        <f>Activity!$C25*Activity!$D25*Activity!G25</f>
        <v>0</v>
      </c>
      <c r="F26" s="617">
        <f>Activity!$C25*Activity!$D25*Activity!H25</f>
        <v>0</v>
      </c>
      <c r="G26" s="617">
        <f>Activity!$C25*Activity!$D25*Activity!I25</f>
        <v>0</v>
      </c>
      <c r="H26" s="617">
        <f>Activity!$C25*Activity!$D25*Activity!J25</f>
        <v>0</v>
      </c>
      <c r="I26" s="617">
        <f>Activity!$C25*Activity!$D25*Activity!K25</f>
        <v>0</v>
      </c>
      <c r="J26" s="618">
        <f>Activity!$C25*Activity!$D25*Activity!L25</f>
        <v>0</v>
      </c>
      <c r="K26" s="617">
        <f>Activity!$C25*Activity!$D25*Activity!M25</f>
        <v>0</v>
      </c>
      <c r="L26" s="617">
        <f>Activity!$C25*Activity!$D25*Activity!N25</f>
        <v>0</v>
      </c>
      <c r="M26" s="615">
        <f>Activity!$C25*Activity!$D25*Activity!O25</f>
        <v>0</v>
      </c>
      <c r="N26" s="475">
        <v>0</v>
      </c>
      <c r="O26" s="617">
        <f>Activity!C25*Activity!D25</f>
        <v>0</v>
      </c>
      <c r="P26" s="624">
        <f>Activity!X25</f>
        <v>0</v>
      </c>
    </row>
    <row r="27" spans="2:16">
      <c r="B27" s="7">
        <f t="shared" si="1"/>
        <v>2013</v>
      </c>
      <c r="C27" s="616">
        <f>Activity!$C26*Activity!$D26*Activity!E26</f>
        <v>0</v>
      </c>
      <c r="D27" s="617">
        <f>Activity!$C26*Activity!$D26*Activity!F26</f>
        <v>0</v>
      </c>
      <c r="E27" s="615">
        <f>Activity!$C26*Activity!$D26*Activity!G26</f>
        <v>0</v>
      </c>
      <c r="F27" s="617">
        <f>Activity!$C26*Activity!$D26*Activity!H26</f>
        <v>0</v>
      </c>
      <c r="G27" s="617">
        <f>Activity!$C26*Activity!$D26*Activity!I26</f>
        <v>0</v>
      </c>
      <c r="H27" s="617">
        <f>Activity!$C26*Activity!$D26*Activity!J26</f>
        <v>0</v>
      </c>
      <c r="I27" s="617">
        <f>Activity!$C26*Activity!$D26*Activity!K26</f>
        <v>0</v>
      </c>
      <c r="J27" s="618">
        <f>Activity!$C26*Activity!$D26*Activity!L26</f>
        <v>0</v>
      </c>
      <c r="K27" s="617">
        <f>Activity!$C26*Activity!$D26*Activity!M26</f>
        <v>0</v>
      </c>
      <c r="L27" s="617">
        <f>Activity!$C26*Activity!$D26*Activity!N26</f>
        <v>0</v>
      </c>
      <c r="M27" s="615">
        <f>Activity!$C26*Activity!$D26*Activity!O26</f>
        <v>0</v>
      </c>
      <c r="N27" s="475">
        <v>0</v>
      </c>
      <c r="O27" s="617">
        <f>Activity!C26*Activity!D26</f>
        <v>0</v>
      </c>
      <c r="P27" s="624">
        <f>Activity!X26</f>
        <v>0</v>
      </c>
    </row>
    <row r="28" spans="2:16">
      <c r="B28" s="7">
        <f t="shared" si="1"/>
        <v>2014</v>
      </c>
      <c r="C28" s="616">
        <f>Activity!$C27*Activity!$D27*Activity!E27</f>
        <v>0</v>
      </c>
      <c r="D28" s="617">
        <f>Activity!$C27*Activity!$D27*Activity!F27</f>
        <v>0</v>
      </c>
      <c r="E28" s="615">
        <f>Activity!$C27*Activity!$D27*Activity!G27</f>
        <v>0</v>
      </c>
      <c r="F28" s="617">
        <f>Activity!$C27*Activity!$D27*Activity!H27</f>
        <v>0</v>
      </c>
      <c r="G28" s="617">
        <f>Activity!$C27*Activity!$D27*Activity!I27</f>
        <v>0</v>
      </c>
      <c r="H28" s="617">
        <f>Activity!$C27*Activity!$D27*Activity!J27</f>
        <v>0</v>
      </c>
      <c r="I28" s="617">
        <f>Activity!$C27*Activity!$D27*Activity!K27</f>
        <v>0</v>
      </c>
      <c r="J28" s="618">
        <f>Activity!$C27*Activity!$D27*Activity!L27</f>
        <v>0</v>
      </c>
      <c r="K28" s="617">
        <f>Activity!$C27*Activity!$D27*Activity!M27</f>
        <v>0</v>
      </c>
      <c r="L28" s="617">
        <f>Activity!$C27*Activity!$D27*Activity!N27</f>
        <v>0</v>
      </c>
      <c r="M28" s="615">
        <f>Activity!$C27*Activity!$D27*Activity!O27</f>
        <v>0</v>
      </c>
      <c r="N28" s="475">
        <v>0</v>
      </c>
      <c r="O28" s="617">
        <f>Activity!C27*Activity!D27</f>
        <v>0</v>
      </c>
      <c r="P28" s="624">
        <f>Activity!X27</f>
        <v>0</v>
      </c>
    </row>
    <row r="29" spans="2:16">
      <c r="B29" s="7">
        <f t="shared" si="1"/>
        <v>2015</v>
      </c>
      <c r="C29" s="616">
        <f>Activity!$C28*Activity!$D28*Activity!E28</f>
        <v>0</v>
      </c>
      <c r="D29" s="617">
        <f>Activity!$C28*Activity!$D28*Activity!F28</f>
        <v>0</v>
      </c>
      <c r="E29" s="615">
        <f>Activity!$C28*Activity!$D28*Activity!G28</f>
        <v>0</v>
      </c>
      <c r="F29" s="617">
        <f>Activity!$C28*Activity!$D28*Activity!H28</f>
        <v>0</v>
      </c>
      <c r="G29" s="617">
        <f>Activity!$C28*Activity!$D28*Activity!I28</f>
        <v>0</v>
      </c>
      <c r="H29" s="617">
        <f>Activity!$C28*Activity!$D28*Activity!J28</f>
        <v>0</v>
      </c>
      <c r="I29" s="617">
        <f>Activity!$C28*Activity!$D28*Activity!K28</f>
        <v>0</v>
      </c>
      <c r="J29" s="618">
        <f>Activity!$C28*Activity!$D28*Activity!L28</f>
        <v>0</v>
      </c>
      <c r="K29" s="617">
        <f>Activity!$C28*Activity!$D28*Activity!M28</f>
        <v>0</v>
      </c>
      <c r="L29" s="617">
        <f>Activity!$C28*Activity!$D28*Activity!N28</f>
        <v>0</v>
      </c>
      <c r="M29" s="615">
        <f>Activity!$C28*Activity!$D28*Activity!O28</f>
        <v>0</v>
      </c>
      <c r="N29" s="475">
        <v>0</v>
      </c>
      <c r="O29" s="617">
        <f>Activity!C28*Activity!D28</f>
        <v>0</v>
      </c>
      <c r="P29" s="624">
        <f>Activity!X28</f>
        <v>0</v>
      </c>
    </row>
    <row r="30" spans="2:16">
      <c r="B30" s="7">
        <f t="shared" si="1"/>
        <v>2016</v>
      </c>
      <c r="C30" s="616">
        <f>Activity!$C29*Activity!$D29*Activity!E29</f>
        <v>0</v>
      </c>
      <c r="D30" s="617">
        <f>Activity!$C29*Activity!$D29*Activity!F29</f>
        <v>0</v>
      </c>
      <c r="E30" s="615">
        <f>Activity!$C29*Activity!$D29*Activity!G29</f>
        <v>0</v>
      </c>
      <c r="F30" s="617">
        <f>Activity!$C29*Activity!$D29*Activity!H29</f>
        <v>0</v>
      </c>
      <c r="G30" s="617">
        <f>Activity!$C29*Activity!$D29*Activity!I29</f>
        <v>0</v>
      </c>
      <c r="H30" s="617">
        <f>Activity!$C29*Activity!$D29*Activity!J29</f>
        <v>0</v>
      </c>
      <c r="I30" s="617">
        <f>Activity!$C29*Activity!$D29*Activity!K29</f>
        <v>0</v>
      </c>
      <c r="J30" s="618">
        <f>Activity!$C29*Activity!$D29*Activity!L29</f>
        <v>0</v>
      </c>
      <c r="K30" s="617">
        <f>Activity!$C29*Activity!$D29*Activity!M29</f>
        <v>0</v>
      </c>
      <c r="L30" s="617">
        <f>Activity!$C29*Activity!$D29*Activity!N29</f>
        <v>0</v>
      </c>
      <c r="M30" s="615">
        <f>Activity!$C29*Activity!$D29*Activity!O29</f>
        <v>0</v>
      </c>
      <c r="N30" s="475">
        <v>0</v>
      </c>
      <c r="O30" s="617">
        <f>Activity!C29*Activity!D29</f>
        <v>0</v>
      </c>
      <c r="P30" s="624">
        <f>Activity!X29</f>
        <v>0</v>
      </c>
    </row>
    <row r="31" spans="2:16">
      <c r="B31" s="7">
        <f t="shared" si="1"/>
        <v>2017</v>
      </c>
      <c r="C31" s="616">
        <f>Activity!$C30*Activity!$D30*Activity!E30</f>
        <v>0</v>
      </c>
      <c r="D31" s="617">
        <f>Activity!$C30*Activity!$D30*Activity!F30</f>
        <v>0</v>
      </c>
      <c r="E31" s="615">
        <f>Activity!$C30*Activity!$D30*Activity!G30</f>
        <v>0</v>
      </c>
      <c r="F31" s="617">
        <f>Activity!$C30*Activity!$D30*Activity!H30</f>
        <v>0</v>
      </c>
      <c r="G31" s="617">
        <f>Activity!$C30*Activity!$D30*Activity!I30</f>
        <v>0</v>
      </c>
      <c r="H31" s="617">
        <f>Activity!$C30*Activity!$D30*Activity!J30</f>
        <v>0</v>
      </c>
      <c r="I31" s="617">
        <f>Activity!$C30*Activity!$D30*Activity!K30</f>
        <v>0</v>
      </c>
      <c r="J31" s="618">
        <f>Activity!$C30*Activity!$D30*Activity!L30</f>
        <v>0</v>
      </c>
      <c r="K31" s="617">
        <f>Activity!$C30*Activity!$D30*Activity!M30</f>
        <v>0</v>
      </c>
      <c r="L31" s="617">
        <f>Activity!$C30*Activity!$D30*Activity!N30</f>
        <v>0</v>
      </c>
      <c r="M31" s="615">
        <f>Activity!$C30*Activity!$D30*Activity!O30</f>
        <v>0</v>
      </c>
      <c r="N31" s="475">
        <v>0</v>
      </c>
      <c r="O31" s="617">
        <f>Activity!C30*Activity!D30</f>
        <v>0</v>
      </c>
      <c r="P31" s="624">
        <f>Activity!X30</f>
        <v>0</v>
      </c>
    </row>
    <row r="32" spans="2:16">
      <c r="B32" s="7">
        <f t="shared" si="1"/>
        <v>2018</v>
      </c>
      <c r="C32" s="616">
        <f>Activity!$C31*Activity!$D31*Activity!E31</f>
        <v>0</v>
      </c>
      <c r="D32" s="617">
        <f>Activity!$C31*Activity!$D31*Activity!F31</f>
        <v>0</v>
      </c>
      <c r="E32" s="615">
        <f>Activity!$C31*Activity!$D31*Activity!G31</f>
        <v>0</v>
      </c>
      <c r="F32" s="617">
        <f>Activity!$C31*Activity!$D31*Activity!H31</f>
        <v>0</v>
      </c>
      <c r="G32" s="617">
        <f>Activity!$C31*Activity!$D31*Activity!I31</f>
        <v>0</v>
      </c>
      <c r="H32" s="617">
        <f>Activity!$C31*Activity!$D31*Activity!J31</f>
        <v>0</v>
      </c>
      <c r="I32" s="617">
        <f>Activity!$C31*Activity!$D31*Activity!K31</f>
        <v>0</v>
      </c>
      <c r="J32" s="618">
        <f>Activity!$C31*Activity!$D31*Activity!L31</f>
        <v>0</v>
      </c>
      <c r="K32" s="617">
        <f>Activity!$C31*Activity!$D31*Activity!M31</f>
        <v>0</v>
      </c>
      <c r="L32" s="617">
        <f>Activity!$C31*Activity!$D31*Activity!N31</f>
        <v>0</v>
      </c>
      <c r="M32" s="615">
        <f>Activity!$C31*Activity!$D31*Activity!O31</f>
        <v>0</v>
      </c>
      <c r="N32" s="475">
        <v>0</v>
      </c>
      <c r="O32" s="617">
        <f>Activity!C31*Activity!D31</f>
        <v>0</v>
      </c>
      <c r="P32" s="624">
        <f>Activity!X31</f>
        <v>0</v>
      </c>
    </row>
    <row r="33" spans="2:16">
      <c r="B33" s="7">
        <f t="shared" si="1"/>
        <v>2019</v>
      </c>
      <c r="C33" s="616">
        <f>Activity!$C32*Activity!$D32*Activity!E32</f>
        <v>0</v>
      </c>
      <c r="D33" s="617">
        <f>Activity!$C32*Activity!$D32*Activity!F32</f>
        <v>0</v>
      </c>
      <c r="E33" s="615">
        <f>Activity!$C32*Activity!$D32*Activity!G32</f>
        <v>0</v>
      </c>
      <c r="F33" s="617">
        <f>Activity!$C32*Activity!$D32*Activity!H32</f>
        <v>0</v>
      </c>
      <c r="G33" s="617">
        <f>Activity!$C32*Activity!$D32*Activity!I32</f>
        <v>0</v>
      </c>
      <c r="H33" s="617">
        <f>Activity!$C32*Activity!$D32*Activity!J32</f>
        <v>0</v>
      </c>
      <c r="I33" s="617">
        <f>Activity!$C32*Activity!$D32*Activity!K32</f>
        <v>0</v>
      </c>
      <c r="J33" s="618">
        <f>Activity!$C32*Activity!$D32*Activity!L32</f>
        <v>0</v>
      </c>
      <c r="K33" s="617">
        <f>Activity!$C32*Activity!$D32*Activity!M32</f>
        <v>0</v>
      </c>
      <c r="L33" s="617">
        <f>Activity!$C32*Activity!$D32*Activity!N32</f>
        <v>0</v>
      </c>
      <c r="M33" s="615">
        <f>Activity!$C32*Activity!$D32*Activity!O32</f>
        <v>0</v>
      </c>
      <c r="N33" s="475">
        <v>0</v>
      </c>
      <c r="O33" s="617">
        <f>Activity!C32*Activity!D32</f>
        <v>0</v>
      </c>
      <c r="P33" s="624">
        <f>Activity!X32</f>
        <v>0</v>
      </c>
    </row>
    <row r="34" spans="2:16">
      <c r="B34" s="7">
        <f t="shared" si="1"/>
        <v>2020</v>
      </c>
      <c r="C34" s="616">
        <f>Activity!$C33*Activity!$D33*Activity!E33</f>
        <v>0</v>
      </c>
      <c r="D34" s="617">
        <f>Activity!$C33*Activity!$D33*Activity!F33</f>
        <v>0</v>
      </c>
      <c r="E34" s="615">
        <f>Activity!$C33*Activity!$D33*Activity!G33</f>
        <v>0</v>
      </c>
      <c r="F34" s="617">
        <f>Activity!$C33*Activity!$D33*Activity!H33</f>
        <v>0</v>
      </c>
      <c r="G34" s="617">
        <f>Activity!$C33*Activity!$D33*Activity!I33</f>
        <v>0</v>
      </c>
      <c r="H34" s="617">
        <f>Activity!$C33*Activity!$D33*Activity!J33</f>
        <v>0</v>
      </c>
      <c r="I34" s="617">
        <f>Activity!$C33*Activity!$D33*Activity!K33</f>
        <v>0</v>
      </c>
      <c r="J34" s="618">
        <f>Activity!$C33*Activity!$D33*Activity!L33</f>
        <v>0</v>
      </c>
      <c r="K34" s="617">
        <f>Activity!$C33*Activity!$D33*Activity!M33</f>
        <v>0</v>
      </c>
      <c r="L34" s="617">
        <f>Activity!$C33*Activity!$D33*Activity!N33</f>
        <v>0</v>
      </c>
      <c r="M34" s="615">
        <f>Activity!$C33*Activity!$D33*Activity!O33</f>
        <v>0</v>
      </c>
      <c r="N34" s="475">
        <v>0</v>
      </c>
      <c r="O34" s="617">
        <f>Activity!C33*Activity!D33</f>
        <v>0</v>
      </c>
      <c r="P34" s="624">
        <f>Activity!X33</f>
        <v>0</v>
      </c>
    </row>
    <row r="35" spans="2:16">
      <c r="B35" s="7">
        <f t="shared" si="1"/>
        <v>2021</v>
      </c>
      <c r="C35" s="616">
        <f>Activity!$C34*Activity!$D34*Activity!E34</f>
        <v>0</v>
      </c>
      <c r="D35" s="617">
        <f>Activity!$C34*Activity!$D34*Activity!F34</f>
        <v>0</v>
      </c>
      <c r="E35" s="615">
        <f>Activity!$C34*Activity!$D34*Activity!G34</f>
        <v>0</v>
      </c>
      <c r="F35" s="617">
        <f>Activity!$C34*Activity!$D34*Activity!H34</f>
        <v>0</v>
      </c>
      <c r="G35" s="617">
        <f>Activity!$C34*Activity!$D34*Activity!I34</f>
        <v>0</v>
      </c>
      <c r="H35" s="617">
        <f>Activity!$C34*Activity!$D34*Activity!J34</f>
        <v>0</v>
      </c>
      <c r="I35" s="617">
        <f>Activity!$C34*Activity!$D34*Activity!K34</f>
        <v>0</v>
      </c>
      <c r="J35" s="618">
        <f>Activity!$C34*Activity!$D34*Activity!L34</f>
        <v>0</v>
      </c>
      <c r="K35" s="617">
        <f>Activity!$C34*Activity!$D34*Activity!M34</f>
        <v>0</v>
      </c>
      <c r="L35" s="617">
        <f>Activity!$C34*Activity!$D34*Activity!N34</f>
        <v>0</v>
      </c>
      <c r="M35" s="615">
        <f>Activity!$C34*Activity!$D34*Activity!O34</f>
        <v>0</v>
      </c>
      <c r="N35" s="475">
        <v>0</v>
      </c>
      <c r="O35" s="617">
        <f>Activity!C34*Activity!D34</f>
        <v>0</v>
      </c>
      <c r="P35" s="624">
        <f>Activity!X34</f>
        <v>0</v>
      </c>
    </row>
    <row r="36" spans="2:16">
      <c r="B36" s="7">
        <f t="shared" si="1"/>
        <v>2022</v>
      </c>
      <c r="C36" s="616">
        <f>Activity!$C35*Activity!$D35*Activity!E35</f>
        <v>0</v>
      </c>
      <c r="D36" s="617">
        <f>Activity!$C35*Activity!$D35*Activity!F35</f>
        <v>0</v>
      </c>
      <c r="E36" s="615">
        <f>Activity!$C35*Activity!$D35*Activity!G35</f>
        <v>0</v>
      </c>
      <c r="F36" s="617">
        <f>Activity!$C35*Activity!$D35*Activity!H35</f>
        <v>0</v>
      </c>
      <c r="G36" s="617">
        <f>Activity!$C35*Activity!$D35*Activity!I35</f>
        <v>0</v>
      </c>
      <c r="H36" s="617">
        <f>Activity!$C35*Activity!$D35*Activity!J35</f>
        <v>0</v>
      </c>
      <c r="I36" s="617">
        <f>Activity!$C35*Activity!$D35*Activity!K35</f>
        <v>0</v>
      </c>
      <c r="J36" s="618">
        <f>Activity!$C35*Activity!$D35*Activity!L35</f>
        <v>0</v>
      </c>
      <c r="K36" s="617">
        <f>Activity!$C35*Activity!$D35*Activity!M35</f>
        <v>0</v>
      </c>
      <c r="L36" s="617">
        <f>Activity!$C35*Activity!$D35*Activity!N35</f>
        <v>0</v>
      </c>
      <c r="M36" s="615">
        <f>Activity!$C35*Activity!$D35*Activity!O35</f>
        <v>0</v>
      </c>
      <c r="N36" s="475">
        <v>0</v>
      </c>
      <c r="O36" s="617">
        <f>Activity!C35*Activity!D35</f>
        <v>0</v>
      </c>
      <c r="P36" s="624">
        <f>Activity!X35</f>
        <v>0</v>
      </c>
    </row>
    <row r="37" spans="2:16">
      <c r="B37" s="7">
        <f t="shared" si="1"/>
        <v>2023</v>
      </c>
      <c r="C37" s="616">
        <f>Activity!$C36*Activity!$D36*Activity!E36</f>
        <v>0</v>
      </c>
      <c r="D37" s="617">
        <f>Activity!$C36*Activity!$D36*Activity!F36</f>
        <v>0</v>
      </c>
      <c r="E37" s="615">
        <f>Activity!$C36*Activity!$D36*Activity!G36</f>
        <v>0</v>
      </c>
      <c r="F37" s="617">
        <f>Activity!$C36*Activity!$D36*Activity!H36</f>
        <v>0</v>
      </c>
      <c r="G37" s="617">
        <f>Activity!$C36*Activity!$D36*Activity!I36</f>
        <v>0</v>
      </c>
      <c r="H37" s="617">
        <f>Activity!$C36*Activity!$D36*Activity!J36</f>
        <v>0</v>
      </c>
      <c r="I37" s="617">
        <f>Activity!$C36*Activity!$D36*Activity!K36</f>
        <v>0</v>
      </c>
      <c r="J37" s="618">
        <f>Activity!$C36*Activity!$D36*Activity!L36</f>
        <v>0</v>
      </c>
      <c r="K37" s="617">
        <f>Activity!$C36*Activity!$D36*Activity!M36</f>
        <v>0</v>
      </c>
      <c r="L37" s="617">
        <f>Activity!$C36*Activity!$D36*Activity!N36</f>
        <v>0</v>
      </c>
      <c r="M37" s="615">
        <f>Activity!$C36*Activity!$D36*Activity!O36</f>
        <v>0</v>
      </c>
      <c r="N37" s="475">
        <v>0</v>
      </c>
      <c r="O37" s="617">
        <f>Activity!C36*Activity!D36</f>
        <v>0</v>
      </c>
      <c r="P37" s="624">
        <f>Activity!X36</f>
        <v>0</v>
      </c>
    </row>
    <row r="38" spans="2:16">
      <c r="B38" s="7">
        <f t="shared" si="1"/>
        <v>2024</v>
      </c>
      <c r="C38" s="616">
        <f>Activity!$C37*Activity!$D37*Activity!E37</f>
        <v>0</v>
      </c>
      <c r="D38" s="617">
        <f>Activity!$C37*Activity!$D37*Activity!F37</f>
        <v>0</v>
      </c>
      <c r="E38" s="615">
        <f>Activity!$C37*Activity!$D37*Activity!G37</f>
        <v>0</v>
      </c>
      <c r="F38" s="617">
        <f>Activity!$C37*Activity!$D37*Activity!H37</f>
        <v>0</v>
      </c>
      <c r="G38" s="617">
        <f>Activity!$C37*Activity!$D37*Activity!I37</f>
        <v>0</v>
      </c>
      <c r="H38" s="617">
        <f>Activity!$C37*Activity!$D37*Activity!J37</f>
        <v>0</v>
      </c>
      <c r="I38" s="617">
        <f>Activity!$C37*Activity!$D37*Activity!K37</f>
        <v>0</v>
      </c>
      <c r="J38" s="618">
        <f>Activity!$C37*Activity!$D37*Activity!L37</f>
        <v>0</v>
      </c>
      <c r="K38" s="617">
        <f>Activity!$C37*Activity!$D37*Activity!M37</f>
        <v>0</v>
      </c>
      <c r="L38" s="617">
        <f>Activity!$C37*Activity!$D37*Activity!N37</f>
        <v>0</v>
      </c>
      <c r="M38" s="615">
        <f>Activity!$C37*Activity!$D37*Activity!O37</f>
        <v>0</v>
      </c>
      <c r="N38" s="475">
        <v>0</v>
      </c>
      <c r="O38" s="617">
        <f>Activity!C37*Activity!D37</f>
        <v>0</v>
      </c>
      <c r="P38" s="624">
        <f>Activity!X37</f>
        <v>0</v>
      </c>
    </row>
    <row r="39" spans="2:16">
      <c r="B39" s="7">
        <f t="shared" si="1"/>
        <v>2025</v>
      </c>
      <c r="C39" s="616">
        <f>Activity!$C38*Activity!$D38*Activity!E38</f>
        <v>0</v>
      </c>
      <c r="D39" s="617">
        <f>Activity!$C38*Activity!$D38*Activity!F38</f>
        <v>0</v>
      </c>
      <c r="E39" s="615">
        <f>Activity!$C38*Activity!$D38*Activity!G38</f>
        <v>0</v>
      </c>
      <c r="F39" s="617">
        <f>Activity!$C38*Activity!$D38*Activity!H38</f>
        <v>0</v>
      </c>
      <c r="G39" s="617">
        <f>Activity!$C38*Activity!$D38*Activity!I38</f>
        <v>0</v>
      </c>
      <c r="H39" s="617">
        <f>Activity!$C38*Activity!$D38*Activity!J38</f>
        <v>0</v>
      </c>
      <c r="I39" s="617">
        <f>Activity!$C38*Activity!$D38*Activity!K38</f>
        <v>0</v>
      </c>
      <c r="J39" s="618">
        <f>Activity!$C38*Activity!$D38*Activity!L38</f>
        <v>0</v>
      </c>
      <c r="K39" s="617">
        <f>Activity!$C38*Activity!$D38*Activity!M38</f>
        <v>0</v>
      </c>
      <c r="L39" s="617">
        <f>Activity!$C38*Activity!$D38*Activity!N38</f>
        <v>0</v>
      </c>
      <c r="M39" s="615">
        <f>Activity!$C38*Activity!$D38*Activity!O38</f>
        <v>0</v>
      </c>
      <c r="N39" s="475">
        <v>0</v>
      </c>
      <c r="O39" s="617">
        <f>Activity!C38*Activity!D38</f>
        <v>0</v>
      </c>
      <c r="P39" s="624">
        <f>Activity!X38</f>
        <v>0</v>
      </c>
    </row>
    <row r="40" spans="2:16">
      <c r="B40" s="7">
        <f t="shared" si="1"/>
        <v>2026</v>
      </c>
      <c r="C40" s="616">
        <f>Activity!$C39*Activity!$D39*Activity!E39</f>
        <v>0</v>
      </c>
      <c r="D40" s="617">
        <f>Activity!$C39*Activity!$D39*Activity!F39</f>
        <v>0</v>
      </c>
      <c r="E40" s="615">
        <f>Activity!$C39*Activity!$D39*Activity!G39</f>
        <v>0</v>
      </c>
      <c r="F40" s="617">
        <f>Activity!$C39*Activity!$D39*Activity!H39</f>
        <v>0</v>
      </c>
      <c r="G40" s="617">
        <f>Activity!$C39*Activity!$D39*Activity!I39</f>
        <v>0</v>
      </c>
      <c r="H40" s="617">
        <f>Activity!$C39*Activity!$D39*Activity!J39</f>
        <v>0</v>
      </c>
      <c r="I40" s="617">
        <f>Activity!$C39*Activity!$D39*Activity!K39</f>
        <v>0</v>
      </c>
      <c r="J40" s="618">
        <f>Activity!$C39*Activity!$D39*Activity!L39</f>
        <v>0</v>
      </c>
      <c r="K40" s="617">
        <f>Activity!$C39*Activity!$D39*Activity!M39</f>
        <v>0</v>
      </c>
      <c r="L40" s="617">
        <f>Activity!$C39*Activity!$D39*Activity!N39</f>
        <v>0</v>
      </c>
      <c r="M40" s="615">
        <f>Activity!$C39*Activity!$D39*Activity!O39</f>
        <v>0</v>
      </c>
      <c r="N40" s="475">
        <v>0</v>
      </c>
      <c r="O40" s="617">
        <f>Activity!C39*Activity!D39</f>
        <v>0</v>
      </c>
      <c r="P40" s="624">
        <f>Activity!X39</f>
        <v>0</v>
      </c>
    </row>
    <row r="41" spans="2:16">
      <c r="B41" s="7">
        <f t="shared" si="1"/>
        <v>2027</v>
      </c>
      <c r="C41" s="616">
        <f>Activity!$C40*Activity!$D40*Activity!E40</f>
        <v>0</v>
      </c>
      <c r="D41" s="617">
        <f>Activity!$C40*Activity!$D40*Activity!F40</f>
        <v>0</v>
      </c>
      <c r="E41" s="615">
        <f>Activity!$C40*Activity!$D40*Activity!G40</f>
        <v>0</v>
      </c>
      <c r="F41" s="617">
        <f>Activity!$C40*Activity!$D40*Activity!H40</f>
        <v>0</v>
      </c>
      <c r="G41" s="617">
        <f>Activity!$C40*Activity!$D40*Activity!I40</f>
        <v>0</v>
      </c>
      <c r="H41" s="617">
        <f>Activity!$C40*Activity!$D40*Activity!J40</f>
        <v>0</v>
      </c>
      <c r="I41" s="617">
        <f>Activity!$C40*Activity!$D40*Activity!K40</f>
        <v>0</v>
      </c>
      <c r="J41" s="618">
        <f>Activity!$C40*Activity!$D40*Activity!L40</f>
        <v>0</v>
      </c>
      <c r="K41" s="617">
        <f>Activity!$C40*Activity!$D40*Activity!M40</f>
        <v>0</v>
      </c>
      <c r="L41" s="617">
        <f>Activity!$C40*Activity!$D40*Activity!N40</f>
        <v>0</v>
      </c>
      <c r="M41" s="615">
        <f>Activity!$C40*Activity!$D40*Activity!O40</f>
        <v>0</v>
      </c>
      <c r="N41" s="475">
        <v>0</v>
      </c>
      <c r="O41" s="617">
        <f>Activity!C40*Activity!D40</f>
        <v>0</v>
      </c>
      <c r="P41" s="624">
        <f>Activity!X40</f>
        <v>0</v>
      </c>
    </row>
    <row r="42" spans="2:16">
      <c r="B42" s="7">
        <f t="shared" si="1"/>
        <v>2028</v>
      </c>
      <c r="C42" s="616">
        <f>Activity!$C41*Activity!$D41*Activity!E41</f>
        <v>0</v>
      </c>
      <c r="D42" s="617">
        <f>Activity!$C41*Activity!$D41*Activity!F41</f>
        <v>0</v>
      </c>
      <c r="E42" s="615">
        <f>Activity!$C41*Activity!$D41*Activity!G41</f>
        <v>0</v>
      </c>
      <c r="F42" s="617">
        <f>Activity!$C41*Activity!$D41*Activity!H41</f>
        <v>0</v>
      </c>
      <c r="G42" s="617">
        <f>Activity!$C41*Activity!$D41*Activity!I41</f>
        <v>0</v>
      </c>
      <c r="H42" s="617">
        <f>Activity!$C41*Activity!$D41*Activity!J41</f>
        <v>0</v>
      </c>
      <c r="I42" s="617">
        <f>Activity!$C41*Activity!$D41*Activity!K41</f>
        <v>0</v>
      </c>
      <c r="J42" s="618">
        <f>Activity!$C41*Activity!$D41*Activity!L41</f>
        <v>0</v>
      </c>
      <c r="K42" s="617">
        <f>Activity!$C41*Activity!$D41*Activity!M41</f>
        <v>0</v>
      </c>
      <c r="L42" s="617">
        <f>Activity!$C41*Activity!$D41*Activity!N41</f>
        <v>0</v>
      </c>
      <c r="M42" s="615">
        <f>Activity!$C41*Activity!$D41*Activity!O41</f>
        <v>0</v>
      </c>
      <c r="N42" s="475">
        <v>0</v>
      </c>
      <c r="O42" s="617">
        <f>Activity!C41*Activity!D41</f>
        <v>0</v>
      </c>
      <c r="P42" s="624">
        <f>Activity!X41</f>
        <v>0</v>
      </c>
    </row>
    <row r="43" spans="2:16">
      <c r="B43" s="7">
        <f t="shared" si="1"/>
        <v>2029</v>
      </c>
      <c r="C43" s="616">
        <f>Activity!$C42*Activity!$D42*Activity!E42</f>
        <v>0</v>
      </c>
      <c r="D43" s="617">
        <f>Activity!$C42*Activity!$D42*Activity!F42</f>
        <v>0</v>
      </c>
      <c r="E43" s="615">
        <f>Activity!$C42*Activity!$D42*Activity!G42</f>
        <v>0</v>
      </c>
      <c r="F43" s="617">
        <f>Activity!$C42*Activity!$D42*Activity!H42</f>
        <v>0</v>
      </c>
      <c r="G43" s="617">
        <f>Activity!$C42*Activity!$D42*Activity!I42</f>
        <v>0</v>
      </c>
      <c r="H43" s="617">
        <f>Activity!$C42*Activity!$D42*Activity!J42</f>
        <v>0</v>
      </c>
      <c r="I43" s="617">
        <f>Activity!$C42*Activity!$D42*Activity!K42</f>
        <v>0</v>
      </c>
      <c r="J43" s="618">
        <f>Activity!$C42*Activity!$D42*Activity!L42</f>
        <v>0</v>
      </c>
      <c r="K43" s="617">
        <f>Activity!$C42*Activity!$D42*Activity!M42</f>
        <v>0</v>
      </c>
      <c r="L43" s="617">
        <f>Activity!$C42*Activity!$D42*Activity!N42</f>
        <v>0</v>
      </c>
      <c r="M43" s="615">
        <f>Activity!$C42*Activity!$D42*Activity!O42</f>
        <v>0</v>
      </c>
      <c r="N43" s="475">
        <v>0</v>
      </c>
      <c r="O43" s="617">
        <f>Activity!C42*Activity!D42</f>
        <v>0</v>
      </c>
      <c r="P43" s="624">
        <f>Activity!X42</f>
        <v>0</v>
      </c>
    </row>
    <row r="44" spans="2:16">
      <c r="B44" s="7">
        <f t="shared" si="1"/>
        <v>2030</v>
      </c>
      <c r="C44" s="616">
        <f>Activity!$C43*Activity!$D43*Activity!E43</f>
        <v>0</v>
      </c>
      <c r="D44" s="617">
        <f>Activity!$C43*Activity!$D43*Activity!F43</f>
        <v>0</v>
      </c>
      <c r="E44" s="615">
        <f>Activity!$C43*Activity!$D43*Activity!G43</f>
        <v>0</v>
      </c>
      <c r="F44" s="617">
        <f>Activity!$C43*Activity!$D43*Activity!H43</f>
        <v>0</v>
      </c>
      <c r="G44" s="617">
        <f>Activity!$C43*Activity!$D43*Activity!I43</f>
        <v>0</v>
      </c>
      <c r="H44" s="617">
        <f>Activity!$C43*Activity!$D43*Activity!J43</f>
        <v>0</v>
      </c>
      <c r="I44" s="617">
        <f>Activity!$C43*Activity!$D43*Activity!K43</f>
        <v>0</v>
      </c>
      <c r="J44" s="618">
        <f>Activity!$C43*Activity!$D43*Activity!L43</f>
        <v>0</v>
      </c>
      <c r="K44" s="617">
        <f>Activity!$C43*Activity!$D43*Activity!M43</f>
        <v>0</v>
      </c>
      <c r="L44" s="617">
        <f>Activity!$C43*Activity!$D43*Activity!N43</f>
        <v>0</v>
      </c>
      <c r="M44" s="615">
        <f>Activity!$C43*Activity!$D43*Activity!O43</f>
        <v>0</v>
      </c>
      <c r="N44" s="475">
        <v>0</v>
      </c>
      <c r="O44" s="617">
        <f>Activity!C43*Activity!D43</f>
        <v>0</v>
      </c>
      <c r="P44" s="624">
        <f>Activity!X43</f>
        <v>0</v>
      </c>
    </row>
    <row r="45" spans="2:16">
      <c r="B45" s="7">
        <f t="shared" si="1"/>
        <v>2031</v>
      </c>
      <c r="C45" s="616">
        <f>Activity!$C44*Activity!$D44*Activity!E44</f>
        <v>0</v>
      </c>
      <c r="D45" s="617">
        <f>Activity!$C44*Activity!$D44*Activity!F44</f>
        <v>0</v>
      </c>
      <c r="E45" s="615">
        <f>Activity!$C44*Activity!$D44*Activity!G44</f>
        <v>0</v>
      </c>
      <c r="F45" s="617">
        <f>Activity!$C44*Activity!$D44*Activity!H44</f>
        <v>0</v>
      </c>
      <c r="G45" s="617">
        <f>Activity!$C44*Activity!$D44*Activity!I44</f>
        <v>0</v>
      </c>
      <c r="H45" s="617">
        <f>Activity!$C44*Activity!$D44*Activity!J44</f>
        <v>0</v>
      </c>
      <c r="I45" s="617">
        <f>Activity!$C44*Activity!$D44*Activity!K44</f>
        <v>0</v>
      </c>
      <c r="J45" s="618">
        <f>Activity!$C44*Activity!$D44*Activity!L44</f>
        <v>0</v>
      </c>
      <c r="K45" s="617">
        <f>Activity!$C44*Activity!$D44*Activity!M44</f>
        <v>0</v>
      </c>
      <c r="L45" s="617">
        <f>Activity!$C44*Activity!$D44*Activity!N44</f>
        <v>0</v>
      </c>
      <c r="M45" s="615">
        <f>Activity!$C44*Activity!$D44*Activity!O44</f>
        <v>0</v>
      </c>
      <c r="N45" s="475">
        <v>0</v>
      </c>
      <c r="O45" s="617">
        <f>Activity!C44*Activity!D44</f>
        <v>0</v>
      </c>
      <c r="P45" s="624">
        <f>Activity!X44</f>
        <v>0</v>
      </c>
    </row>
    <row r="46" spans="2:16">
      <c r="B46" s="7">
        <f t="shared" si="1"/>
        <v>2032</v>
      </c>
      <c r="C46" s="616">
        <f>Activity!$C45*Activity!$D45*Activity!E45</f>
        <v>0</v>
      </c>
      <c r="D46" s="617">
        <f>Activity!$C45*Activity!$D45*Activity!F45</f>
        <v>0</v>
      </c>
      <c r="E46" s="615">
        <f>Activity!$C45*Activity!$D45*Activity!G45</f>
        <v>0</v>
      </c>
      <c r="F46" s="617">
        <f>Activity!$C45*Activity!$D45*Activity!H45</f>
        <v>0</v>
      </c>
      <c r="G46" s="617">
        <f>Activity!$C45*Activity!$D45*Activity!I45</f>
        <v>0</v>
      </c>
      <c r="H46" s="617">
        <f>Activity!$C45*Activity!$D45*Activity!J45</f>
        <v>0</v>
      </c>
      <c r="I46" s="617">
        <f>Activity!$C45*Activity!$D45*Activity!K45</f>
        <v>0</v>
      </c>
      <c r="J46" s="618">
        <f>Activity!$C45*Activity!$D45*Activity!L45</f>
        <v>0</v>
      </c>
      <c r="K46" s="617">
        <f>Activity!$C45*Activity!$D45*Activity!M45</f>
        <v>0</v>
      </c>
      <c r="L46" s="617">
        <f>Activity!$C45*Activity!$D45*Activity!N45</f>
        <v>0</v>
      </c>
      <c r="M46" s="615">
        <f>Activity!$C45*Activity!$D45*Activity!O45</f>
        <v>0</v>
      </c>
      <c r="N46" s="475">
        <v>0</v>
      </c>
      <c r="O46" s="617">
        <f>Activity!C45*Activity!D45</f>
        <v>0</v>
      </c>
      <c r="P46" s="624">
        <f>Activity!X45</f>
        <v>0</v>
      </c>
    </row>
    <row r="47" spans="2:16">
      <c r="B47" s="7">
        <f t="shared" si="1"/>
        <v>2033</v>
      </c>
      <c r="C47" s="616">
        <f>Activity!$C46*Activity!$D46*Activity!E46</f>
        <v>0</v>
      </c>
      <c r="D47" s="617">
        <f>Activity!$C46*Activity!$D46*Activity!F46</f>
        <v>0</v>
      </c>
      <c r="E47" s="615">
        <f>Activity!$C46*Activity!$D46*Activity!G46</f>
        <v>0</v>
      </c>
      <c r="F47" s="617">
        <f>Activity!$C46*Activity!$D46*Activity!H46</f>
        <v>0</v>
      </c>
      <c r="G47" s="617">
        <f>Activity!$C46*Activity!$D46*Activity!I46</f>
        <v>0</v>
      </c>
      <c r="H47" s="617">
        <f>Activity!$C46*Activity!$D46*Activity!J46</f>
        <v>0</v>
      </c>
      <c r="I47" s="617">
        <f>Activity!$C46*Activity!$D46*Activity!K46</f>
        <v>0</v>
      </c>
      <c r="J47" s="618">
        <f>Activity!$C46*Activity!$D46*Activity!L46</f>
        <v>0</v>
      </c>
      <c r="K47" s="617">
        <f>Activity!$C46*Activity!$D46*Activity!M46</f>
        <v>0</v>
      </c>
      <c r="L47" s="617">
        <f>Activity!$C46*Activity!$D46*Activity!N46</f>
        <v>0</v>
      </c>
      <c r="M47" s="615">
        <f>Activity!$C46*Activity!$D46*Activity!O46</f>
        <v>0</v>
      </c>
      <c r="N47" s="475">
        <v>0</v>
      </c>
      <c r="O47" s="617">
        <f>Activity!C46*Activity!D46</f>
        <v>0</v>
      </c>
      <c r="P47" s="624">
        <f>Activity!X46</f>
        <v>0</v>
      </c>
    </row>
    <row r="48" spans="2:16">
      <c r="B48" s="7">
        <f t="shared" si="1"/>
        <v>2034</v>
      </c>
      <c r="C48" s="616">
        <f>Activity!$C47*Activity!$D47*Activity!E47</f>
        <v>0</v>
      </c>
      <c r="D48" s="617">
        <f>Activity!$C47*Activity!$D47*Activity!F47</f>
        <v>0</v>
      </c>
      <c r="E48" s="615">
        <f>Activity!$C47*Activity!$D47*Activity!G47</f>
        <v>0</v>
      </c>
      <c r="F48" s="617">
        <f>Activity!$C47*Activity!$D47*Activity!H47</f>
        <v>0</v>
      </c>
      <c r="G48" s="617">
        <f>Activity!$C47*Activity!$D47*Activity!I47</f>
        <v>0</v>
      </c>
      <c r="H48" s="617">
        <f>Activity!$C47*Activity!$D47*Activity!J47</f>
        <v>0</v>
      </c>
      <c r="I48" s="617">
        <f>Activity!$C47*Activity!$D47*Activity!K47</f>
        <v>0</v>
      </c>
      <c r="J48" s="618">
        <f>Activity!$C47*Activity!$D47*Activity!L47</f>
        <v>0</v>
      </c>
      <c r="K48" s="617">
        <f>Activity!$C47*Activity!$D47*Activity!M47</f>
        <v>0</v>
      </c>
      <c r="L48" s="617">
        <f>Activity!$C47*Activity!$D47*Activity!N47</f>
        <v>0</v>
      </c>
      <c r="M48" s="615">
        <f>Activity!$C47*Activity!$D47*Activity!O47</f>
        <v>0</v>
      </c>
      <c r="N48" s="475">
        <v>0</v>
      </c>
      <c r="O48" s="617">
        <f>Activity!C47*Activity!D47</f>
        <v>0</v>
      </c>
      <c r="P48" s="624">
        <f>Activity!X47</f>
        <v>0</v>
      </c>
    </row>
    <row r="49" spans="2:16">
      <c r="B49" s="7">
        <f t="shared" si="1"/>
        <v>2035</v>
      </c>
      <c r="C49" s="616">
        <f>Activity!$C48*Activity!$D48*Activity!E48</f>
        <v>0</v>
      </c>
      <c r="D49" s="617">
        <f>Activity!$C48*Activity!$D48*Activity!F48</f>
        <v>0</v>
      </c>
      <c r="E49" s="615">
        <f>Activity!$C48*Activity!$D48*Activity!G48</f>
        <v>0</v>
      </c>
      <c r="F49" s="617">
        <f>Activity!$C48*Activity!$D48*Activity!H48</f>
        <v>0</v>
      </c>
      <c r="G49" s="617">
        <f>Activity!$C48*Activity!$D48*Activity!I48</f>
        <v>0</v>
      </c>
      <c r="H49" s="617">
        <f>Activity!$C48*Activity!$D48*Activity!J48</f>
        <v>0</v>
      </c>
      <c r="I49" s="617">
        <f>Activity!$C48*Activity!$D48*Activity!K48</f>
        <v>0</v>
      </c>
      <c r="J49" s="618">
        <f>Activity!$C48*Activity!$D48*Activity!L48</f>
        <v>0</v>
      </c>
      <c r="K49" s="617">
        <f>Activity!$C48*Activity!$D48*Activity!M48</f>
        <v>0</v>
      </c>
      <c r="L49" s="617">
        <f>Activity!$C48*Activity!$D48*Activity!N48</f>
        <v>0</v>
      </c>
      <c r="M49" s="615">
        <f>Activity!$C48*Activity!$D48*Activity!O48</f>
        <v>0</v>
      </c>
      <c r="N49" s="475">
        <v>0</v>
      </c>
      <c r="O49" s="617">
        <f>Activity!C48*Activity!D48</f>
        <v>0</v>
      </c>
      <c r="P49" s="624">
        <f>Activity!X48</f>
        <v>0</v>
      </c>
    </row>
    <row r="50" spans="2:16">
      <c r="B50" s="7">
        <f t="shared" si="1"/>
        <v>2036</v>
      </c>
      <c r="C50" s="616">
        <f>Activity!$C49*Activity!$D49*Activity!E49</f>
        <v>0</v>
      </c>
      <c r="D50" s="617">
        <f>Activity!$C49*Activity!$D49*Activity!F49</f>
        <v>0</v>
      </c>
      <c r="E50" s="615">
        <f>Activity!$C49*Activity!$D49*Activity!G49</f>
        <v>0</v>
      </c>
      <c r="F50" s="617">
        <f>Activity!$C49*Activity!$D49*Activity!H49</f>
        <v>0</v>
      </c>
      <c r="G50" s="617">
        <f>Activity!$C49*Activity!$D49*Activity!I49</f>
        <v>0</v>
      </c>
      <c r="H50" s="617">
        <f>Activity!$C49*Activity!$D49*Activity!J49</f>
        <v>0</v>
      </c>
      <c r="I50" s="617">
        <f>Activity!$C49*Activity!$D49*Activity!K49</f>
        <v>0</v>
      </c>
      <c r="J50" s="618">
        <f>Activity!$C49*Activity!$D49*Activity!L49</f>
        <v>0</v>
      </c>
      <c r="K50" s="617">
        <f>Activity!$C49*Activity!$D49*Activity!M49</f>
        <v>0</v>
      </c>
      <c r="L50" s="617">
        <f>Activity!$C49*Activity!$D49*Activity!N49</f>
        <v>0</v>
      </c>
      <c r="M50" s="615">
        <f>Activity!$C49*Activity!$D49*Activity!O49</f>
        <v>0</v>
      </c>
      <c r="N50" s="475">
        <v>0</v>
      </c>
      <c r="O50" s="617">
        <f>Activity!C49*Activity!D49</f>
        <v>0</v>
      </c>
      <c r="P50" s="624">
        <f>Activity!X49</f>
        <v>0</v>
      </c>
    </row>
    <row r="51" spans="2:16">
      <c r="B51" s="7">
        <f t="shared" si="1"/>
        <v>2037</v>
      </c>
      <c r="C51" s="616">
        <f>Activity!$C50*Activity!$D50*Activity!E50</f>
        <v>0</v>
      </c>
      <c r="D51" s="617">
        <f>Activity!$C50*Activity!$D50*Activity!F50</f>
        <v>0</v>
      </c>
      <c r="E51" s="615">
        <f>Activity!$C50*Activity!$D50*Activity!G50</f>
        <v>0</v>
      </c>
      <c r="F51" s="617">
        <f>Activity!$C50*Activity!$D50*Activity!H50</f>
        <v>0</v>
      </c>
      <c r="G51" s="617">
        <f>Activity!$C50*Activity!$D50*Activity!I50</f>
        <v>0</v>
      </c>
      <c r="H51" s="617">
        <f>Activity!$C50*Activity!$D50*Activity!J50</f>
        <v>0</v>
      </c>
      <c r="I51" s="617">
        <f>Activity!$C50*Activity!$D50*Activity!K50</f>
        <v>0</v>
      </c>
      <c r="J51" s="618">
        <f>Activity!$C50*Activity!$D50*Activity!L50</f>
        <v>0</v>
      </c>
      <c r="K51" s="617">
        <f>Activity!$C50*Activity!$D50*Activity!M50</f>
        <v>0</v>
      </c>
      <c r="L51" s="617">
        <f>Activity!$C50*Activity!$D50*Activity!N50</f>
        <v>0</v>
      </c>
      <c r="M51" s="615">
        <f>Activity!$C50*Activity!$D50*Activity!O50</f>
        <v>0</v>
      </c>
      <c r="N51" s="475">
        <v>0</v>
      </c>
      <c r="O51" s="617">
        <f>Activity!C50*Activity!D50</f>
        <v>0</v>
      </c>
      <c r="P51" s="624">
        <f>Activity!X50</f>
        <v>0</v>
      </c>
    </row>
    <row r="52" spans="2:16">
      <c r="B52" s="7">
        <f t="shared" si="1"/>
        <v>2038</v>
      </c>
      <c r="C52" s="616">
        <f>Activity!$C51*Activity!$D51*Activity!E51</f>
        <v>0</v>
      </c>
      <c r="D52" s="617">
        <f>Activity!$C51*Activity!$D51*Activity!F51</f>
        <v>0</v>
      </c>
      <c r="E52" s="615">
        <f>Activity!$C51*Activity!$D51*Activity!G51</f>
        <v>0</v>
      </c>
      <c r="F52" s="617">
        <f>Activity!$C51*Activity!$D51*Activity!H51</f>
        <v>0</v>
      </c>
      <c r="G52" s="617">
        <f>Activity!$C51*Activity!$D51*Activity!I51</f>
        <v>0</v>
      </c>
      <c r="H52" s="617">
        <f>Activity!$C51*Activity!$D51*Activity!J51</f>
        <v>0</v>
      </c>
      <c r="I52" s="617">
        <f>Activity!$C51*Activity!$D51*Activity!K51</f>
        <v>0</v>
      </c>
      <c r="J52" s="618">
        <f>Activity!$C51*Activity!$D51*Activity!L51</f>
        <v>0</v>
      </c>
      <c r="K52" s="617">
        <f>Activity!$C51*Activity!$D51*Activity!M51</f>
        <v>0</v>
      </c>
      <c r="L52" s="617">
        <f>Activity!$C51*Activity!$D51*Activity!N51</f>
        <v>0</v>
      </c>
      <c r="M52" s="615">
        <f>Activity!$C51*Activity!$D51*Activity!O51</f>
        <v>0</v>
      </c>
      <c r="N52" s="475">
        <v>0</v>
      </c>
      <c r="O52" s="617">
        <f>Activity!C51*Activity!D51</f>
        <v>0</v>
      </c>
      <c r="P52" s="624">
        <f>Activity!X51</f>
        <v>0</v>
      </c>
    </row>
    <row r="53" spans="2:16">
      <c r="B53" s="7">
        <f t="shared" si="1"/>
        <v>2039</v>
      </c>
      <c r="C53" s="616">
        <f>Activity!$C52*Activity!$D52*Activity!E52</f>
        <v>0</v>
      </c>
      <c r="D53" s="617">
        <f>Activity!$C52*Activity!$D52*Activity!F52</f>
        <v>0</v>
      </c>
      <c r="E53" s="615">
        <f>Activity!$C52*Activity!$D52*Activity!G52</f>
        <v>0</v>
      </c>
      <c r="F53" s="617">
        <f>Activity!$C52*Activity!$D52*Activity!H52</f>
        <v>0</v>
      </c>
      <c r="G53" s="617">
        <f>Activity!$C52*Activity!$D52*Activity!I52</f>
        <v>0</v>
      </c>
      <c r="H53" s="617">
        <f>Activity!$C52*Activity!$D52*Activity!J52</f>
        <v>0</v>
      </c>
      <c r="I53" s="617">
        <f>Activity!$C52*Activity!$D52*Activity!K52</f>
        <v>0</v>
      </c>
      <c r="J53" s="618">
        <f>Activity!$C52*Activity!$D52*Activity!L52</f>
        <v>0</v>
      </c>
      <c r="K53" s="617">
        <f>Activity!$C52*Activity!$D52*Activity!M52</f>
        <v>0</v>
      </c>
      <c r="L53" s="617">
        <f>Activity!$C52*Activity!$D52*Activity!N52</f>
        <v>0</v>
      </c>
      <c r="M53" s="615">
        <f>Activity!$C52*Activity!$D52*Activity!O52</f>
        <v>0</v>
      </c>
      <c r="N53" s="475">
        <v>0</v>
      </c>
      <c r="O53" s="617">
        <f>Activity!C52*Activity!D52</f>
        <v>0</v>
      </c>
      <c r="P53" s="624">
        <f>Activity!X52</f>
        <v>0</v>
      </c>
    </row>
    <row r="54" spans="2:16">
      <c r="B54" s="7">
        <f t="shared" si="1"/>
        <v>2040</v>
      </c>
      <c r="C54" s="616">
        <f>Activity!$C53*Activity!$D53*Activity!E53</f>
        <v>0</v>
      </c>
      <c r="D54" s="617">
        <f>Activity!$C53*Activity!$D53*Activity!F53</f>
        <v>0</v>
      </c>
      <c r="E54" s="615">
        <f>Activity!$C53*Activity!$D53*Activity!G53</f>
        <v>0</v>
      </c>
      <c r="F54" s="617">
        <f>Activity!$C53*Activity!$D53*Activity!H53</f>
        <v>0</v>
      </c>
      <c r="G54" s="617">
        <f>Activity!$C53*Activity!$D53*Activity!I53</f>
        <v>0</v>
      </c>
      <c r="H54" s="617">
        <f>Activity!$C53*Activity!$D53*Activity!J53</f>
        <v>0</v>
      </c>
      <c r="I54" s="617">
        <f>Activity!$C53*Activity!$D53*Activity!K53</f>
        <v>0</v>
      </c>
      <c r="J54" s="618">
        <f>Activity!$C53*Activity!$D53*Activity!L53</f>
        <v>0</v>
      </c>
      <c r="K54" s="617">
        <f>Activity!$C53*Activity!$D53*Activity!M53</f>
        <v>0</v>
      </c>
      <c r="L54" s="617">
        <f>Activity!$C53*Activity!$D53*Activity!N53</f>
        <v>0</v>
      </c>
      <c r="M54" s="615">
        <f>Activity!$C53*Activity!$D53*Activity!O53</f>
        <v>0</v>
      </c>
      <c r="N54" s="475">
        <v>0</v>
      </c>
      <c r="O54" s="617">
        <f>Activity!C53*Activity!D53</f>
        <v>0</v>
      </c>
      <c r="P54" s="624">
        <f>Activity!X53</f>
        <v>0</v>
      </c>
    </row>
    <row r="55" spans="2:16">
      <c r="B55" s="7">
        <f t="shared" si="1"/>
        <v>2041</v>
      </c>
      <c r="C55" s="616">
        <f>Activity!$C54*Activity!$D54*Activity!E54</f>
        <v>0</v>
      </c>
      <c r="D55" s="617">
        <f>Activity!$C54*Activity!$D54*Activity!F54</f>
        <v>0</v>
      </c>
      <c r="E55" s="615">
        <f>Activity!$C54*Activity!$D54*Activity!G54</f>
        <v>0</v>
      </c>
      <c r="F55" s="617">
        <f>Activity!$C54*Activity!$D54*Activity!H54</f>
        <v>0</v>
      </c>
      <c r="G55" s="617">
        <f>Activity!$C54*Activity!$D54*Activity!I54</f>
        <v>0</v>
      </c>
      <c r="H55" s="617">
        <f>Activity!$C54*Activity!$D54*Activity!J54</f>
        <v>0</v>
      </c>
      <c r="I55" s="617">
        <f>Activity!$C54*Activity!$D54*Activity!K54</f>
        <v>0</v>
      </c>
      <c r="J55" s="618">
        <f>Activity!$C54*Activity!$D54*Activity!L54</f>
        <v>0</v>
      </c>
      <c r="K55" s="617">
        <f>Activity!$C54*Activity!$D54*Activity!M54</f>
        <v>0</v>
      </c>
      <c r="L55" s="617">
        <f>Activity!$C54*Activity!$D54*Activity!N54</f>
        <v>0</v>
      </c>
      <c r="M55" s="615">
        <f>Activity!$C54*Activity!$D54*Activity!O54</f>
        <v>0</v>
      </c>
      <c r="N55" s="475">
        <v>0</v>
      </c>
      <c r="O55" s="617">
        <f>Activity!C54*Activity!D54</f>
        <v>0</v>
      </c>
      <c r="P55" s="624">
        <f>Activity!X54</f>
        <v>0</v>
      </c>
    </row>
    <row r="56" spans="2:16">
      <c r="B56" s="7">
        <f t="shared" si="1"/>
        <v>2042</v>
      </c>
      <c r="C56" s="616">
        <f>Activity!$C55*Activity!$D55*Activity!E55</f>
        <v>0</v>
      </c>
      <c r="D56" s="617">
        <f>Activity!$C55*Activity!$D55*Activity!F55</f>
        <v>0</v>
      </c>
      <c r="E56" s="615">
        <f>Activity!$C55*Activity!$D55*Activity!G55</f>
        <v>0</v>
      </c>
      <c r="F56" s="617">
        <f>Activity!$C55*Activity!$D55*Activity!H55</f>
        <v>0</v>
      </c>
      <c r="G56" s="617">
        <f>Activity!$C55*Activity!$D55*Activity!I55</f>
        <v>0</v>
      </c>
      <c r="H56" s="617">
        <f>Activity!$C55*Activity!$D55*Activity!J55</f>
        <v>0</v>
      </c>
      <c r="I56" s="617">
        <f>Activity!$C55*Activity!$D55*Activity!K55</f>
        <v>0</v>
      </c>
      <c r="J56" s="618">
        <f>Activity!$C55*Activity!$D55*Activity!L55</f>
        <v>0</v>
      </c>
      <c r="K56" s="617">
        <f>Activity!$C55*Activity!$D55*Activity!M55</f>
        <v>0</v>
      </c>
      <c r="L56" s="617">
        <f>Activity!$C55*Activity!$D55*Activity!N55</f>
        <v>0</v>
      </c>
      <c r="M56" s="615">
        <f>Activity!$C55*Activity!$D55*Activity!O55</f>
        <v>0</v>
      </c>
      <c r="N56" s="475">
        <v>0</v>
      </c>
      <c r="O56" s="617">
        <f>Activity!C55*Activity!D55</f>
        <v>0</v>
      </c>
      <c r="P56" s="624">
        <f>Activity!X55</f>
        <v>0</v>
      </c>
    </row>
    <row r="57" spans="2:16">
      <c r="B57" s="7">
        <f t="shared" si="1"/>
        <v>2043</v>
      </c>
      <c r="C57" s="616">
        <f>Activity!$C56*Activity!$D56*Activity!E56</f>
        <v>0</v>
      </c>
      <c r="D57" s="617">
        <f>Activity!$C56*Activity!$D56*Activity!F56</f>
        <v>0</v>
      </c>
      <c r="E57" s="615">
        <f>Activity!$C56*Activity!$D56*Activity!G56</f>
        <v>0</v>
      </c>
      <c r="F57" s="617">
        <f>Activity!$C56*Activity!$D56*Activity!H56</f>
        <v>0</v>
      </c>
      <c r="G57" s="617">
        <f>Activity!$C56*Activity!$D56*Activity!I56</f>
        <v>0</v>
      </c>
      <c r="H57" s="617">
        <f>Activity!$C56*Activity!$D56*Activity!J56</f>
        <v>0</v>
      </c>
      <c r="I57" s="617">
        <f>Activity!$C56*Activity!$D56*Activity!K56</f>
        <v>0</v>
      </c>
      <c r="J57" s="618">
        <f>Activity!$C56*Activity!$D56*Activity!L56</f>
        <v>0</v>
      </c>
      <c r="K57" s="617">
        <f>Activity!$C56*Activity!$D56*Activity!M56</f>
        <v>0</v>
      </c>
      <c r="L57" s="617">
        <f>Activity!$C56*Activity!$D56*Activity!N56</f>
        <v>0</v>
      </c>
      <c r="M57" s="615">
        <f>Activity!$C56*Activity!$D56*Activity!O56</f>
        <v>0</v>
      </c>
      <c r="N57" s="475">
        <v>0</v>
      </c>
      <c r="O57" s="617">
        <f>Activity!C56*Activity!D56</f>
        <v>0</v>
      </c>
      <c r="P57" s="624">
        <f>Activity!X56</f>
        <v>0</v>
      </c>
    </row>
    <row r="58" spans="2:16">
      <c r="B58" s="7">
        <f t="shared" si="1"/>
        <v>2044</v>
      </c>
      <c r="C58" s="616">
        <f>Activity!$C57*Activity!$D57*Activity!E57</f>
        <v>0</v>
      </c>
      <c r="D58" s="617">
        <f>Activity!$C57*Activity!$D57*Activity!F57</f>
        <v>0</v>
      </c>
      <c r="E58" s="615">
        <f>Activity!$C57*Activity!$D57*Activity!G57</f>
        <v>0</v>
      </c>
      <c r="F58" s="617">
        <f>Activity!$C57*Activity!$D57*Activity!H57</f>
        <v>0</v>
      </c>
      <c r="G58" s="617">
        <f>Activity!$C57*Activity!$D57*Activity!I57</f>
        <v>0</v>
      </c>
      <c r="H58" s="617">
        <f>Activity!$C57*Activity!$D57*Activity!J57</f>
        <v>0</v>
      </c>
      <c r="I58" s="617">
        <f>Activity!$C57*Activity!$D57*Activity!K57</f>
        <v>0</v>
      </c>
      <c r="J58" s="618">
        <f>Activity!$C57*Activity!$D57*Activity!L57</f>
        <v>0</v>
      </c>
      <c r="K58" s="617">
        <f>Activity!$C57*Activity!$D57*Activity!M57</f>
        <v>0</v>
      </c>
      <c r="L58" s="617">
        <f>Activity!$C57*Activity!$D57*Activity!N57</f>
        <v>0</v>
      </c>
      <c r="M58" s="615">
        <f>Activity!$C57*Activity!$D57*Activity!O57</f>
        <v>0</v>
      </c>
      <c r="N58" s="475">
        <v>0</v>
      </c>
      <c r="O58" s="617">
        <f>Activity!C57*Activity!D57</f>
        <v>0</v>
      </c>
      <c r="P58" s="624">
        <f>Activity!X57</f>
        <v>0</v>
      </c>
    </row>
    <row r="59" spans="2:16">
      <c r="B59" s="7">
        <f t="shared" si="1"/>
        <v>2045</v>
      </c>
      <c r="C59" s="616">
        <f>Activity!$C58*Activity!$D58*Activity!E58</f>
        <v>0</v>
      </c>
      <c r="D59" s="617">
        <f>Activity!$C58*Activity!$D58*Activity!F58</f>
        <v>0</v>
      </c>
      <c r="E59" s="615">
        <f>Activity!$C58*Activity!$D58*Activity!G58</f>
        <v>0</v>
      </c>
      <c r="F59" s="617">
        <f>Activity!$C58*Activity!$D58*Activity!H58</f>
        <v>0</v>
      </c>
      <c r="G59" s="617">
        <f>Activity!$C58*Activity!$D58*Activity!I58</f>
        <v>0</v>
      </c>
      <c r="H59" s="617">
        <f>Activity!$C58*Activity!$D58*Activity!J58</f>
        <v>0</v>
      </c>
      <c r="I59" s="617">
        <f>Activity!$C58*Activity!$D58*Activity!K58</f>
        <v>0</v>
      </c>
      <c r="J59" s="618">
        <f>Activity!$C58*Activity!$D58*Activity!L58</f>
        <v>0</v>
      </c>
      <c r="K59" s="617">
        <f>Activity!$C58*Activity!$D58*Activity!M58</f>
        <v>0</v>
      </c>
      <c r="L59" s="617">
        <f>Activity!$C58*Activity!$D58*Activity!N58</f>
        <v>0</v>
      </c>
      <c r="M59" s="615">
        <f>Activity!$C58*Activity!$D58*Activity!O58</f>
        <v>0</v>
      </c>
      <c r="N59" s="475">
        <v>0</v>
      </c>
      <c r="O59" s="617">
        <f>Activity!C58*Activity!D58</f>
        <v>0</v>
      </c>
      <c r="P59" s="624">
        <f>Activity!X58</f>
        <v>0</v>
      </c>
    </row>
    <row r="60" spans="2:16">
      <c r="B60" s="7">
        <f t="shared" si="1"/>
        <v>2046</v>
      </c>
      <c r="C60" s="616">
        <f>Activity!$C59*Activity!$D59*Activity!E59</f>
        <v>0</v>
      </c>
      <c r="D60" s="617">
        <f>Activity!$C59*Activity!$D59*Activity!F59</f>
        <v>0</v>
      </c>
      <c r="E60" s="615">
        <f>Activity!$C59*Activity!$D59*Activity!G59</f>
        <v>0</v>
      </c>
      <c r="F60" s="617">
        <f>Activity!$C59*Activity!$D59*Activity!H59</f>
        <v>0</v>
      </c>
      <c r="G60" s="617">
        <f>Activity!$C59*Activity!$D59*Activity!I59</f>
        <v>0</v>
      </c>
      <c r="H60" s="617">
        <f>Activity!$C59*Activity!$D59*Activity!J59</f>
        <v>0</v>
      </c>
      <c r="I60" s="617">
        <f>Activity!$C59*Activity!$D59*Activity!K59</f>
        <v>0</v>
      </c>
      <c r="J60" s="618">
        <f>Activity!$C59*Activity!$D59*Activity!L59</f>
        <v>0</v>
      </c>
      <c r="K60" s="617">
        <f>Activity!$C59*Activity!$D59*Activity!M59</f>
        <v>0</v>
      </c>
      <c r="L60" s="617">
        <f>Activity!$C59*Activity!$D59*Activity!N59</f>
        <v>0</v>
      </c>
      <c r="M60" s="615">
        <f>Activity!$C59*Activity!$D59*Activity!O59</f>
        <v>0</v>
      </c>
      <c r="N60" s="475">
        <v>0</v>
      </c>
      <c r="O60" s="617">
        <f>Activity!C59*Activity!D59</f>
        <v>0</v>
      </c>
      <c r="P60" s="624">
        <f>Activity!X59</f>
        <v>0</v>
      </c>
    </row>
    <row r="61" spans="2:16">
      <c r="B61" s="7">
        <f t="shared" si="1"/>
        <v>2047</v>
      </c>
      <c r="C61" s="616">
        <f>Activity!$C60*Activity!$D60*Activity!E60</f>
        <v>0</v>
      </c>
      <c r="D61" s="617">
        <f>Activity!$C60*Activity!$D60*Activity!F60</f>
        <v>0</v>
      </c>
      <c r="E61" s="615">
        <f>Activity!$C60*Activity!$D60*Activity!G60</f>
        <v>0</v>
      </c>
      <c r="F61" s="617">
        <f>Activity!$C60*Activity!$D60*Activity!H60</f>
        <v>0</v>
      </c>
      <c r="G61" s="617">
        <f>Activity!$C60*Activity!$D60*Activity!I60</f>
        <v>0</v>
      </c>
      <c r="H61" s="617">
        <f>Activity!$C60*Activity!$D60*Activity!J60</f>
        <v>0</v>
      </c>
      <c r="I61" s="617">
        <f>Activity!$C60*Activity!$D60*Activity!K60</f>
        <v>0</v>
      </c>
      <c r="J61" s="618">
        <f>Activity!$C60*Activity!$D60*Activity!L60</f>
        <v>0</v>
      </c>
      <c r="K61" s="617">
        <f>Activity!$C60*Activity!$D60*Activity!M60</f>
        <v>0</v>
      </c>
      <c r="L61" s="617">
        <f>Activity!$C60*Activity!$D60*Activity!N60</f>
        <v>0</v>
      </c>
      <c r="M61" s="615">
        <f>Activity!$C60*Activity!$D60*Activity!O60</f>
        <v>0</v>
      </c>
      <c r="N61" s="475">
        <v>0</v>
      </c>
      <c r="O61" s="617">
        <f>Activity!C60*Activity!D60</f>
        <v>0</v>
      </c>
      <c r="P61" s="624">
        <f>Activity!X60</f>
        <v>0</v>
      </c>
    </row>
    <row r="62" spans="2:16">
      <c r="B62" s="7">
        <f t="shared" si="1"/>
        <v>2048</v>
      </c>
      <c r="C62" s="616">
        <f>Activity!$C61*Activity!$D61*Activity!E61</f>
        <v>0</v>
      </c>
      <c r="D62" s="617">
        <f>Activity!$C61*Activity!$D61*Activity!F61</f>
        <v>0</v>
      </c>
      <c r="E62" s="615">
        <f>Activity!$C61*Activity!$D61*Activity!G61</f>
        <v>0</v>
      </c>
      <c r="F62" s="617">
        <f>Activity!$C61*Activity!$D61*Activity!H61</f>
        <v>0</v>
      </c>
      <c r="G62" s="617">
        <f>Activity!$C61*Activity!$D61*Activity!I61</f>
        <v>0</v>
      </c>
      <c r="H62" s="617">
        <f>Activity!$C61*Activity!$D61*Activity!J61</f>
        <v>0</v>
      </c>
      <c r="I62" s="617">
        <f>Activity!$C61*Activity!$D61*Activity!K61</f>
        <v>0</v>
      </c>
      <c r="J62" s="618">
        <f>Activity!$C61*Activity!$D61*Activity!L61</f>
        <v>0</v>
      </c>
      <c r="K62" s="617">
        <f>Activity!$C61*Activity!$D61*Activity!M61</f>
        <v>0</v>
      </c>
      <c r="L62" s="617">
        <f>Activity!$C61*Activity!$D61*Activity!N61</f>
        <v>0</v>
      </c>
      <c r="M62" s="615">
        <f>Activity!$C61*Activity!$D61*Activity!O61</f>
        <v>0</v>
      </c>
      <c r="N62" s="475">
        <v>0</v>
      </c>
      <c r="O62" s="617">
        <f>Activity!C61*Activity!D61</f>
        <v>0</v>
      </c>
      <c r="P62" s="624">
        <f>Activity!X61</f>
        <v>0</v>
      </c>
    </row>
    <row r="63" spans="2:16">
      <c r="B63" s="7">
        <f t="shared" si="1"/>
        <v>2049</v>
      </c>
      <c r="C63" s="616">
        <f>Activity!$C62*Activity!$D62*Activity!E62</f>
        <v>0</v>
      </c>
      <c r="D63" s="617">
        <f>Activity!$C62*Activity!$D62*Activity!F62</f>
        <v>0</v>
      </c>
      <c r="E63" s="615">
        <f>Activity!$C62*Activity!$D62*Activity!G62</f>
        <v>0</v>
      </c>
      <c r="F63" s="617">
        <f>Activity!$C62*Activity!$D62*Activity!H62</f>
        <v>0</v>
      </c>
      <c r="G63" s="617">
        <f>Activity!$C62*Activity!$D62*Activity!I62</f>
        <v>0</v>
      </c>
      <c r="H63" s="617">
        <f>Activity!$C62*Activity!$D62*Activity!J62</f>
        <v>0</v>
      </c>
      <c r="I63" s="617">
        <f>Activity!$C62*Activity!$D62*Activity!K62</f>
        <v>0</v>
      </c>
      <c r="J63" s="618">
        <f>Activity!$C62*Activity!$D62*Activity!L62</f>
        <v>0</v>
      </c>
      <c r="K63" s="617">
        <f>Activity!$C62*Activity!$D62*Activity!M62</f>
        <v>0</v>
      </c>
      <c r="L63" s="617">
        <f>Activity!$C62*Activity!$D62*Activity!N62</f>
        <v>0</v>
      </c>
      <c r="M63" s="615">
        <f>Activity!$C62*Activity!$D62*Activity!O62</f>
        <v>0</v>
      </c>
      <c r="N63" s="475">
        <v>0</v>
      </c>
      <c r="O63" s="617">
        <f>Activity!C62*Activity!D62</f>
        <v>0</v>
      </c>
      <c r="P63" s="624">
        <f>Activity!X62</f>
        <v>0</v>
      </c>
    </row>
    <row r="64" spans="2:16">
      <c r="B64" s="7">
        <f t="shared" si="1"/>
        <v>2050</v>
      </c>
      <c r="C64" s="616">
        <f>Activity!$C63*Activity!$D63*Activity!E63</f>
        <v>0</v>
      </c>
      <c r="D64" s="617">
        <f>Activity!$C63*Activity!$D63*Activity!F63</f>
        <v>0</v>
      </c>
      <c r="E64" s="615">
        <f>Activity!$C63*Activity!$D63*Activity!G63</f>
        <v>0</v>
      </c>
      <c r="F64" s="617">
        <f>Activity!$C63*Activity!$D63*Activity!H63</f>
        <v>0</v>
      </c>
      <c r="G64" s="617">
        <f>Activity!$C63*Activity!$D63*Activity!I63</f>
        <v>0</v>
      </c>
      <c r="H64" s="617">
        <f>Activity!$C63*Activity!$D63*Activity!J63</f>
        <v>0</v>
      </c>
      <c r="I64" s="617">
        <f>Activity!$C63*Activity!$D63*Activity!K63</f>
        <v>0</v>
      </c>
      <c r="J64" s="618">
        <f>Activity!$C63*Activity!$D63*Activity!L63</f>
        <v>0</v>
      </c>
      <c r="K64" s="617">
        <f>Activity!$C63*Activity!$D63*Activity!M63</f>
        <v>0</v>
      </c>
      <c r="L64" s="617">
        <f>Activity!$C63*Activity!$D63*Activity!N63</f>
        <v>0</v>
      </c>
      <c r="M64" s="615">
        <f>Activity!$C63*Activity!$D63*Activity!O63</f>
        <v>0</v>
      </c>
      <c r="N64" s="475">
        <v>0</v>
      </c>
      <c r="O64" s="617">
        <f>Activity!C63*Activity!D63</f>
        <v>0</v>
      </c>
      <c r="P64" s="624">
        <f>Activity!X63</f>
        <v>0</v>
      </c>
    </row>
    <row r="65" spans="2:16">
      <c r="B65" s="7">
        <f t="shared" si="1"/>
        <v>2051</v>
      </c>
      <c r="C65" s="616">
        <f>Activity!$C64*Activity!$D64*Activity!E64</f>
        <v>0</v>
      </c>
      <c r="D65" s="617">
        <f>Activity!$C64*Activity!$D64*Activity!F64</f>
        <v>0</v>
      </c>
      <c r="E65" s="615">
        <f>Activity!$C64*Activity!$D64*Activity!G64</f>
        <v>0</v>
      </c>
      <c r="F65" s="617">
        <f>Activity!$C64*Activity!$D64*Activity!H64</f>
        <v>0</v>
      </c>
      <c r="G65" s="617">
        <f>Activity!$C64*Activity!$D64*Activity!I64</f>
        <v>0</v>
      </c>
      <c r="H65" s="617">
        <f>Activity!$C64*Activity!$D64*Activity!J64</f>
        <v>0</v>
      </c>
      <c r="I65" s="617">
        <f>Activity!$C64*Activity!$D64*Activity!K64</f>
        <v>0</v>
      </c>
      <c r="J65" s="618">
        <f>Activity!$C64*Activity!$D64*Activity!L64</f>
        <v>0</v>
      </c>
      <c r="K65" s="617">
        <f>Activity!$C64*Activity!$D64*Activity!M64</f>
        <v>0</v>
      </c>
      <c r="L65" s="617">
        <f>Activity!$C64*Activity!$D64*Activity!N64</f>
        <v>0</v>
      </c>
      <c r="M65" s="615">
        <f>Activity!$C64*Activity!$D64*Activity!O64</f>
        <v>0</v>
      </c>
      <c r="N65" s="475">
        <v>0</v>
      </c>
      <c r="O65" s="617">
        <f>Activity!C64*Activity!D64</f>
        <v>0</v>
      </c>
      <c r="P65" s="624">
        <f>Activity!X64</f>
        <v>0</v>
      </c>
    </row>
    <row r="66" spans="2:16">
      <c r="B66" s="7">
        <f t="shared" si="1"/>
        <v>2052</v>
      </c>
      <c r="C66" s="616">
        <f>Activity!$C65*Activity!$D65*Activity!E65</f>
        <v>0</v>
      </c>
      <c r="D66" s="617">
        <f>Activity!$C65*Activity!$D65*Activity!F65</f>
        <v>0</v>
      </c>
      <c r="E66" s="615">
        <f>Activity!$C65*Activity!$D65*Activity!G65</f>
        <v>0</v>
      </c>
      <c r="F66" s="617">
        <f>Activity!$C65*Activity!$D65*Activity!H65</f>
        <v>0</v>
      </c>
      <c r="G66" s="617">
        <f>Activity!$C65*Activity!$D65*Activity!I65</f>
        <v>0</v>
      </c>
      <c r="H66" s="617">
        <f>Activity!$C65*Activity!$D65*Activity!J65</f>
        <v>0</v>
      </c>
      <c r="I66" s="617">
        <f>Activity!$C65*Activity!$D65*Activity!K65</f>
        <v>0</v>
      </c>
      <c r="J66" s="618">
        <f>Activity!$C65*Activity!$D65*Activity!L65</f>
        <v>0</v>
      </c>
      <c r="K66" s="617">
        <f>Activity!$C65*Activity!$D65*Activity!M65</f>
        <v>0</v>
      </c>
      <c r="L66" s="617">
        <f>Activity!$C65*Activity!$D65*Activity!N65</f>
        <v>0</v>
      </c>
      <c r="M66" s="615">
        <f>Activity!$C65*Activity!$D65*Activity!O65</f>
        <v>0</v>
      </c>
      <c r="N66" s="475">
        <v>0</v>
      </c>
      <c r="O66" s="617">
        <f>Activity!C65*Activity!D65</f>
        <v>0</v>
      </c>
      <c r="P66" s="624">
        <f>Activity!X65</f>
        <v>0</v>
      </c>
    </row>
    <row r="67" spans="2:16">
      <c r="B67" s="7">
        <f t="shared" si="1"/>
        <v>2053</v>
      </c>
      <c r="C67" s="616">
        <f>Activity!$C66*Activity!$D66*Activity!E66</f>
        <v>0</v>
      </c>
      <c r="D67" s="617">
        <f>Activity!$C66*Activity!$D66*Activity!F66</f>
        <v>0</v>
      </c>
      <c r="E67" s="615">
        <f>Activity!$C66*Activity!$D66*Activity!G66</f>
        <v>0</v>
      </c>
      <c r="F67" s="617">
        <f>Activity!$C66*Activity!$D66*Activity!H66</f>
        <v>0</v>
      </c>
      <c r="G67" s="617">
        <f>Activity!$C66*Activity!$D66*Activity!I66</f>
        <v>0</v>
      </c>
      <c r="H67" s="617">
        <f>Activity!$C66*Activity!$D66*Activity!J66</f>
        <v>0</v>
      </c>
      <c r="I67" s="617">
        <f>Activity!$C66*Activity!$D66*Activity!K66</f>
        <v>0</v>
      </c>
      <c r="J67" s="618">
        <f>Activity!$C66*Activity!$D66*Activity!L66</f>
        <v>0</v>
      </c>
      <c r="K67" s="617">
        <f>Activity!$C66*Activity!$D66*Activity!M66</f>
        <v>0</v>
      </c>
      <c r="L67" s="617">
        <f>Activity!$C66*Activity!$D66*Activity!N66</f>
        <v>0</v>
      </c>
      <c r="M67" s="615">
        <f>Activity!$C66*Activity!$D66*Activity!O66</f>
        <v>0</v>
      </c>
      <c r="N67" s="475">
        <v>0</v>
      </c>
      <c r="O67" s="617">
        <f>Activity!C66*Activity!D66</f>
        <v>0</v>
      </c>
      <c r="P67" s="624">
        <f>Activity!X66</f>
        <v>0</v>
      </c>
    </row>
    <row r="68" spans="2:16">
      <c r="B68" s="7">
        <f t="shared" si="1"/>
        <v>2054</v>
      </c>
      <c r="C68" s="616">
        <f>Activity!$C67*Activity!$D67*Activity!E67</f>
        <v>0</v>
      </c>
      <c r="D68" s="617">
        <f>Activity!$C67*Activity!$D67*Activity!F67</f>
        <v>0</v>
      </c>
      <c r="E68" s="615">
        <f>Activity!$C67*Activity!$D67*Activity!G67</f>
        <v>0</v>
      </c>
      <c r="F68" s="617">
        <f>Activity!$C67*Activity!$D67*Activity!H67</f>
        <v>0</v>
      </c>
      <c r="G68" s="617">
        <f>Activity!$C67*Activity!$D67*Activity!I67</f>
        <v>0</v>
      </c>
      <c r="H68" s="617">
        <f>Activity!$C67*Activity!$D67*Activity!J67</f>
        <v>0</v>
      </c>
      <c r="I68" s="617">
        <f>Activity!$C67*Activity!$D67*Activity!K67</f>
        <v>0</v>
      </c>
      <c r="J68" s="618">
        <f>Activity!$C67*Activity!$D67*Activity!L67</f>
        <v>0</v>
      </c>
      <c r="K68" s="617">
        <f>Activity!$C67*Activity!$D67*Activity!M67</f>
        <v>0</v>
      </c>
      <c r="L68" s="617">
        <f>Activity!$C67*Activity!$D67*Activity!N67</f>
        <v>0</v>
      </c>
      <c r="M68" s="615">
        <f>Activity!$C67*Activity!$D67*Activity!O67</f>
        <v>0</v>
      </c>
      <c r="N68" s="475">
        <v>0</v>
      </c>
      <c r="O68" s="617">
        <f>Activity!C67*Activity!D67</f>
        <v>0</v>
      </c>
      <c r="P68" s="624">
        <f>Activity!X67</f>
        <v>0</v>
      </c>
    </row>
    <row r="69" spans="2:16">
      <c r="B69" s="7">
        <f t="shared" si="1"/>
        <v>2055</v>
      </c>
      <c r="C69" s="616">
        <f>Activity!$C68*Activity!$D68*Activity!E68</f>
        <v>0</v>
      </c>
      <c r="D69" s="617">
        <f>Activity!$C68*Activity!$D68*Activity!F68</f>
        <v>0</v>
      </c>
      <c r="E69" s="615">
        <f>Activity!$C68*Activity!$D68*Activity!G68</f>
        <v>0</v>
      </c>
      <c r="F69" s="617">
        <f>Activity!$C68*Activity!$D68*Activity!H68</f>
        <v>0</v>
      </c>
      <c r="G69" s="617">
        <f>Activity!$C68*Activity!$D68*Activity!I68</f>
        <v>0</v>
      </c>
      <c r="H69" s="617">
        <f>Activity!$C68*Activity!$D68*Activity!J68</f>
        <v>0</v>
      </c>
      <c r="I69" s="617">
        <f>Activity!$C68*Activity!$D68*Activity!K68</f>
        <v>0</v>
      </c>
      <c r="J69" s="618">
        <f>Activity!$C68*Activity!$D68*Activity!L68</f>
        <v>0</v>
      </c>
      <c r="K69" s="617">
        <f>Activity!$C68*Activity!$D68*Activity!M68</f>
        <v>0</v>
      </c>
      <c r="L69" s="617">
        <f>Activity!$C68*Activity!$D68*Activity!N68</f>
        <v>0</v>
      </c>
      <c r="M69" s="615">
        <f>Activity!$C68*Activity!$D68*Activity!O68</f>
        <v>0</v>
      </c>
      <c r="N69" s="475">
        <v>0</v>
      </c>
      <c r="O69" s="617">
        <f>Activity!C68*Activity!D68</f>
        <v>0</v>
      </c>
      <c r="P69" s="624">
        <f>Activity!X68</f>
        <v>0</v>
      </c>
    </row>
    <row r="70" spans="2:16">
      <c r="B70" s="7">
        <f t="shared" si="1"/>
        <v>2056</v>
      </c>
      <c r="C70" s="616">
        <f>Activity!$C69*Activity!$D69*Activity!E69</f>
        <v>0</v>
      </c>
      <c r="D70" s="617">
        <f>Activity!$C69*Activity!$D69*Activity!F69</f>
        <v>0</v>
      </c>
      <c r="E70" s="615">
        <f>Activity!$C69*Activity!$D69*Activity!G69</f>
        <v>0</v>
      </c>
      <c r="F70" s="617">
        <f>Activity!$C69*Activity!$D69*Activity!H69</f>
        <v>0</v>
      </c>
      <c r="G70" s="617">
        <f>Activity!$C69*Activity!$D69*Activity!I69</f>
        <v>0</v>
      </c>
      <c r="H70" s="617">
        <f>Activity!$C69*Activity!$D69*Activity!J69</f>
        <v>0</v>
      </c>
      <c r="I70" s="617">
        <f>Activity!$C69*Activity!$D69*Activity!K69</f>
        <v>0</v>
      </c>
      <c r="J70" s="618">
        <f>Activity!$C69*Activity!$D69*Activity!L69</f>
        <v>0</v>
      </c>
      <c r="K70" s="617">
        <f>Activity!$C69*Activity!$D69*Activity!M69</f>
        <v>0</v>
      </c>
      <c r="L70" s="617">
        <f>Activity!$C69*Activity!$D69*Activity!N69</f>
        <v>0</v>
      </c>
      <c r="M70" s="615">
        <f>Activity!$C69*Activity!$D69*Activity!O69</f>
        <v>0</v>
      </c>
      <c r="N70" s="475">
        <v>0</v>
      </c>
      <c r="O70" s="617">
        <f>Activity!C69*Activity!D69</f>
        <v>0</v>
      </c>
      <c r="P70" s="624">
        <f>Activity!X69</f>
        <v>0</v>
      </c>
    </row>
    <row r="71" spans="2:16">
      <c r="B71" s="7">
        <f t="shared" si="1"/>
        <v>2057</v>
      </c>
      <c r="C71" s="616">
        <f>Activity!$C70*Activity!$D70*Activity!E70</f>
        <v>0</v>
      </c>
      <c r="D71" s="617">
        <f>Activity!$C70*Activity!$D70*Activity!F70</f>
        <v>0</v>
      </c>
      <c r="E71" s="615">
        <f>Activity!$C70*Activity!$D70*Activity!G70</f>
        <v>0</v>
      </c>
      <c r="F71" s="617">
        <f>Activity!$C70*Activity!$D70*Activity!H70</f>
        <v>0</v>
      </c>
      <c r="G71" s="617">
        <f>Activity!$C70*Activity!$D70*Activity!I70</f>
        <v>0</v>
      </c>
      <c r="H71" s="617">
        <f>Activity!$C70*Activity!$D70*Activity!J70</f>
        <v>0</v>
      </c>
      <c r="I71" s="617">
        <f>Activity!$C70*Activity!$D70*Activity!K70</f>
        <v>0</v>
      </c>
      <c r="J71" s="618">
        <f>Activity!$C70*Activity!$D70*Activity!L70</f>
        <v>0</v>
      </c>
      <c r="K71" s="617">
        <f>Activity!$C70*Activity!$D70*Activity!M70</f>
        <v>0</v>
      </c>
      <c r="L71" s="617">
        <f>Activity!$C70*Activity!$D70*Activity!N70</f>
        <v>0</v>
      </c>
      <c r="M71" s="615">
        <f>Activity!$C70*Activity!$D70*Activity!O70</f>
        <v>0</v>
      </c>
      <c r="N71" s="475">
        <v>0</v>
      </c>
      <c r="O71" s="617">
        <f>Activity!C70*Activity!D70</f>
        <v>0</v>
      </c>
      <c r="P71" s="624">
        <f>Activity!X70</f>
        <v>0</v>
      </c>
    </row>
    <row r="72" spans="2:16">
      <c r="B72" s="7">
        <f t="shared" si="1"/>
        <v>2058</v>
      </c>
      <c r="C72" s="616">
        <f>Activity!$C71*Activity!$D71*Activity!E71</f>
        <v>0</v>
      </c>
      <c r="D72" s="617">
        <f>Activity!$C71*Activity!$D71*Activity!F71</f>
        <v>0</v>
      </c>
      <c r="E72" s="615">
        <f>Activity!$C71*Activity!$D71*Activity!G71</f>
        <v>0</v>
      </c>
      <c r="F72" s="617">
        <f>Activity!$C71*Activity!$D71*Activity!H71</f>
        <v>0</v>
      </c>
      <c r="G72" s="617">
        <f>Activity!$C71*Activity!$D71*Activity!I71</f>
        <v>0</v>
      </c>
      <c r="H72" s="617">
        <f>Activity!$C71*Activity!$D71*Activity!J71</f>
        <v>0</v>
      </c>
      <c r="I72" s="617">
        <f>Activity!$C71*Activity!$D71*Activity!K71</f>
        <v>0</v>
      </c>
      <c r="J72" s="618">
        <f>Activity!$C71*Activity!$D71*Activity!L71</f>
        <v>0</v>
      </c>
      <c r="K72" s="617">
        <f>Activity!$C71*Activity!$D71*Activity!M71</f>
        <v>0</v>
      </c>
      <c r="L72" s="617">
        <f>Activity!$C71*Activity!$D71*Activity!N71</f>
        <v>0</v>
      </c>
      <c r="M72" s="615">
        <f>Activity!$C71*Activity!$D71*Activity!O71</f>
        <v>0</v>
      </c>
      <c r="N72" s="475">
        <v>0</v>
      </c>
      <c r="O72" s="617">
        <f>Activity!C71*Activity!D71</f>
        <v>0</v>
      </c>
      <c r="P72" s="624">
        <f>Activity!X71</f>
        <v>0</v>
      </c>
    </row>
    <row r="73" spans="2:16">
      <c r="B73" s="7">
        <f t="shared" si="1"/>
        <v>2059</v>
      </c>
      <c r="C73" s="616">
        <f>Activity!$C72*Activity!$D72*Activity!E72</f>
        <v>0</v>
      </c>
      <c r="D73" s="617">
        <f>Activity!$C72*Activity!$D72*Activity!F72</f>
        <v>0</v>
      </c>
      <c r="E73" s="615">
        <f>Activity!$C72*Activity!$D72*Activity!G72</f>
        <v>0</v>
      </c>
      <c r="F73" s="617">
        <f>Activity!$C72*Activity!$D72*Activity!H72</f>
        <v>0</v>
      </c>
      <c r="G73" s="617">
        <f>Activity!$C72*Activity!$D72*Activity!I72</f>
        <v>0</v>
      </c>
      <c r="H73" s="617">
        <f>Activity!$C72*Activity!$D72*Activity!J72</f>
        <v>0</v>
      </c>
      <c r="I73" s="617">
        <f>Activity!$C72*Activity!$D72*Activity!K72</f>
        <v>0</v>
      </c>
      <c r="J73" s="618">
        <f>Activity!$C72*Activity!$D72*Activity!L72</f>
        <v>0</v>
      </c>
      <c r="K73" s="617">
        <f>Activity!$C72*Activity!$D72*Activity!M72</f>
        <v>0</v>
      </c>
      <c r="L73" s="617">
        <f>Activity!$C72*Activity!$D72*Activity!N72</f>
        <v>0</v>
      </c>
      <c r="M73" s="615">
        <f>Activity!$C72*Activity!$D72*Activity!O72</f>
        <v>0</v>
      </c>
      <c r="N73" s="475">
        <v>0</v>
      </c>
      <c r="O73" s="617">
        <f>Activity!C72*Activity!D72</f>
        <v>0</v>
      </c>
      <c r="P73" s="624">
        <f>Activity!X72</f>
        <v>0</v>
      </c>
    </row>
    <row r="74" spans="2:16">
      <c r="B74" s="7">
        <f t="shared" si="1"/>
        <v>2060</v>
      </c>
      <c r="C74" s="616">
        <f>Activity!$C73*Activity!$D73*Activity!E73</f>
        <v>0</v>
      </c>
      <c r="D74" s="617">
        <f>Activity!$C73*Activity!$D73*Activity!F73</f>
        <v>0</v>
      </c>
      <c r="E74" s="615">
        <f>Activity!$C73*Activity!$D73*Activity!G73</f>
        <v>0</v>
      </c>
      <c r="F74" s="617">
        <f>Activity!$C73*Activity!$D73*Activity!H73</f>
        <v>0</v>
      </c>
      <c r="G74" s="617">
        <f>Activity!$C73*Activity!$D73*Activity!I73</f>
        <v>0</v>
      </c>
      <c r="H74" s="617">
        <f>Activity!$C73*Activity!$D73*Activity!J73</f>
        <v>0</v>
      </c>
      <c r="I74" s="617">
        <f>Activity!$C73*Activity!$D73*Activity!K73</f>
        <v>0</v>
      </c>
      <c r="J74" s="618">
        <f>Activity!$C73*Activity!$D73*Activity!L73</f>
        <v>0</v>
      </c>
      <c r="K74" s="617">
        <f>Activity!$C73*Activity!$D73*Activity!M73</f>
        <v>0</v>
      </c>
      <c r="L74" s="617">
        <f>Activity!$C73*Activity!$D73*Activity!N73</f>
        <v>0</v>
      </c>
      <c r="M74" s="615">
        <f>Activity!$C73*Activity!$D73*Activity!O73</f>
        <v>0</v>
      </c>
      <c r="N74" s="475">
        <v>0</v>
      </c>
      <c r="O74" s="617">
        <f>Activity!C73*Activity!D73</f>
        <v>0</v>
      </c>
      <c r="P74" s="624">
        <f>Activity!X73</f>
        <v>0</v>
      </c>
    </row>
    <row r="75" spans="2:16">
      <c r="B75" s="7">
        <f t="shared" si="1"/>
        <v>2061</v>
      </c>
      <c r="C75" s="616">
        <f>Activity!$C74*Activity!$D74*Activity!E74</f>
        <v>0</v>
      </c>
      <c r="D75" s="617">
        <f>Activity!$C74*Activity!$D74*Activity!F74</f>
        <v>0</v>
      </c>
      <c r="E75" s="615">
        <f>Activity!$C74*Activity!$D74*Activity!G74</f>
        <v>0</v>
      </c>
      <c r="F75" s="617">
        <f>Activity!$C74*Activity!$D74*Activity!H74</f>
        <v>0</v>
      </c>
      <c r="G75" s="617">
        <f>Activity!$C74*Activity!$D74*Activity!I74</f>
        <v>0</v>
      </c>
      <c r="H75" s="617">
        <f>Activity!$C74*Activity!$D74*Activity!J74</f>
        <v>0</v>
      </c>
      <c r="I75" s="617">
        <f>Activity!$C74*Activity!$D74*Activity!K74</f>
        <v>0</v>
      </c>
      <c r="J75" s="618">
        <f>Activity!$C74*Activity!$D74*Activity!L74</f>
        <v>0</v>
      </c>
      <c r="K75" s="617">
        <f>Activity!$C74*Activity!$D74*Activity!M74</f>
        <v>0</v>
      </c>
      <c r="L75" s="617">
        <f>Activity!$C74*Activity!$D74*Activity!N74</f>
        <v>0</v>
      </c>
      <c r="M75" s="615">
        <f>Activity!$C74*Activity!$D74*Activity!O74</f>
        <v>0</v>
      </c>
      <c r="N75" s="475">
        <v>0</v>
      </c>
      <c r="O75" s="617">
        <f>Activity!C74*Activity!D74</f>
        <v>0</v>
      </c>
      <c r="P75" s="624">
        <f>Activity!X74</f>
        <v>0</v>
      </c>
    </row>
    <row r="76" spans="2:16">
      <c r="B76" s="7">
        <f t="shared" si="1"/>
        <v>2062</v>
      </c>
      <c r="C76" s="616">
        <f>Activity!$C75*Activity!$D75*Activity!E75</f>
        <v>0</v>
      </c>
      <c r="D76" s="617">
        <f>Activity!$C75*Activity!$D75*Activity!F75</f>
        <v>0</v>
      </c>
      <c r="E76" s="615">
        <f>Activity!$C75*Activity!$D75*Activity!G75</f>
        <v>0</v>
      </c>
      <c r="F76" s="617">
        <f>Activity!$C75*Activity!$D75*Activity!H75</f>
        <v>0</v>
      </c>
      <c r="G76" s="617">
        <f>Activity!$C75*Activity!$D75*Activity!I75</f>
        <v>0</v>
      </c>
      <c r="H76" s="617">
        <f>Activity!$C75*Activity!$D75*Activity!J75</f>
        <v>0</v>
      </c>
      <c r="I76" s="617">
        <f>Activity!$C75*Activity!$D75*Activity!K75</f>
        <v>0</v>
      </c>
      <c r="J76" s="618">
        <f>Activity!$C75*Activity!$D75*Activity!L75</f>
        <v>0</v>
      </c>
      <c r="K76" s="617">
        <f>Activity!$C75*Activity!$D75*Activity!M75</f>
        <v>0</v>
      </c>
      <c r="L76" s="617">
        <f>Activity!$C75*Activity!$D75*Activity!N75</f>
        <v>0</v>
      </c>
      <c r="M76" s="615">
        <f>Activity!$C75*Activity!$D75*Activity!O75</f>
        <v>0</v>
      </c>
      <c r="N76" s="475">
        <v>0</v>
      </c>
      <c r="O76" s="617">
        <f>Activity!C75*Activity!D75</f>
        <v>0</v>
      </c>
      <c r="P76" s="624">
        <f>Activity!X75</f>
        <v>0</v>
      </c>
    </row>
    <row r="77" spans="2:16">
      <c r="B77" s="7">
        <f t="shared" si="1"/>
        <v>2063</v>
      </c>
      <c r="C77" s="616">
        <f>Activity!$C76*Activity!$D76*Activity!E76</f>
        <v>0</v>
      </c>
      <c r="D77" s="617">
        <f>Activity!$C76*Activity!$D76*Activity!F76</f>
        <v>0</v>
      </c>
      <c r="E77" s="615">
        <f>Activity!$C76*Activity!$D76*Activity!G76</f>
        <v>0</v>
      </c>
      <c r="F77" s="617">
        <f>Activity!$C76*Activity!$D76*Activity!H76</f>
        <v>0</v>
      </c>
      <c r="G77" s="617">
        <f>Activity!$C76*Activity!$D76*Activity!I76</f>
        <v>0</v>
      </c>
      <c r="H77" s="617">
        <f>Activity!$C76*Activity!$D76*Activity!J76</f>
        <v>0</v>
      </c>
      <c r="I77" s="617">
        <f>Activity!$C76*Activity!$D76*Activity!K76</f>
        <v>0</v>
      </c>
      <c r="J77" s="618">
        <f>Activity!$C76*Activity!$D76*Activity!L76</f>
        <v>0</v>
      </c>
      <c r="K77" s="617">
        <f>Activity!$C76*Activity!$D76*Activity!M76</f>
        <v>0</v>
      </c>
      <c r="L77" s="617">
        <f>Activity!$C76*Activity!$D76*Activity!N76</f>
        <v>0</v>
      </c>
      <c r="M77" s="615">
        <f>Activity!$C76*Activity!$D76*Activity!O76</f>
        <v>0</v>
      </c>
      <c r="N77" s="475">
        <v>0</v>
      </c>
      <c r="O77" s="617">
        <f>Activity!C76*Activity!D76</f>
        <v>0</v>
      </c>
      <c r="P77" s="624">
        <f>Activity!X76</f>
        <v>0</v>
      </c>
    </row>
    <row r="78" spans="2:16">
      <c r="B78" s="7">
        <f t="shared" si="1"/>
        <v>2064</v>
      </c>
      <c r="C78" s="616">
        <f>Activity!$C77*Activity!$D77*Activity!E77</f>
        <v>0</v>
      </c>
      <c r="D78" s="617">
        <f>Activity!$C77*Activity!$D77*Activity!F77</f>
        <v>0</v>
      </c>
      <c r="E78" s="615">
        <f>Activity!$C77*Activity!$D77*Activity!G77</f>
        <v>0</v>
      </c>
      <c r="F78" s="617">
        <f>Activity!$C77*Activity!$D77*Activity!H77</f>
        <v>0</v>
      </c>
      <c r="G78" s="617">
        <f>Activity!$C77*Activity!$D77*Activity!I77</f>
        <v>0</v>
      </c>
      <c r="H78" s="617">
        <f>Activity!$C77*Activity!$D77*Activity!J77</f>
        <v>0</v>
      </c>
      <c r="I78" s="617">
        <f>Activity!$C77*Activity!$D77*Activity!K77</f>
        <v>0</v>
      </c>
      <c r="J78" s="618">
        <f>Activity!$C77*Activity!$D77*Activity!L77</f>
        <v>0</v>
      </c>
      <c r="K78" s="617">
        <f>Activity!$C77*Activity!$D77*Activity!M77</f>
        <v>0</v>
      </c>
      <c r="L78" s="617">
        <f>Activity!$C77*Activity!$D77*Activity!N77</f>
        <v>0</v>
      </c>
      <c r="M78" s="615">
        <f>Activity!$C77*Activity!$D77*Activity!O77</f>
        <v>0</v>
      </c>
      <c r="N78" s="475">
        <v>0</v>
      </c>
      <c r="O78" s="617">
        <f>Activity!C77*Activity!D77</f>
        <v>0</v>
      </c>
      <c r="P78" s="624">
        <f>Activity!X77</f>
        <v>0</v>
      </c>
    </row>
    <row r="79" spans="2:16">
      <c r="B79" s="7">
        <f t="shared" si="1"/>
        <v>2065</v>
      </c>
      <c r="C79" s="616">
        <f>Activity!$C78*Activity!$D78*Activity!E78</f>
        <v>0</v>
      </c>
      <c r="D79" s="617">
        <f>Activity!$C78*Activity!$D78*Activity!F78</f>
        <v>0</v>
      </c>
      <c r="E79" s="615">
        <f>Activity!$C78*Activity!$D78*Activity!G78</f>
        <v>0</v>
      </c>
      <c r="F79" s="617">
        <f>Activity!$C78*Activity!$D78*Activity!H78</f>
        <v>0</v>
      </c>
      <c r="G79" s="617">
        <f>Activity!$C78*Activity!$D78*Activity!I78</f>
        <v>0</v>
      </c>
      <c r="H79" s="617">
        <f>Activity!$C78*Activity!$D78*Activity!J78</f>
        <v>0</v>
      </c>
      <c r="I79" s="617">
        <f>Activity!$C78*Activity!$D78*Activity!K78</f>
        <v>0</v>
      </c>
      <c r="J79" s="618">
        <f>Activity!$C78*Activity!$D78*Activity!L78</f>
        <v>0</v>
      </c>
      <c r="K79" s="617">
        <f>Activity!$C78*Activity!$D78*Activity!M78</f>
        <v>0</v>
      </c>
      <c r="L79" s="617">
        <f>Activity!$C78*Activity!$D78*Activity!N78</f>
        <v>0</v>
      </c>
      <c r="M79" s="615">
        <f>Activity!$C78*Activity!$D78*Activity!O78</f>
        <v>0</v>
      </c>
      <c r="N79" s="475">
        <v>0</v>
      </c>
      <c r="O79" s="617">
        <f>Activity!C78*Activity!D78</f>
        <v>0</v>
      </c>
      <c r="P79" s="624">
        <f>Activity!X78</f>
        <v>0</v>
      </c>
    </row>
    <row r="80" spans="2:16">
      <c r="B80" s="7">
        <f t="shared" si="1"/>
        <v>2066</v>
      </c>
      <c r="C80" s="616">
        <f>Activity!$C79*Activity!$D79*Activity!E79</f>
        <v>0</v>
      </c>
      <c r="D80" s="617">
        <f>Activity!$C79*Activity!$D79*Activity!F79</f>
        <v>0</v>
      </c>
      <c r="E80" s="615">
        <f>Activity!$C79*Activity!$D79*Activity!G79</f>
        <v>0</v>
      </c>
      <c r="F80" s="617">
        <f>Activity!$C79*Activity!$D79*Activity!H79</f>
        <v>0</v>
      </c>
      <c r="G80" s="617">
        <f>Activity!$C79*Activity!$D79*Activity!I79</f>
        <v>0</v>
      </c>
      <c r="H80" s="617">
        <f>Activity!$C79*Activity!$D79*Activity!J79</f>
        <v>0</v>
      </c>
      <c r="I80" s="617">
        <f>Activity!$C79*Activity!$D79*Activity!K79</f>
        <v>0</v>
      </c>
      <c r="J80" s="618">
        <f>Activity!$C79*Activity!$D79*Activity!L79</f>
        <v>0</v>
      </c>
      <c r="K80" s="617">
        <f>Activity!$C79*Activity!$D79*Activity!M79</f>
        <v>0</v>
      </c>
      <c r="L80" s="617">
        <f>Activity!$C79*Activity!$D79*Activity!N79</f>
        <v>0</v>
      </c>
      <c r="M80" s="615">
        <f>Activity!$C79*Activity!$D79*Activity!O79</f>
        <v>0</v>
      </c>
      <c r="N80" s="475">
        <v>0</v>
      </c>
      <c r="O80" s="617">
        <f>Activity!C79*Activity!D79</f>
        <v>0</v>
      </c>
      <c r="P80" s="624">
        <f>Activity!X79</f>
        <v>0</v>
      </c>
    </row>
    <row r="81" spans="2:16">
      <c r="B81" s="7">
        <f t="shared" si="1"/>
        <v>2067</v>
      </c>
      <c r="C81" s="616">
        <f>Activity!$C80*Activity!$D80*Activity!E80</f>
        <v>0</v>
      </c>
      <c r="D81" s="617">
        <f>Activity!$C80*Activity!$D80*Activity!F80</f>
        <v>0</v>
      </c>
      <c r="E81" s="615">
        <f>Activity!$C80*Activity!$D80*Activity!G80</f>
        <v>0</v>
      </c>
      <c r="F81" s="617">
        <f>Activity!$C80*Activity!$D80*Activity!H80</f>
        <v>0</v>
      </c>
      <c r="G81" s="617">
        <f>Activity!$C80*Activity!$D80*Activity!I80</f>
        <v>0</v>
      </c>
      <c r="H81" s="617">
        <f>Activity!$C80*Activity!$D80*Activity!J80</f>
        <v>0</v>
      </c>
      <c r="I81" s="617">
        <f>Activity!$C80*Activity!$D80*Activity!K80</f>
        <v>0</v>
      </c>
      <c r="J81" s="618">
        <f>Activity!$C80*Activity!$D80*Activity!L80</f>
        <v>0</v>
      </c>
      <c r="K81" s="617">
        <f>Activity!$C80*Activity!$D80*Activity!M80</f>
        <v>0</v>
      </c>
      <c r="L81" s="617">
        <f>Activity!$C80*Activity!$D80*Activity!N80</f>
        <v>0</v>
      </c>
      <c r="M81" s="615">
        <f>Activity!$C80*Activity!$D80*Activity!O80</f>
        <v>0</v>
      </c>
      <c r="N81" s="475">
        <v>0</v>
      </c>
      <c r="O81" s="617">
        <f>Activity!C80*Activity!D80</f>
        <v>0</v>
      </c>
      <c r="P81" s="624">
        <f>Activity!X80</f>
        <v>0</v>
      </c>
    </row>
    <row r="82" spans="2:16">
      <c r="B82" s="7">
        <f t="shared" si="1"/>
        <v>2068</v>
      </c>
      <c r="C82" s="616">
        <f>Activity!$C81*Activity!$D81*Activity!E81</f>
        <v>0</v>
      </c>
      <c r="D82" s="617">
        <f>Activity!$C81*Activity!$D81*Activity!F81</f>
        <v>0</v>
      </c>
      <c r="E82" s="615">
        <f>Activity!$C81*Activity!$D81*Activity!G81</f>
        <v>0</v>
      </c>
      <c r="F82" s="617">
        <f>Activity!$C81*Activity!$D81*Activity!H81</f>
        <v>0</v>
      </c>
      <c r="G82" s="617">
        <f>Activity!$C81*Activity!$D81*Activity!I81</f>
        <v>0</v>
      </c>
      <c r="H82" s="617">
        <f>Activity!$C81*Activity!$D81*Activity!J81</f>
        <v>0</v>
      </c>
      <c r="I82" s="617">
        <f>Activity!$C81*Activity!$D81*Activity!K81</f>
        <v>0</v>
      </c>
      <c r="J82" s="618">
        <f>Activity!$C81*Activity!$D81*Activity!L81</f>
        <v>0</v>
      </c>
      <c r="K82" s="617">
        <f>Activity!$C81*Activity!$D81*Activity!M81</f>
        <v>0</v>
      </c>
      <c r="L82" s="617">
        <f>Activity!$C81*Activity!$D81*Activity!N81</f>
        <v>0</v>
      </c>
      <c r="M82" s="615">
        <f>Activity!$C81*Activity!$D81*Activity!O81</f>
        <v>0</v>
      </c>
      <c r="N82" s="475">
        <v>0</v>
      </c>
      <c r="O82" s="617">
        <f>Activity!C81*Activity!D81</f>
        <v>0</v>
      </c>
      <c r="P82" s="624">
        <f>Activity!X81</f>
        <v>0</v>
      </c>
    </row>
    <row r="83" spans="2:16">
      <c r="B83" s="7">
        <f t="shared" si="1"/>
        <v>2069</v>
      </c>
      <c r="C83" s="616">
        <f>Activity!$C82*Activity!$D82*Activity!E82</f>
        <v>0</v>
      </c>
      <c r="D83" s="617">
        <f>Activity!$C82*Activity!$D82*Activity!F82</f>
        <v>0</v>
      </c>
      <c r="E83" s="615">
        <f>Activity!$C82*Activity!$D82*Activity!G82</f>
        <v>0</v>
      </c>
      <c r="F83" s="617">
        <f>Activity!$C82*Activity!$D82*Activity!H82</f>
        <v>0</v>
      </c>
      <c r="G83" s="617">
        <f>Activity!$C82*Activity!$D82*Activity!I82</f>
        <v>0</v>
      </c>
      <c r="H83" s="617">
        <f>Activity!$C82*Activity!$D82*Activity!J82</f>
        <v>0</v>
      </c>
      <c r="I83" s="617">
        <f>Activity!$C82*Activity!$D82*Activity!K82</f>
        <v>0</v>
      </c>
      <c r="J83" s="618">
        <f>Activity!$C82*Activity!$D82*Activity!L82</f>
        <v>0</v>
      </c>
      <c r="K83" s="617">
        <f>Activity!$C82*Activity!$D82*Activity!M82</f>
        <v>0</v>
      </c>
      <c r="L83" s="617">
        <f>Activity!$C82*Activity!$D82*Activity!N82</f>
        <v>0</v>
      </c>
      <c r="M83" s="615">
        <f>Activity!$C82*Activity!$D82*Activity!O82</f>
        <v>0</v>
      </c>
      <c r="N83" s="475">
        <v>0</v>
      </c>
      <c r="O83" s="617">
        <f>Activity!C82*Activity!D82</f>
        <v>0</v>
      </c>
      <c r="P83" s="624">
        <f>Activity!X82</f>
        <v>0</v>
      </c>
    </row>
    <row r="84" spans="2:16">
      <c r="B84" s="7">
        <f t="shared" si="1"/>
        <v>2070</v>
      </c>
      <c r="C84" s="616">
        <f>Activity!$C83*Activity!$D83*Activity!E83</f>
        <v>0</v>
      </c>
      <c r="D84" s="617">
        <f>Activity!$C83*Activity!$D83*Activity!F83</f>
        <v>0</v>
      </c>
      <c r="E84" s="615">
        <f>Activity!$C83*Activity!$D83*Activity!G83</f>
        <v>0</v>
      </c>
      <c r="F84" s="617">
        <f>Activity!$C83*Activity!$D83*Activity!H83</f>
        <v>0</v>
      </c>
      <c r="G84" s="617">
        <f>Activity!$C83*Activity!$D83*Activity!I83</f>
        <v>0</v>
      </c>
      <c r="H84" s="617">
        <f>Activity!$C83*Activity!$D83*Activity!J83</f>
        <v>0</v>
      </c>
      <c r="I84" s="617">
        <f>Activity!$C83*Activity!$D83*Activity!K83</f>
        <v>0</v>
      </c>
      <c r="J84" s="618">
        <f>Activity!$C83*Activity!$D83*Activity!L83</f>
        <v>0</v>
      </c>
      <c r="K84" s="617">
        <f>Activity!$C83*Activity!$D83*Activity!M83</f>
        <v>0</v>
      </c>
      <c r="L84" s="617">
        <f>Activity!$C83*Activity!$D83*Activity!N83</f>
        <v>0</v>
      </c>
      <c r="M84" s="615">
        <f>Activity!$C83*Activity!$D83*Activity!O83</f>
        <v>0</v>
      </c>
      <c r="N84" s="475">
        <v>0</v>
      </c>
      <c r="O84" s="617">
        <f>Activity!C83*Activity!D83</f>
        <v>0</v>
      </c>
      <c r="P84" s="624">
        <f>Activity!X83</f>
        <v>0</v>
      </c>
    </row>
    <row r="85" spans="2:16">
      <c r="B85" s="7">
        <f t="shared" si="1"/>
        <v>2071</v>
      </c>
      <c r="C85" s="616">
        <f>Activity!$C84*Activity!$D84*Activity!E84</f>
        <v>0</v>
      </c>
      <c r="D85" s="617">
        <f>Activity!$C84*Activity!$D84*Activity!F84</f>
        <v>0</v>
      </c>
      <c r="E85" s="615">
        <f>Activity!$C84*Activity!$D84*Activity!G84</f>
        <v>0</v>
      </c>
      <c r="F85" s="617">
        <f>Activity!$C84*Activity!$D84*Activity!H84</f>
        <v>0</v>
      </c>
      <c r="G85" s="617">
        <f>Activity!$C84*Activity!$D84*Activity!I84</f>
        <v>0</v>
      </c>
      <c r="H85" s="617">
        <f>Activity!$C84*Activity!$D84*Activity!J84</f>
        <v>0</v>
      </c>
      <c r="I85" s="617">
        <f>Activity!$C84*Activity!$D84*Activity!K84</f>
        <v>0</v>
      </c>
      <c r="J85" s="618">
        <f>Activity!$C84*Activity!$D84*Activity!L84</f>
        <v>0</v>
      </c>
      <c r="K85" s="617">
        <f>Activity!$C84*Activity!$D84*Activity!M84</f>
        <v>0</v>
      </c>
      <c r="L85" s="617">
        <f>Activity!$C84*Activity!$D84*Activity!N84</f>
        <v>0</v>
      </c>
      <c r="M85" s="615">
        <f>Activity!$C84*Activity!$D84*Activity!O84</f>
        <v>0</v>
      </c>
      <c r="N85" s="475">
        <v>0</v>
      </c>
      <c r="O85" s="617">
        <f>Activity!C84*Activity!D84</f>
        <v>0</v>
      </c>
      <c r="P85" s="624">
        <f>Activity!X84</f>
        <v>0</v>
      </c>
    </row>
    <row r="86" spans="2:16">
      <c r="B86" s="7">
        <f t="shared" ref="B86:B94" si="2">B85+1</f>
        <v>2072</v>
      </c>
      <c r="C86" s="616">
        <f>Activity!$C85*Activity!$D85*Activity!E85</f>
        <v>0</v>
      </c>
      <c r="D86" s="617">
        <f>Activity!$C85*Activity!$D85*Activity!F85</f>
        <v>0</v>
      </c>
      <c r="E86" s="615">
        <f>Activity!$C85*Activity!$D85*Activity!G85</f>
        <v>0</v>
      </c>
      <c r="F86" s="617">
        <f>Activity!$C85*Activity!$D85*Activity!H85</f>
        <v>0</v>
      </c>
      <c r="G86" s="617">
        <f>Activity!$C85*Activity!$D85*Activity!I85</f>
        <v>0</v>
      </c>
      <c r="H86" s="617">
        <f>Activity!$C85*Activity!$D85*Activity!J85</f>
        <v>0</v>
      </c>
      <c r="I86" s="617">
        <f>Activity!$C85*Activity!$D85*Activity!K85</f>
        <v>0</v>
      </c>
      <c r="J86" s="618">
        <f>Activity!$C85*Activity!$D85*Activity!L85</f>
        <v>0</v>
      </c>
      <c r="K86" s="617">
        <f>Activity!$C85*Activity!$D85*Activity!M85</f>
        <v>0</v>
      </c>
      <c r="L86" s="617">
        <f>Activity!$C85*Activity!$D85*Activity!N85</f>
        <v>0</v>
      </c>
      <c r="M86" s="615">
        <f>Activity!$C85*Activity!$D85*Activity!O85</f>
        <v>0</v>
      </c>
      <c r="N86" s="475">
        <v>0</v>
      </c>
      <c r="O86" s="617">
        <f>Activity!C85*Activity!D85</f>
        <v>0</v>
      </c>
      <c r="P86" s="624">
        <f>Activity!X85</f>
        <v>0</v>
      </c>
    </row>
    <row r="87" spans="2:16">
      <c r="B87" s="7">
        <f t="shared" si="2"/>
        <v>2073</v>
      </c>
      <c r="C87" s="616">
        <f>Activity!$C86*Activity!$D86*Activity!E86</f>
        <v>0</v>
      </c>
      <c r="D87" s="617">
        <f>Activity!$C86*Activity!$D86*Activity!F86</f>
        <v>0</v>
      </c>
      <c r="E87" s="615">
        <f>Activity!$C86*Activity!$D86*Activity!G86</f>
        <v>0</v>
      </c>
      <c r="F87" s="617">
        <f>Activity!$C86*Activity!$D86*Activity!H86</f>
        <v>0</v>
      </c>
      <c r="G87" s="617">
        <f>Activity!$C86*Activity!$D86*Activity!I86</f>
        <v>0</v>
      </c>
      <c r="H87" s="617">
        <f>Activity!$C86*Activity!$D86*Activity!J86</f>
        <v>0</v>
      </c>
      <c r="I87" s="617">
        <f>Activity!$C86*Activity!$D86*Activity!K86</f>
        <v>0</v>
      </c>
      <c r="J87" s="618">
        <f>Activity!$C86*Activity!$D86*Activity!L86</f>
        <v>0</v>
      </c>
      <c r="K87" s="617">
        <f>Activity!$C86*Activity!$D86*Activity!M86</f>
        <v>0</v>
      </c>
      <c r="L87" s="617">
        <f>Activity!$C86*Activity!$D86*Activity!N86</f>
        <v>0</v>
      </c>
      <c r="M87" s="615">
        <f>Activity!$C86*Activity!$D86*Activity!O86</f>
        <v>0</v>
      </c>
      <c r="N87" s="475">
        <v>0</v>
      </c>
      <c r="O87" s="617">
        <f>Activity!C86*Activity!D86</f>
        <v>0</v>
      </c>
      <c r="P87" s="624">
        <f>Activity!X86</f>
        <v>0</v>
      </c>
    </row>
    <row r="88" spans="2:16">
      <c r="B88" s="7">
        <f t="shared" si="2"/>
        <v>2074</v>
      </c>
      <c r="C88" s="616">
        <f>Activity!$C87*Activity!$D87*Activity!E87</f>
        <v>0</v>
      </c>
      <c r="D88" s="617">
        <f>Activity!$C87*Activity!$D87*Activity!F87</f>
        <v>0</v>
      </c>
      <c r="E88" s="615">
        <f>Activity!$C87*Activity!$D87*Activity!G87</f>
        <v>0</v>
      </c>
      <c r="F88" s="617">
        <f>Activity!$C87*Activity!$D87*Activity!H87</f>
        <v>0</v>
      </c>
      <c r="G88" s="617">
        <f>Activity!$C87*Activity!$D87*Activity!I87</f>
        <v>0</v>
      </c>
      <c r="H88" s="617">
        <f>Activity!$C87*Activity!$D87*Activity!J87</f>
        <v>0</v>
      </c>
      <c r="I88" s="617">
        <f>Activity!$C87*Activity!$D87*Activity!K87</f>
        <v>0</v>
      </c>
      <c r="J88" s="618">
        <f>Activity!$C87*Activity!$D87*Activity!L87</f>
        <v>0</v>
      </c>
      <c r="K88" s="617">
        <f>Activity!$C87*Activity!$D87*Activity!M87</f>
        <v>0</v>
      </c>
      <c r="L88" s="617">
        <f>Activity!$C87*Activity!$D87*Activity!N87</f>
        <v>0</v>
      </c>
      <c r="M88" s="615">
        <f>Activity!$C87*Activity!$D87*Activity!O87</f>
        <v>0</v>
      </c>
      <c r="N88" s="475">
        <v>0</v>
      </c>
      <c r="O88" s="617">
        <f>Activity!C87*Activity!D87</f>
        <v>0</v>
      </c>
      <c r="P88" s="624">
        <f>Activity!X87</f>
        <v>0</v>
      </c>
    </row>
    <row r="89" spans="2:16">
      <c r="B89" s="7">
        <f t="shared" si="2"/>
        <v>2075</v>
      </c>
      <c r="C89" s="616">
        <f>Activity!$C88*Activity!$D88*Activity!E88</f>
        <v>0</v>
      </c>
      <c r="D89" s="617">
        <f>Activity!$C88*Activity!$D88*Activity!F88</f>
        <v>0</v>
      </c>
      <c r="E89" s="615">
        <f>Activity!$C88*Activity!$D88*Activity!G88</f>
        <v>0</v>
      </c>
      <c r="F89" s="617">
        <f>Activity!$C88*Activity!$D88*Activity!H88</f>
        <v>0</v>
      </c>
      <c r="G89" s="617">
        <f>Activity!$C88*Activity!$D88*Activity!I88</f>
        <v>0</v>
      </c>
      <c r="H89" s="617">
        <f>Activity!$C88*Activity!$D88*Activity!J88</f>
        <v>0</v>
      </c>
      <c r="I89" s="617">
        <f>Activity!$C88*Activity!$D88*Activity!K88</f>
        <v>0</v>
      </c>
      <c r="J89" s="618">
        <f>Activity!$C88*Activity!$D88*Activity!L88</f>
        <v>0</v>
      </c>
      <c r="K89" s="617">
        <f>Activity!$C88*Activity!$D88*Activity!M88</f>
        <v>0</v>
      </c>
      <c r="L89" s="617">
        <f>Activity!$C88*Activity!$D88*Activity!N88</f>
        <v>0</v>
      </c>
      <c r="M89" s="615">
        <f>Activity!$C88*Activity!$D88*Activity!O88</f>
        <v>0</v>
      </c>
      <c r="N89" s="475">
        <v>0</v>
      </c>
      <c r="O89" s="617">
        <f>Activity!C88*Activity!D88</f>
        <v>0</v>
      </c>
      <c r="P89" s="624">
        <f>Activity!X88</f>
        <v>0</v>
      </c>
    </row>
    <row r="90" spans="2:16">
      <c r="B90" s="7">
        <f t="shared" si="2"/>
        <v>2076</v>
      </c>
      <c r="C90" s="616">
        <f>Activity!$C89*Activity!$D89*Activity!E89</f>
        <v>0</v>
      </c>
      <c r="D90" s="617">
        <f>Activity!$C89*Activity!$D89*Activity!F89</f>
        <v>0</v>
      </c>
      <c r="E90" s="615">
        <f>Activity!$C89*Activity!$D89*Activity!G89</f>
        <v>0</v>
      </c>
      <c r="F90" s="617">
        <f>Activity!$C89*Activity!$D89*Activity!H89</f>
        <v>0</v>
      </c>
      <c r="G90" s="617">
        <f>Activity!$C89*Activity!$D89*Activity!I89</f>
        <v>0</v>
      </c>
      <c r="H90" s="617">
        <f>Activity!$C89*Activity!$D89*Activity!J89</f>
        <v>0</v>
      </c>
      <c r="I90" s="617">
        <f>Activity!$C89*Activity!$D89*Activity!K89</f>
        <v>0</v>
      </c>
      <c r="J90" s="618">
        <f>Activity!$C89*Activity!$D89*Activity!L89</f>
        <v>0</v>
      </c>
      <c r="K90" s="617">
        <f>Activity!$C89*Activity!$D89*Activity!M89</f>
        <v>0</v>
      </c>
      <c r="L90" s="617">
        <f>Activity!$C89*Activity!$D89*Activity!N89</f>
        <v>0</v>
      </c>
      <c r="M90" s="615">
        <f>Activity!$C89*Activity!$D89*Activity!O89</f>
        <v>0</v>
      </c>
      <c r="N90" s="475">
        <v>0</v>
      </c>
      <c r="O90" s="617">
        <f>Activity!C89*Activity!D89</f>
        <v>0</v>
      </c>
      <c r="P90" s="624">
        <f>Activity!X89</f>
        <v>0</v>
      </c>
    </row>
    <row r="91" spans="2:16">
      <c r="B91" s="7">
        <f t="shared" si="2"/>
        <v>2077</v>
      </c>
      <c r="C91" s="616">
        <f>Activity!$C90*Activity!$D90*Activity!E90</f>
        <v>0</v>
      </c>
      <c r="D91" s="617">
        <f>Activity!$C90*Activity!$D90*Activity!F90</f>
        <v>0</v>
      </c>
      <c r="E91" s="615">
        <f>Activity!$C90*Activity!$D90*Activity!G90</f>
        <v>0</v>
      </c>
      <c r="F91" s="617">
        <f>Activity!$C90*Activity!$D90*Activity!H90</f>
        <v>0</v>
      </c>
      <c r="G91" s="617">
        <f>Activity!$C90*Activity!$D90*Activity!I90</f>
        <v>0</v>
      </c>
      <c r="H91" s="617">
        <f>Activity!$C90*Activity!$D90*Activity!J90</f>
        <v>0</v>
      </c>
      <c r="I91" s="617">
        <f>Activity!$C90*Activity!$D90*Activity!K90</f>
        <v>0</v>
      </c>
      <c r="J91" s="618">
        <f>Activity!$C90*Activity!$D90*Activity!L90</f>
        <v>0</v>
      </c>
      <c r="K91" s="617">
        <f>Activity!$C90*Activity!$D90*Activity!M90</f>
        <v>0</v>
      </c>
      <c r="L91" s="617">
        <f>Activity!$C90*Activity!$D90*Activity!N90</f>
        <v>0</v>
      </c>
      <c r="M91" s="615">
        <f>Activity!$C90*Activity!$D90*Activity!O90</f>
        <v>0</v>
      </c>
      <c r="N91" s="475">
        <v>0</v>
      </c>
      <c r="O91" s="617">
        <f>Activity!C90*Activity!D90</f>
        <v>0</v>
      </c>
      <c r="P91" s="624">
        <f>Activity!X90</f>
        <v>0</v>
      </c>
    </row>
    <row r="92" spans="2:16">
      <c r="B92" s="7">
        <f t="shared" si="2"/>
        <v>2078</v>
      </c>
      <c r="C92" s="616">
        <f>Activity!$C91*Activity!$D91*Activity!E91</f>
        <v>0</v>
      </c>
      <c r="D92" s="617">
        <f>Activity!$C91*Activity!$D91*Activity!F91</f>
        <v>0</v>
      </c>
      <c r="E92" s="615">
        <f>Activity!$C91*Activity!$D91*Activity!G91</f>
        <v>0</v>
      </c>
      <c r="F92" s="617">
        <f>Activity!$C91*Activity!$D91*Activity!H91</f>
        <v>0</v>
      </c>
      <c r="G92" s="617">
        <f>Activity!$C91*Activity!$D91*Activity!I91</f>
        <v>0</v>
      </c>
      <c r="H92" s="617">
        <f>Activity!$C91*Activity!$D91*Activity!J91</f>
        <v>0</v>
      </c>
      <c r="I92" s="617">
        <f>Activity!$C91*Activity!$D91*Activity!K91</f>
        <v>0</v>
      </c>
      <c r="J92" s="618">
        <f>Activity!$C91*Activity!$D91*Activity!L91</f>
        <v>0</v>
      </c>
      <c r="K92" s="617">
        <f>Activity!$C91*Activity!$D91*Activity!M91</f>
        <v>0</v>
      </c>
      <c r="L92" s="617">
        <f>Activity!$C91*Activity!$D91*Activity!N91</f>
        <v>0</v>
      </c>
      <c r="M92" s="615">
        <f>Activity!$C91*Activity!$D91*Activity!O91</f>
        <v>0</v>
      </c>
      <c r="N92" s="475">
        <v>0</v>
      </c>
      <c r="O92" s="617">
        <f>Activity!C91*Activity!D91</f>
        <v>0</v>
      </c>
      <c r="P92" s="624">
        <f>Activity!X91</f>
        <v>0</v>
      </c>
    </row>
    <row r="93" spans="2:16">
      <c r="B93" s="7">
        <f t="shared" si="2"/>
        <v>2079</v>
      </c>
      <c r="C93" s="616">
        <f>Activity!$C92*Activity!$D92*Activity!E92</f>
        <v>0</v>
      </c>
      <c r="D93" s="617">
        <f>Activity!$C92*Activity!$D92*Activity!F92</f>
        <v>0</v>
      </c>
      <c r="E93" s="615">
        <f>Activity!$C92*Activity!$D92*Activity!G92</f>
        <v>0</v>
      </c>
      <c r="F93" s="617">
        <f>Activity!$C92*Activity!$D92*Activity!H92</f>
        <v>0</v>
      </c>
      <c r="G93" s="617">
        <f>Activity!$C92*Activity!$D92*Activity!I92</f>
        <v>0</v>
      </c>
      <c r="H93" s="617">
        <f>Activity!$C92*Activity!$D92*Activity!J92</f>
        <v>0</v>
      </c>
      <c r="I93" s="617">
        <f>Activity!$C92*Activity!$D92*Activity!K92</f>
        <v>0</v>
      </c>
      <c r="J93" s="618">
        <f>Activity!$C92*Activity!$D92*Activity!L92</f>
        <v>0</v>
      </c>
      <c r="K93" s="617">
        <f>Activity!$C92*Activity!$D92*Activity!M92</f>
        <v>0</v>
      </c>
      <c r="L93" s="617">
        <f>Activity!$C92*Activity!$D92*Activity!N92</f>
        <v>0</v>
      </c>
      <c r="M93" s="615">
        <f>Activity!$C92*Activity!$D92*Activity!O92</f>
        <v>0</v>
      </c>
      <c r="N93" s="475">
        <v>0</v>
      </c>
      <c r="O93" s="617">
        <f>Activity!C92*Activity!D92</f>
        <v>0</v>
      </c>
      <c r="P93" s="624">
        <f>Activity!X92</f>
        <v>0</v>
      </c>
    </row>
    <row r="94" spans="2:16" ht="13.5" thickBot="1">
      <c r="B94" s="15">
        <f t="shared" si="2"/>
        <v>2080</v>
      </c>
      <c r="C94" s="619">
        <f>Activity!$C93*Activity!$D93*Activity!E93</f>
        <v>0</v>
      </c>
      <c r="D94" s="620">
        <f>Activity!$C93*Activity!$D93*Activity!F93</f>
        <v>0</v>
      </c>
      <c r="E94" s="620">
        <f>Activity!$C93*Activity!$D93*Activity!G93</f>
        <v>0</v>
      </c>
      <c r="F94" s="620">
        <f>Activity!$C93*Activity!$D93*Activity!H93</f>
        <v>0</v>
      </c>
      <c r="G94" s="620">
        <f>Activity!$C93*Activity!$D93*Activity!I93</f>
        <v>0</v>
      </c>
      <c r="H94" s="620">
        <f>Activity!$C93*Activity!$D93*Activity!J93</f>
        <v>0</v>
      </c>
      <c r="I94" s="620">
        <f>Activity!$C93*Activity!$D93*Activity!K93</f>
        <v>0</v>
      </c>
      <c r="J94" s="621">
        <f>Activity!$C93*Activity!$D93*Activity!L93</f>
        <v>0</v>
      </c>
      <c r="K94" s="620">
        <f>Activity!$C93*Activity!$D93*Activity!M93</f>
        <v>0</v>
      </c>
      <c r="L94" s="620">
        <f>Activity!$C93*Activity!$D93*Activity!N93</f>
        <v>0</v>
      </c>
      <c r="M94" s="620">
        <f>Activity!$C93*Activity!$D93*Activity!O93</f>
        <v>0</v>
      </c>
      <c r="N94" s="476">
        <v>0</v>
      </c>
      <c r="O94" s="620">
        <f>Activity!C93*Activity!D93</f>
        <v>0</v>
      </c>
      <c r="P94" s="625">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61" customWidth="1"/>
    <col min="2" max="2" width="11.7109375" style="361" customWidth="1"/>
    <col min="3" max="3" width="12.7109375" style="361" customWidth="1"/>
    <col min="4" max="4" width="31.28515625" style="361" customWidth="1"/>
    <col min="5" max="5" width="10.42578125" style="363" customWidth="1"/>
    <col min="6" max="6" width="10.28515625" style="361" customWidth="1"/>
    <col min="7" max="7" width="38" style="361" customWidth="1"/>
    <col min="8" max="16384" width="8.85546875" style="361"/>
  </cols>
  <sheetData>
    <row r="2" spans="1:7" ht="15.75">
      <c r="C2" s="46" t="s">
        <v>197</v>
      </c>
      <c r="D2" s="46"/>
      <c r="E2" s="362"/>
    </row>
    <row r="4" spans="1:7">
      <c r="C4" s="361" t="s">
        <v>110</v>
      </c>
    </row>
    <row r="5" spans="1:7">
      <c r="C5" s="361" t="s">
        <v>111</v>
      </c>
    </row>
    <row r="6" spans="1:7" ht="13.5" thickBot="1"/>
    <row r="7" spans="1:7" ht="51.75" thickBot="1">
      <c r="A7" s="364"/>
      <c r="B7" s="365"/>
      <c r="C7" s="366" t="s">
        <v>108</v>
      </c>
      <c r="D7" s="367" t="s">
        <v>28</v>
      </c>
      <c r="E7" s="368" t="s">
        <v>203</v>
      </c>
      <c r="F7" s="369" t="s">
        <v>198</v>
      </c>
      <c r="G7" s="370" t="s">
        <v>199</v>
      </c>
    </row>
    <row r="8" spans="1:7" ht="13.5" thickBot="1">
      <c r="A8" s="371"/>
      <c r="B8" s="372"/>
      <c r="C8" s="373"/>
      <c r="D8" s="374"/>
      <c r="E8" s="375"/>
      <c r="F8" s="376"/>
      <c r="G8" s="377"/>
    </row>
    <row r="9" spans="1:7" ht="13.5" thickBot="1">
      <c r="A9" s="371"/>
      <c r="B9" s="378" t="s">
        <v>25</v>
      </c>
      <c r="C9" s="379">
        <v>0</v>
      </c>
      <c r="D9" s="380"/>
      <c r="E9" s="381"/>
      <c r="F9" s="382">
        <v>0</v>
      </c>
      <c r="G9" s="383"/>
    </row>
    <row r="10" spans="1:7">
      <c r="A10" s="371"/>
      <c r="B10" s="372"/>
      <c r="C10" s="373"/>
      <c r="D10" s="384"/>
      <c r="E10" s="385"/>
      <c r="F10" s="386"/>
      <c r="G10" s="387"/>
    </row>
    <row r="11" spans="1:7" ht="13.5" thickBot="1">
      <c r="A11" s="371"/>
      <c r="B11" s="55" t="s">
        <v>1</v>
      </c>
      <c r="C11" s="388" t="s">
        <v>15</v>
      </c>
      <c r="D11" s="389"/>
      <c r="E11" s="390"/>
      <c r="F11" s="391" t="s">
        <v>200</v>
      </c>
      <c r="G11" s="392"/>
    </row>
    <row r="12" spans="1:7">
      <c r="B12" s="393">
        <f>year</f>
        <v>2000</v>
      </c>
      <c r="C12" s="248">
        <v>0</v>
      </c>
      <c r="D12" s="44"/>
      <c r="E12" s="394">
        <f>IF(Results!L17&lt;=0,0,C12/Results!L17)</f>
        <v>0</v>
      </c>
      <c r="F12" s="395">
        <f t="shared" ref="F12:F43" si="0">ox</f>
        <v>0</v>
      </c>
      <c r="G12" s="396"/>
    </row>
    <row r="13" spans="1:7">
      <c r="B13" s="397">
        <f t="shared" ref="B13:B76" si="1">B12+1</f>
        <v>2001</v>
      </c>
      <c r="C13" s="249">
        <v>0</v>
      </c>
      <c r="D13" s="267"/>
      <c r="E13" s="394">
        <f>IF(Results!L18&lt;=0,0,C13/Results!L18)</f>
        <v>0</v>
      </c>
      <c r="F13" s="395">
        <f t="shared" si="0"/>
        <v>0</v>
      </c>
      <c r="G13" s="398"/>
    </row>
    <row r="14" spans="1:7">
      <c r="B14" s="397">
        <f t="shared" si="1"/>
        <v>2002</v>
      </c>
      <c r="C14" s="249">
        <v>0</v>
      </c>
      <c r="D14" s="267"/>
      <c r="E14" s="394">
        <f>IF(Results!L19&lt;=0,0,C14/Results!L19)</f>
        <v>0</v>
      </c>
      <c r="F14" s="395">
        <f t="shared" si="0"/>
        <v>0</v>
      </c>
      <c r="G14" s="398"/>
    </row>
    <row r="15" spans="1:7">
      <c r="B15" s="397">
        <f t="shared" si="1"/>
        <v>2003</v>
      </c>
      <c r="C15" s="249">
        <v>0</v>
      </c>
      <c r="D15" s="267"/>
      <c r="E15" s="394">
        <f>IF(Results!L20&lt;=0,0,C15/Results!L20)</f>
        <v>0</v>
      </c>
      <c r="F15" s="395">
        <f t="shared" si="0"/>
        <v>0</v>
      </c>
      <c r="G15" s="398"/>
    </row>
    <row r="16" spans="1:7">
      <c r="B16" s="397">
        <f t="shared" si="1"/>
        <v>2004</v>
      </c>
      <c r="C16" s="249">
        <v>0</v>
      </c>
      <c r="D16" s="267"/>
      <c r="E16" s="394">
        <f>IF(Results!L21&lt;=0,0,C16/Results!L21)</f>
        <v>0</v>
      </c>
      <c r="F16" s="395">
        <f t="shared" si="0"/>
        <v>0</v>
      </c>
      <c r="G16" s="398"/>
    </row>
    <row r="17" spans="2:7">
      <c r="B17" s="397">
        <f t="shared" si="1"/>
        <v>2005</v>
      </c>
      <c r="C17" s="249">
        <v>0</v>
      </c>
      <c r="D17" s="267"/>
      <c r="E17" s="394">
        <f>IF(Results!L22&lt;=0,0,C17/Results!L22)</f>
        <v>0</v>
      </c>
      <c r="F17" s="395">
        <f t="shared" si="0"/>
        <v>0</v>
      </c>
      <c r="G17" s="398"/>
    </row>
    <row r="18" spans="2:7">
      <c r="B18" s="397">
        <f t="shared" si="1"/>
        <v>2006</v>
      </c>
      <c r="C18" s="249">
        <v>0</v>
      </c>
      <c r="D18" s="267"/>
      <c r="E18" s="394">
        <f>IF(Results!L23&lt;=0,0,C18/Results!L23)</f>
        <v>0</v>
      </c>
      <c r="F18" s="395">
        <f t="shared" si="0"/>
        <v>0</v>
      </c>
      <c r="G18" s="398"/>
    </row>
    <row r="19" spans="2:7">
      <c r="B19" s="397">
        <f t="shared" si="1"/>
        <v>2007</v>
      </c>
      <c r="C19" s="249">
        <v>0</v>
      </c>
      <c r="D19" s="267"/>
      <c r="E19" s="394">
        <f>IF(Results!L24&lt;=0,0,C19/Results!L24)</f>
        <v>0</v>
      </c>
      <c r="F19" s="395">
        <f t="shared" si="0"/>
        <v>0</v>
      </c>
      <c r="G19" s="398"/>
    </row>
    <row r="20" spans="2:7">
      <c r="B20" s="397">
        <f t="shared" si="1"/>
        <v>2008</v>
      </c>
      <c r="C20" s="249">
        <v>0</v>
      </c>
      <c r="D20" s="267"/>
      <c r="E20" s="394">
        <f>IF(Results!L25&lt;=0,0,C20/Results!L25)</f>
        <v>0</v>
      </c>
      <c r="F20" s="395">
        <f t="shared" si="0"/>
        <v>0</v>
      </c>
      <c r="G20" s="398"/>
    </row>
    <row r="21" spans="2:7">
      <c r="B21" s="397">
        <f t="shared" si="1"/>
        <v>2009</v>
      </c>
      <c r="C21" s="249">
        <v>0</v>
      </c>
      <c r="D21" s="267"/>
      <c r="E21" s="394">
        <f>IF(Results!L26&lt;=0,0,C21/Results!L26)</f>
        <v>0</v>
      </c>
      <c r="F21" s="395">
        <f t="shared" si="0"/>
        <v>0</v>
      </c>
      <c r="G21" s="398"/>
    </row>
    <row r="22" spans="2:7">
      <c r="B22" s="397">
        <f t="shared" si="1"/>
        <v>2010</v>
      </c>
      <c r="C22" s="249">
        <v>0</v>
      </c>
      <c r="D22" s="267"/>
      <c r="E22" s="394">
        <f>IF(Results!L27&lt;=0,0,C22/Results!L27)</f>
        <v>0</v>
      </c>
      <c r="F22" s="395">
        <f t="shared" si="0"/>
        <v>0</v>
      </c>
      <c r="G22" s="398"/>
    </row>
    <row r="23" spans="2:7">
      <c r="B23" s="397">
        <f t="shared" si="1"/>
        <v>2011</v>
      </c>
      <c r="C23" s="249">
        <v>0</v>
      </c>
      <c r="D23" s="267"/>
      <c r="E23" s="394">
        <f>IF(Results!L28&lt;=0,0,C23/Results!L28)</f>
        <v>0</v>
      </c>
      <c r="F23" s="395">
        <f t="shared" si="0"/>
        <v>0</v>
      </c>
      <c r="G23" s="398"/>
    </row>
    <row r="24" spans="2:7">
      <c r="B24" s="397">
        <f t="shared" si="1"/>
        <v>2012</v>
      </c>
      <c r="C24" s="249">
        <v>0</v>
      </c>
      <c r="D24" s="267"/>
      <c r="E24" s="394">
        <f>IF(Results!L29&lt;=0,0,C24/Results!L29)</f>
        <v>0</v>
      </c>
      <c r="F24" s="395">
        <f t="shared" si="0"/>
        <v>0</v>
      </c>
      <c r="G24" s="398"/>
    </row>
    <row r="25" spans="2:7">
      <c r="B25" s="397">
        <f t="shared" si="1"/>
        <v>2013</v>
      </c>
      <c r="C25" s="249">
        <v>0</v>
      </c>
      <c r="D25" s="267"/>
      <c r="E25" s="394">
        <f>IF(Results!L30&lt;=0,0,C25/Results!L30)</f>
        <v>0</v>
      </c>
      <c r="F25" s="395">
        <f t="shared" si="0"/>
        <v>0</v>
      </c>
      <c r="G25" s="398"/>
    </row>
    <row r="26" spans="2:7">
      <c r="B26" s="397">
        <f t="shared" si="1"/>
        <v>2014</v>
      </c>
      <c r="C26" s="249">
        <v>0</v>
      </c>
      <c r="D26" s="267"/>
      <c r="E26" s="394">
        <f>IF(Results!L31&lt;=0,0,C26/Results!L31)</f>
        <v>0</v>
      </c>
      <c r="F26" s="395">
        <f t="shared" si="0"/>
        <v>0</v>
      </c>
      <c r="G26" s="398"/>
    </row>
    <row r="27" spans="2:7">
      <c r="B27" s="397">
        <f t="shared" si="1"/>
        <v>2015</v>
      </c>
      <c r="C27" s="249">
        <v>0</v>
      </c>
      <c r="D27" s="267"/>
      <c r="E27" s="394">
        <f>IF(Results!L32&lt;=0,0,C27/Results!L32)</f>
        <v>0</v>
      </c>
      <c r="F27" s="395">
        <f t="shared" si="0"/>
        <v>0</v>
      </c>
      <c r="G27" s="398"/>
    </row>
    <row r="28" spans="2:7">
      <c r="B28" s="397">
        <f t="shared" si="1"/>
        <v>2016</v>
      </c>
      <c r="C28" s="249">
        <v>0</v>
      </c>
      <c r="D28" s="267"/>
      <c r="E28" s="394">
        <f>IF(Results!L33&lt;=0,0,C28/Results!L33)</f>
        <v>0</v>
      </c>
      <c r="F28" s="395">
        <f t="shared" si="0"/>
        <v>0</v>
      </c>
      <c r="G28" s="398"/>
    </row>
    <row r="29" spans="2:7">
      <c r="B29" s="397">
        <f t="shared" si="1"/>
        <v>2017</v>
      </c>
      <c r="C29" s="249">
        <v>0</v>
      </c>
      <c r="D29" s="267"/>
      <c r="E29" s="394">
        <f>IF(Results!L34&lt;=0,0,C29/Results!L34)</f>
        <v>0</v>
      </c>
      <c r="F29" s="395">
        <f t="shared" si="0"/>
        <v>0</v>
      </c>
      <c r="G29" s="398"/>
    </row>
    <row r="30" spans="2:7">
      <c r="B30" s="397">
        <f t="shared" si="1"/>
        <v>2018</v>
      </c>
      <c r="C30" s="249">
        <v>0</v>
      </c>
      <c r="D30" s="267"/>
      <c r="E30" s="394">
        <f>IF(Results!L35&lt;=0,0,C30/Results!L35)</f>
        <v>0</v>
      </c>
      <c r="F30" s="395">
        <f t="shared" si="0"/>
        <v>0</v>
      </c>
      <c r="G30" s="398"/>
    </row>
    <row r="31" spans="2:7">
      <c r="B31" s="397">
        <f t="shared" si="1"/>
        <v>2019</v>
      </c>
      <c r="C31" s="249">
        <v>0</v>
      </c>
      <c r="D31" s="267"/>
      <c r="E31" s="394">
        <f>IF(Results!L36&lt;=0,0,C31/Results!L36)</f>
        <v>0</v>
      </c>
      <c r="F31" s="395">
        <f t="shared" si="0"/>
        <v>0</v>
      </c>
      <c r="G31" s="398"/>
    </row>
    <row r="32" spans="2:7">
      <c r="B32" s="397">
        <f t="shared" si="1"/>
        <v>2020</v>
      </c>
      <c r="C32" s="249">
        <v>0</v>
      </c>
      <c r="D32" s="267"/>
      <c r="E32" s="394">
        <f>IF(Results!L37&lt;=0,0,C32/Results!L37)</f>
        <v>0</v>
      </c>
      <c r="F32" s="395">
        <f t="shared" si="0"/>
        <v>0</v>
      </c>
      <c r="G32" s="398"/>
    </row>
    <row r="33" spans="2:7">
      <c r="B33" s="397">
        <f t="shared" si="1"/>
        <v>2021</v>
      </c>
      <c r="C33" s="249">
        <v>0</v>
      </c>
      <c r="D33" s="267"/>
      <c r="E33" s="394">
        <f>IF(Results!L38&lt;=0,0,C33/Results!L38)</f>
        <v>0</v>
      </c>
      <c r="F33" s="395">
        <f t="shared" si="0"/>
        <v>0</v>
      </c>
      <c r="G33" s="398"/>
    </row>
    <row r="34" spans="2:7">
      <c r="B34" s="397">
        <f t="shared" si="1"/>
        <v>2022</v>
      </c>
      <c r="C34" s="249">
        <v>0</v>
      </c>
      <c r="D34" s="267"/>
      <c r="E34" s="394">
        <f>IF(Results!L39&lt;=0,0,C34/Results!L39)</f>
        <v>0</v>
      </c>
      <c r="F34" s="395">
        <f t="shared" si="0"/>
        <v>0</v>
      </c>
      <c r="G34" s="398"/>
    </row>
    <row r="35" spans="2:7">
      <c r="B35" s="397">
        <f t="shared" si="1"/>
        <v>2023</v>
      </c>
      <c r="C35" s="249">
        <v>0</v>
      </c>
      <c r="D35" s="267"/>
      <c r="E35" s="394">
        <f>IF(Results!L40&lt;=0,0,C35/Results!L40)</f>
        <v>0</v>
      </c>
      <c r="F35" s="395">
        <f t="shared" si="0"/>
        <v>0</v>
      </c>
      <c r="G35" s="398"/>
    </row>
    <row r="36" spans="2:7">
      <c r="B36" s="397">
        <f t="shared" si="1"/>
        <v>2024</v>
      </c>
      <c r="C36" s="249">
        <v>0</v>
      </c>
      <c r="D36" s="267"/>
      <c r="E36" s="394">
        <f>IF(Results!L41&lt;=0,0,C36/Results!L41)</f>
        <v>0</v>
      </c>
      <c r="F36" s="395">
        <f t="shared" si="0"/>
        <v>0</v>
      </c>
      <c r="G36" s="398"/>
    </row>
    <row r="37" spans="2:7">
      <c r="B37" s="397">
        <f t="shared" si="1"/>
        <v>2025</v>
      </c>
      <c r="C37" s="249">
        <v>0</v>
      </c>
      <c r="D37" s="267"/>
      <c r="E37" s="394">
        <f>IF(Results!L42&lt;=0,0,C37/Results!L42)</f>
        <v>0</v>
      </c>
      <c r="F37" s="395">
        <f t="shared" si="0"/>
        <v>0</v>
      </c>
      <c r="G37" s="398"/>
    </row>
    <row r="38" spans="2:7">
      <c r="B38" s="397">
        <f t="shared" si="1"/>
        <v>2026</v>
      </c>
      <c r="C38" s="249">
        <v>0</v>
      </c>
      <c r="D38" s="267"/>
      <c r="E38" s="394">
        <f>IF(Results!L43&lt;=0,0,C38/Results!L43)</f>
        <v>0</v>
      </c>
      <c r="F38" s="395">
        <f t="shared" si="0"/>
        <v>0</v>
      </c>
      <c r="G38" s="398"/>
    </row>
    <row r="39" spans="2:7">
      <c r="B39" s="397">
        <f t="shared" si="1"/>
        <v>2027</v>
      </c>
      <c r="C39" s="249">
        <v>0</v>
      </c>
      <c r="D39" s="267"/>
      <c r="E39" s="394">
        <f>IF(Results!L44&lt;=0,0,C39/Results!L44)</f>
        <v>0</v>
      </c>
      <c r="F39" s="395">
        <f t="shared" si="0"/>
        <v>0</v>
      </c>
      <c r="G39" s="398"/>
    </row>
    <row r="40" spans="2:7">
      <c r="B40" s="397">
        <f t="shared" si="1"/>
        <v>2028</v>
      </c>
      <c r="C40" s="249">
        <v>0</v>
      </c>
      <c r="D40" s="267"/>
      <c r="E40" s="394">
        <f>IF(Results!L45&lt;=0,0,C40/Results!L45)</f>
        <v>0</v>
      </c>
      <c r="F40" s="395">
        <f t="shared" si="0"/>
        <v>0</v>
      </c>
      <c r="G40" s="398"/>
    </row>
    <row r="41" spans="2:7">
      <c r="B41" s="397">
        <f t="shared" si="1"/>
        <v>2029</v>
      </c>
      <c r="C41" s="249">
        <v>0</v>
      </c>
      <c r="D41" s="267"/>
      <c r="E41" s="394">
        <f>IF(Results!L46&lt;=0,0,C41/Results!L46)</f>
        <v>0</v>
      </c>
      <c r="F41" s="395">
        <f t="shared" si="0"/>
        <v>0</v>
      </c>
      <c r="G41" s="398"/>
    </row>
    <row r="42" spans="2:7">
      <c r="B42" s="397">
        <f t="shared" si="1"/>
        <v>2030</v>
      </c>
      <c r="C42" s="249">
        <v>0</v>
      </c>
      <c r="D42" s="267"/>
      <c r="E42" s="394">
        <f>IF(Results!L47&lt;=0,0,C42/Results!L47)</f>
        <v>0</v>
      </c>
      <c r="F42" s="395">
        <f t="shared" si="0"/>
        <v>0</v>
      </c>
      <c r="G42" s="398"/>
    </row>
    <row r="43" spans="2:7">
      <c r="B43" s="397">
        <f t="shared" si="1"/>
        <v>2031</v>
      </c>
      <c r="C43" s="249">
        <v>0</v>
      </c>
      <c r="D43" s="267"/>
      <c r="E43" s="394">
        <f>IF(Results!L48&lt;=0,0,C43/Results!L48)</f>
        <v>0</v>
      </c>
      <c r="F43" s="395">
        <f t="shared" si="0"/>
        <v>0</v>
      </c>
      <c r="G43" s="398"/>
    </row>
    <row r="44" spans="2:7">
      <c r="B44" s="397">
        <f t="shared" si="1"/>
        <v>2032</v>
      </c>
      <c r="C44" s="249">
        <v>0</v>
      </c>
      <c r="D44" s="267"/>
      <c r="E44" s="394">
        <f>IF(Results!L49&lt;=0,0,C44/Results!L49)</f>
        <v>0</v>
      </c>
      <c r="F44" s="395">
        <f t="shared" ref="F44:F75" si="2">ox</f>
        <v>0</v>
      </c>
      <c r="G44" s="398"/>
    </row>
    <row r="45" spans="2:7">
      <c r="B45" s="397">
        <f t="shared" si="1"/>
        <v>2033</v>
      </c>
      <c r="C45" s="249">
        <v>0</v>
      </c>
      <c r="D45" s="267"/>
      <c r="E45" s="394">
        <f>IF(Results!L50&lt;=0,0,C45/Results!L50)</f>
        <v>0</v>
      </c>
      <c r="F45" s="395">
        <f t="shared" si="2"/>
        <v>0</v>
      </c>
      <c r="G45" s="398"/>
    </row>
    <row r="46" spans="2:7">
      <c r="B46" s="397">
        <f t="shared" si="1"/>
        <v>2034</v>
      </c>
      <c r="C46" s="249">
        <v>0</v>
      </c>
      <c r="D46" s="267"/>
      <c r="E46" s="394">
        <f>IF(Results!L51&lt;=0,0,C46/Results!L51)</f>
        <v>0</v>
      </c>
      <c r="F46" s="395">
        <f t="shared" si="2"/>
        <v>0</v>
      </c>
      <c r="G46" s="398"/>
    </row>
    <row r="47" spans="2:7">
      <c r="B47" s="397">
        <f t="shared" si="1"/>
        <v>2035</v>
      </c>
      <c r="C47" s="249">
        <v>0</v>
      </c>
      <c r="D47" s="267"/>
      <c r="E47" s="394">
        <f>IF(Results!L52&lt;=0,0,C47/Results!L52)</f>
        <v>0</v>
      </c>
      <c r="F47" s="395">
        <f t="shared" si="2"/>
        <v>0</v>
      </c>
      <c r="G47" s="398"/>
    </row>
    <row r="48" spans="2:7">
      <c r="B48" s="397">
        <f t="shared" si="1"/>
        <v>2036</v>
      </c>
      <c r="C48" s="249">
        <v>0</v>
      </c>
      <c r="D48" s="267"/>
      <c r="E48" s="394">
        <f>IF(Results!L53&lt;=0,0,C48/Results!L53)</f>
        <v>0</v>
      </c>
      <c r="F48" s="395">
        <f t="shared" si="2"/>
        <v>0</v>
      </c>
      <c r="G48" s="398"/>
    </row>
    <row r="49" spans="2:7">
      <c r="B49" s="397">
        <f t="shared" si="1"/>
        <v>2037</v>
      </c>
      <c r="C49" s="249">
        <v>0</v>
      </c>
      <c r="D49" s="267"/>
      <c r="E49" s="394">
        <f>IF(Results!L54&lt;=0,0,C49/Results!L54)</f>
        <v>0</v>
      </c>
      <c r="F49" s="395">
        <f t="shared" si="2"/>
        <v>0</v>
      </c>
      <c r="G49" s="398"/>
    </row>
    <row r="50" spans="2:7">
      <c r="B50" s="397">
        <f t="shared" si="1"/>
        <v>2038</v>
      </c>
      <c r="C50" s="249">
        <v>0</v>
      </c>
      <c r="D50" s="267"/>
      <c r="E50" s="394">
        <f>IF(Results!L55&lt;=0,0,C50/Results!L55)</f>
        <v>0</v>
      </c>
      <c r="F50" s="395">
        <f t="shared" si="2"/>
        <v>0</v>
      </c>
      <c r="G50" s="398"/>
    </row>
    <row r="51" spans="2:7">
      <c r="B51" s="397">
        <f t="shared" si="1"/>
        <v>2039</v>
      </c>
      <c r="C51" s="249">
        <v>0</v>
      </c>
      <c r="D51" s="267"/>
      <c r="E51" s="394">
        <f>IF(Results!L56&lt;=0,0,C51/Results!L56)</f>
        <v>0</v>
      </c>
      <c r="F51" s="395">
        <f t="shared" si="2"/>
        <v>0</v>
      </c>
      <c r="G51" s="398"/>
    </row>
    <row r="52" spans="2:7">
      <c r="B52" s="397">
        <f t="shared" si="1"/>
        <v>2040</v>
      </c>
      <c r="C52" s="249">
        <v>0</v>
      </c>
      <c r="D52" s="267"/>
      <c r="E52" s="394">
        <f>IF(Results!L57&lt;=0,0,C52/Results!L57)</f>
        <v>0</v>
      </c>
      <c r="F52" s="395">
        <f t="shared" si="2"/>
        <v>0</v>
      </c>
      <c r="G52" s="398"/>
    </row>
    <row r="53" spans="2:7">
      <c r="B53" s="397">
        <f t="shared" si="1"/>
        <v>2041</v>
      </c>
      <c r="C53" s="249">
        <v>0</v>
      </c>
      <c r="D53" s="267"/>
      <c r="E53" s="394">
        <f>IF(Results!L58&lt;=0,0,C53/Results!L58)</f>
        <v>0</v>
      </c>
      <c r="F53" s="395">
        <f t="shared" si="2"/>
        <v>0</v>
      </c>
      <c r="G53" s="398"/>
    </row>
    <row r="54" spans="2:7">
      <c r="B54" s="397">
        <f t="shared" si="1"/>
        <v>2042</v>
      </c>
      <c r="C54" s="249">
        <v>0</v>
      </c>
      <c r="D54" s="267"/>
      <c r="E54" s="394">
        <f>IF(Results!L59&lt;=0,0,C54/Results!L59)</f>
        <v>0</v>
      </c>
      <c r="F54" s="395">
        <f t="shared" si="2"/>
        <v>0</v>
      </c>
      <c r="G54" s="398"/>
    </row>
    <row r="55" spans="2:7">
      <c r="B55" s="397">
        <f t="shared" si="1"/>
        <v>2043</v>
      </c>
      <c r="C55" s="249">
        <v>0</v>
      </c>
      <c r="D55" s="267"/>
      <c r="E55" s="394">
        <f>IF(Results!L60&lt;=0,0,C55/Results!L60)</f>
        <v>0</v>
      </c>
      <c r="F55" s="395">
        <f t="shared" si="2"/>
        <v>0</v>
      </c>
      <c r="G55" s="398"/>
    </row>
    <row r="56" spans="2:7">
      <c r="B56" s="397">
        <f t="shared" si="1"/>
        <v>2044</v>
      </c>
      <c r="C56" s="249">
        <v>0</v>
      </c>
      <c r="D56" s="267"/>
      <c r="E56" s="394">
        <f>IF(Results!L61&lt;=0,0,C56/Results!L61)</f>
        <v>0</v>
      </c>
      <c r="F56" s="395">
        <f t="shared" si="2"/>
        <v>0</v>
      </c>
      <c r="G56" s="398"/>
    </row>
    <row r="57" spans="2:7">
      <c r="B57" s="397">
        <f t="shared" si="1"/>
        <v>2045</v>
      </c>
      <c r="C57" s="249">
        <v>0</v>
      </c>
      <c r="D57" s="267"/>
      <c r="E57" s="394">
        <f>IF(Results!L62&lt;=0,0,C57/Results!L62)</f>
        <v>0</v>
      </c>
      <c r="F57" s="395">
        <f>ox</f>
        <v>0</v>
      </c>
      <c r="G57" s="398"/>
    </row>
    <row r="58" spans="2:7">
      <c r="B58" s="397">
        <f t="shared" si="1"/>
        <v>2046</v>
      </c>
      <c r="C58" s="249">
        <v>0</v>
      </c>
      <c r="D58" s="267"/>
      <c r="E58" s="394">
        <f>IF(Results!L63&lt;=0,0,C58/Results!L63)</f>
        <v>0</v>
      </c>
      <c r="F58" s="395">
        <f t="shared" si="2"/>
        <v>0</v>
      </c>
      <c r="G58" s="398"/>
    </row>
    <row r="59" spans="2:7">
      <c r="B59" s="397">
        <f t="shared" si="1"/>
        <v>2047</v>
      </c>
      <c r="C59" s="249">
        <v>0</v>
      </c>
      <c r="D59" s="267"/>
      <c r="E59" s="394">
        <f>IF(Results!L64&lt;=0,0,C59/Results!L64)</f>
        <v>0</v>
      </c>
      <c r="F59" s="395">
        <f t="shared" si="2"/>
        <v>0</v>
      </c>
      <c r="G59" s="398"/>
    </row>
    <row r="60" spans="2:7">
      <c r="B60" s="397">
        <f t="shared" si="1"/>
        <v>2048</v>
      </c>
      <c r="C60" s="249">
        <v>0</v>
      </c>
      <c r="D60" s="267"/>
      <c r="E60" s="394">
        <f>IF(Results!L65&lt;=0,0,C60/Results!L65)</f>
        <v>0</v>
      </c>
      <c r="F60" s="395">
        <f t="shared" si="2"/>
        <v>0</v>
      </c>
      <c r="G60" s="398"/>
    </row>
    <row r="61" spans="2:7">
      <c r="B61" s="397">
        <f t="shared" si="1"/>
        <v>2049</v>
      </c>
      <c r="C61" s="249">
        <v>0</v>
      </c>
      <c r="D61" s="267"/>
      <c r="E61" s="394">
        <f>IF(Results!L66&lt;=0,0,C61/Results!L66)</f>
        <v>0</v>
      </c>
      <c r="F61" s="395">
        <f>ox</f>
        <v>0</v>
      </c>
      <c r="G61" s="398"/>
    </row>
    <row r="62" spans="2:7">
      <c r="B62" s="397">
        <f t="shared" si="1"/>
        <v>2050</v>
      </c>
      <c r="C62" s="249">
        <v>0</v>
      </c>
      <c r="D62" s="267"/>
      <c r="E62" s="394">
        <f>IF(Results!L67&lt;=0,0,C62/Results!L67)</f>
        <v>0</v>
      </c>
      <c r="F62" s="395">
        <f t="shared" si="2"/>
        <v>0</v>
      </c>
      <c r="G62" s="398"/>
    </row>
    <row r="63" spans="2:7">
      <c r="B63" s="397">
        <f t="shared" si="1"/>
        <v>2051</v>
      </c>
      <c r="C63" s="249">
        <v>0</v>
      </c>
      <c r="D63" s="267"/>
      <c r="E63" s="394">
        <f>IF(Results!L68&lt;=0,0,C63/Results!L68)</f>
        <v>0</v>
      </c>
      <c r="F63" s="395">
        <f t="shared" si="2"/>
        <v>0</v>
      </c>
      <c r="G63" s="398"/>
    </row>
    <row r="64" spans="2:7">
      <c r="B64" s="397">
        <f t="shared" si="1"/>
        <v>2052</v>
      </c>
      <c r="C64" s="249">
        <v>0</v>
      </c>
      <c r="D64" s="267"/>
      <c r="E64" s="394">
        <f>IF(Results!L69&lt;=0,0,C64/Results!L69)</f>
        <v>0</v>
      </c>
      <c r="F64" s="395">
        <f t="shared" si="2"/>
        <v>0</v>
      </c>
      <c r="G64" s="398"/>
    </row>
    <row r="65" spans="2:7">
      <c r="B65" s="397">
        <f t="shared" si="1"/>
        <v>2053</v>
      </c>
      <c r="C65" s="249">
        <v>0</v>
      </c>
      <c r="D65" s="267"/>
      <c r="E65" s="394">
        <f>IF(Results!L70&lt;=0,0,C65/Results!L70)</f>
        <v>0</v>
      </c>
      <c r="F65" s="395">
        <f t="shared" si="2"/>
        <v>0</v>
      </c>
      <c r="G65" s="398"/>
    </row>
    <row r="66" spans="2:7">
      <c r="B66" s="397">
        <f t="shared" si="1"/>
        <v>2054</v>
      </c>
      <c r="C66" s="249">
        <v>0</v>
      </c>
      <c r="D66" s="267"/>
      <c r="E66" s="394">
        <f>IF(Results!L71&lt;=0,0,C66/Results!L71)</f>
        <v>0</v>
      </c>
      <c r="F66" s="395">
        <f t="shared" si="2"/>
        <v>0</v>
      </c>
      <c r="G66" s="398"/>
    </row>
    <row r="67" spans="2:7">
      <c r="B67" s="397">
        <f t="shared" si="1"/>
        <v>2055</v>
      </c>
      <c r="C67" s="249">
        <v>0</v>
      </c>
      <c r="D67" s="267"/>
      <c r="E67" s="394">
        <f>IF(Results!L72&lt;=0,0,C67/Results!L72)</f>
        <v>0</v>
      </c>
      <c r="F67" s="395">
        <f t="shared" si="2"/>
        <v>0</v>
      </c>
      <c r="G67" s="398"/>
    </row>
    <row r="68" spans="2:7">
      <c r="B68" s="397">
        <f t="shared" si="1"/>
        <v>2056</v>
      </c>
      <c r="C68" s="249">
        <v>0</v>
      </c>
      <c r="D68" s="267"/>
      <c r="E68" s="394">
        <f>IF(Results!L73&lt;=0,0,C68/Results!L73)</f>
        <v>0</v>
      </c>
      <c r="F68" s="395">
        <f t="shared" si="2"/>
        <v>0</v>
      </c>
      <c r="G68" s="398"/>
    </row>
    <row r="69" spans="2:7">
      <c r="B69" s="397">
        <f t="shared" si="1"/>
        <v>2057</v>
      </c>
      <c r="C69" s="249">
        <v>0</v>
      </c>
      <c r="D69" s="267"/>
      <c r="E69" s="394">
        <f>IF(Results!L74&lt;=0,0,C69/Results!L74)</f>
        <v>0</v>
      </c>
      <c r="F69" s="395">
        <f t="shared" si="2"/>
        <v>0</v>
      </c>
      <c r="G69" s="398"/>
    </row>
    <row r="70" spans="2:7">
      <c r="B70" s="397">
        <f t="shared" si="1"/>
        <v>2058</v>
      </c>
      <c r="C70" s="249">
        <v>0</v>
      </c>
      <c r="D70" s="267"/>
      <c r="E70" s="394">
        <f>IF(Results!L75&lt;=0,0,C70/Results!L75)</f>
        <v>0</v>
      </c>
      <c r="F70" s="395">
        <f t="shared" si="2"/>
        <v>0</v>
      </c>
      <c r="G70" s="398"/>
    </row>
    <row r="71" spans="2:7">
      <c r="B71" s="397">
        <f t="shared" si="1"/>
        <v>2059</v>
      </c>
      <c r="C71" s="249">
        <v>0</v>
      </c>
      <c r="D71" s="267"/>
      <c r="E71" s="394">
        <f>IF(Results!L76&lt;=0,0,C71/Results!L76)</f>
        <v>0</v>
      </c>
      <c r="F71" s="395">
        <f t="shared" si="2"/>
        <v>0</v>
      </c>
      <c r="G71" s="398"/>
    </row>
    <row r="72" spans="2:7">
      <c r="B72" s="397">
        <f t="shared" si="1"/>
        <v>2060</v>
      </c>
      <c r="C72" s="249">
        <v>0</v>
      </c>
      <c r="D72" s="267"/>
      <c r="E72" s="394">
        <f>IF(Results!L77&lt;=0,0,C72/Results!L77)</f>
        <v>0</v>
      </c>
      <c r="F72" s="395">
        <f t="shared" si="2"/>
        <v>0</v>
      </c>
      <c r="G72" s="398"/>
    </row>
    <row r="73" spans="2:7">
      <c r="B73" s="397">
        <f t="shared" si="1"/>
        <v>2061</v>
      </c>
      <c r="C73" s="249">
        <v>0</v>
      </c>
      <c r="D73" s="267"/>
      <c r="E73" s="394">
        <f>IF(Results!L78&lt;=0,0,C73/Results!L78)</f>
        <v>0</v>
      </c>
      <c r="F73" s="395">
        <f t="shared" si="2"/>
        <v>0</v>
      </c>
      <c r="G73" s="398"/>
    </row>
    <row r="74" spans="2:7">
      <c r="B74" s="397">
        <f t="shared" si="1"/>
        <v>2062</v>
      </c>
      <c r="C74" s="249">
        <v>0</v>
      </c>
      <c r="D74" s="267"/>
      <c r="E74" s="394">
        <f>IF(Results!L79&lt;=0,0,C74/Results!L79)</f>
        <v>0</v>
      </c>
      <c r="F74" s="395">
        <f t="shared" si="2"/>
        <v>0</v>
      </c>
      <c r="G74" s="398"/>
    </row>
    <row r="75" spans="2:7">
      <c r="B75" s="397">
        <f t="shared" si="1"/>
        <v>2063</v>
      </c>
      <c r="C75" s="249">
        <v>0</v>
      </c>
      <c r="D75" s="267"/>
      <c r="E75" s="394">
        <f>IF(Results!L80&lt;=0,0,C75/Results!L80)</f>
        <v>0</v>
      </c>
      <c r="F75" s="395">
        <f t="shared" si="2"/>
        <v>0</v>
      </c>
      <c r="G75" s="398"/>
    </row>
    <row r="76" spans="2:7">
      <c r="B76" s="397">
        <f t="shared" si="1"/>
        <v>2064</v>
      </c>
      <c r="C76" s="249">
        <v>0</v>
      </c>
      <c r="D76" s="267"/>
      <c r="E76" s="394">
        <f>IF(Results!L81&lt;=0,0,C76/Results!L81)</f>
        <v>0</v>
      </c>
      <c r="F76" s="395">
        <f t="shared" ref="F76:F92" si="3">ox</f>
        <v>0</v>
      </c>
      <c r="G76" s="398"/>
    </row>
    <row r="77" spans="2:7">
      <c r="B77" s="397">
        <f t="shared" ref="B77:B92" si="4">B76+1</f>
        <v>2065</v>
      </c>
      <c r="C77" s="249">
        <v>0</v>
      </c>
      <c r="D77" s="267"/>
      <c r="E77" s="394">
        <f>IF(Results!L82&lt;=0,0,C77/Results!L82)</f>
        <v>0</v>
      </c>
      <c r="F77" s="395">
        <f t="shared" si="3"/>
        <v>0</v>
      </c>
      <c r="G77" s="398"/>
    </row>
    <row r="78" spans="2:7">
      <c r="B78" s="397">
        <f t="shared" si="4"/>
        <v>2066</v>
      </c>
      <c r="C78" s="249">
        <v>0</v>
      </c>
      <c r="D78" s="267"/>
      <c r="E78" s="394">
        <f>IF(Results!L83&lt;=0,0,C78/Results!L83)</f>
        <v>0</v>
      </c>
      <c r="F78" s="395">
        <f t="shared" si="3"/>
        <v>0</v>
      </c>
      <c r="G78" s="398"/>
    </row>
    <row r="79" spans="2:7">
      <c r="B79" s="397">
        <f t="shared" si="4"/>
        <v>2067</v>
      </c>
      <c r="C79" s="249">
        <v>0</v>
      </c>
      <c r="D79" s="267"/>
      <c r="E79" s="394">
        <f>IF(Results!L84&lt;=0,0,C79/Results!L84)</f>
        <v>0</v>
      </c>
      <c r="F79" s="395">
        <f t="shared" si="3"/>
        <v>0</v>
      </c>
      <c r="G79" s="398"/>
    </row>
    <row r="80" spans="2:7">
      <c r="B80" s="397">
        <f t="shared" si="4"/>
        <v>2068</v>
      </c>
      <c r="C80" s="249">
        <v>0</v>
      </c>
      <c r="D80" s="267"/>
      <c r="E80" s="394">
        <f>IF(Results!L85&lt;=0,0,C80/Results!L85)</f>
        <v>0</v>
      </c>
      <c r="F80" s="395">
        <f t="shared" si="3"/>
        <v>0</v>
      </c>
      <c r="G80" s="398"/>
    </row>
    <row r="81" spans="2:7">
      <c r="B81" s="397">
        <f t="shared" si="4"/>
        <v>2069</v>
      </c>
      <c r="C81" s="249">
        <v>0</v>
      </c>
      <c r="D81" s="267"/>
      <c r="E81" s="394">
        <f>IF(Results!L86&lt;=0,0,C81/Results!L86)</f>
        <v>0</v>
      </c>
      <c r="F81" s="395">
        <f t="shared" si="3"/>
        <v>0</v>
      </c>
      <c r="G81" s="398"/>
    </row>
    <row r="82" spans="2:7">
      <c r="B82" s="397">
        <f t="shared" si="4"/>
        <v>2070</v>
      </c>
      <c r="C82" s="249">
        <v>0</v>
      </c>
      <c r="D82" s="267"/>
      <c r="E82" s="394">
        <f>IF(Results!L87&lt;=0,0,C82/Results!L87)</f>
        <v>0</v>
      </c>
      <c r="F82" s="395">
        <f t="shared" si="3"/>
        <v>0</v>
      </c>
      <c r="G82" s="398"/>
    </row>
    <row r="83" spans="2:7">
      <c r="B83" s="397">
        <f t="shared" si="4"/>
        <v>2071</v>
      </c>
      <c r="C83" s="249">
        <v>0</v>
      </c>
      <c r="D83" s="267"/>
      <c r="E83" s="394">
        <f>IF(Results!L88&lt;=0,0,C83/Results!L88)</f>
        <v>0</v>
      </c>
      <c r="F83" s="395">
        <f t="shared" si="3"/>
        <v>0</v>
      </c>
      <c r="G83" s="398"/>
    </row>
    <row r="84" spans="2:7">
      <c r="B84" s="397">
        <f t="shared" si="4"/>
        <v>2072</v>
      </c>
      <c r="C84" s="249">
        <v>0</v>
      </c>
      <c r="D84" s="267"/>
      <c r="E84" s="394">
        <f>IF(Results!L89&lt;=0,0,C84/Results!L89)</f>
        <v>0</v>
      </c>
      <c r="F84" s="395">
        <f t="shared" si="3"/>
        <v>0</v>
      </c>
      <c r="G84" s="398"/>
    </row>
    <row r="85" spans="2:7">
      <c r="B85" s="397">
        <f t="shared" si="4"/>
        <v>2073</v>
      </c>
      <c r="C85" s="249">
        <v>0</v>
      </c>
      <c r="D85" s="267"/>
      <c r="E85" s="394">
        <f>IF(Results!L90&lt;=0,0,C85/Results!L90)</f>
        <v>0</v>
      </c>
      <c r="F85" s="395">
        <f t="shared" si="3"/>
        <v>0</v>
      </c>
      <c r="G85" s="398"/>
    </row>
    <row r="86" spans="2:7">
      <c r="B86" s="397">
        <f t="shared" si="4"/>
        <v>2074</v>
      </c>
      <c r="C86" s="249">
        <v>0</v>
      </c>
      <c r="D86" s="267"/>
      <c r="E86" s="394">
        <f>IF(Results!L91&lt;=0,0,C86/Results!L91)</f>
        <v>0</v>
      </c>
      <c r="F86" s="395">
        <f t="shared" si="3"/>
        <v>0</v>
      </c>
      <c r="G86" s="398"/>
    </row>
    <row r="87" spans="2:7">
      <c r="B87" s="397">
        <f t="shared" si="4"/>
        <v>2075</v>
      </c>
      <c r="C87" s="249">
        <v>0</v>
      </c>
      <c r="D87" s="267"/>
      <c r="E87" s="394">
        <f>IF(Results!L92&lt;=0,0,C87/Results!L92)</f>
        <v>0</v>
      </c>
      <c r="F87" s="395">
        <f t="shared" si="3"/>
        <v>0</v>
      </c>
      <c r="G87" s="398"/>
    </row>
    <row r="88" spans="2:7">
      <c r="B88" s="397">
        <f t="shared" si="4"/>
        <v>2076</v>
      </c>
      <c r="C88" s="249">
        <v>0</v>
      </c>
      <c r="D88" s="267"/>
      <c r="E88" s="394">
        <f>IF(Results!L93&lt;=0,0,C88/Results!L93)</f>
        <v>0</v>
      </c>
      <c r="F88" s="395">
        <f t="shared" si="3"/>
        <v>0</v>
      </c>
      <c r="G88" s="398"/>
    </row>
    <row r="89" spans="2:7">
      <c r="B89" s="397">
        <f t="shared" si="4"/>
        <v>2077</v>
      </c>
      <c r="C89" s="249">
        <v>0</v>
      </c>
      <c r="D89" s="267"/>
      <c r="E89" s="394">
        <f>IF(Results!L94&lt;=0,0,C89/Results!L94)</f>
        <v>0</v>
      </c>
      <c r="F89" s="395">
        <f t="shared" si="3"/>
        <v>0</v>
      </c>
      <c r="G89" s="398"/>
    </row>
    <row r="90" spans="2:7">
      <c r="B90" s="397">
        <f t="shared" si="4"/>
        <v>2078</v>
      </c>
      <c r="C90" s="249">
        <v>0</v>
      </c>
      <c r="D90" s="267"/>
      <c r="E90" s="394">
        <f>IF(Results!L95&lt;=0,0,C90/Results!L95)</f>
        <v>0</v>
      </c>
      <c r="F90" s="395">
        <f t="shared" si="3"/>
        <v>0</v>
      </c>
      <c r="G90" s="398"/>
    </row>
    <row r="91" spans="2:7">
      <c r="B91" s="397">
        <f t="shared" si="4"/>
        <v>2079</v>
      </c>
      <c r="C91" s="249">
        <v>0</v>
      </c>
      <c r="D91" s="267"/>
      <c r="E91" s="394">
        <f>IF(Results!L96&lt;=0,0,C91/Results!L96)</f>
        <v>0</v>
      </c>
      <c r="F91" s="395">
        <f t="shared" si="3"/>
        <v>0</v>
      </c>
      <c r="G91" s="398"/>
    </row>
    <row r="92" spans="2:7" ht="13.5" thickBot="1">
      <c r="B92" s="399">
        <f t="shared" si="4"/>
        <v>2080</v>
      </c>
      <c r="C92" s="340">
        <v>0</v>
      </c>
      <c r="D92" s="268"/>
      <c r="E92" s="400">
        <f>IF(Results!L97&lt;=0,0,C92/Results!L97)</f>
        <v>0</v>
      </c>
      <c r="F92" s="401">
        <f t="shared" si="3"/>
        <v>0</v>
      </c>
      <c r="G92" s="402"/>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6" zoomScale="85" zoomScaleNormal="85" workbookViewId="0">
      <selection activeCell="H53" sqref="H53"/>
    </sheetView>
  </sheetViews>
  <sheetFormatPr defaultColWidth="8.85546875" defaultRowHeight="12.75"/>
  <cols>
    <col min="1" max="1" width="8.85546875" style="148"/>
    <col min="2" max="2" width="7" style="275" customWidth="1"/>
    <col min="3" max="3" width="8.85546875" style="275"/>
    <col min="4" max="4" width="10.85546875" style="275" customWidth="1"/>
    <col min="5" max="13" width="8.85546875" style="275"/>
    <col min="14" max="14" width="3" style="275" customWidth="1"/>
    <col min="15" max="15" width="10.42578125" style="651" customWidth="1"/>
    <col min="16" max="16" width="4.7109375" style="275" customWidth="1"/>
    <col min="17" max="17" width="2" style="454" customWidth="1"/>
    <col min="18" max="20" width="8.85546875" style="148"/>
    <col min="21" max="21" width="10.7109375" style="148" customWidth="1"/>
    <col min="22" max="27" width="8.85546875" style="148"/>
    <col min="28" max="28" width="8.85546875" style="275"/>
    <col min="29" max="30" width="8.85546875" style="148"/>
    <col min="31" max="31" width="2.7109375" style="148" customWidth="1"/>
    <col min="32" max="32" width="11.7109375" style="148" bestFit="1" customWidth="1"/>
    <col min="33" max="16384" width="8.85546875" style="148"/>
  </cols>
  <sheetData>
    <row r="1" spans="1:32">
      <c r="A1" s="147"/>
      <c r="P1" s="276"/>
    </row>
    <row r="2" spans="1:32" ht="15.75">
      <c r="A2" s="147"/>
      <c r="B2" s="277" t="s">
        <v>94</v>
      </c>
      <c r="D2" s="277"/>
      <c r="E2" s="277"/>
    </row>
    <row r="3" spans="1:32" ht="15.75">
      <c r="A3" s="147"/>
      <c r="B3" s="277"/>
      <c r="D3" s="277"/>
      <c r="E3" s="277"/>
      <c r="I3" s="278"/>
      <c r="J3" s="279"/>
      <c r="K3" s="279"/>
      <c r="L3" s="279"/>
      <c r="M3" s="279"/>
      <c r="N3" s="279"/>
      <c r="O3" s="652"/>
      <c r="AB3" s="279"/>
    </row>
    <row r="4" spans="1:32" ht="16.5" thickBot="1">
      <c r="A4" s="147"/>
      <c r="B4" s="278" t="s">
        <v>265</v>
      </c>
      <c r="D4" s="277"/>
      <c r="E4" s="278" t="s">
        <v>276</v>
      </c>
      <c r="H4" s="278" t="s">
        <v>30</v>
      </c>
      <c r="I4" s="278"/>
      <c r="J4" s="279"/>
      <c r="K4" s="279"/>
      <c r="L4" s="279"/>
      <c r="M4" s="279"/>
      <c r="N4" s="279"/>
      <c r="O4" s="652"/>
      <c r="AB4" s="279"/>
    </row>
    <row r="5" spans="1:32" ht="13.5" thickBot="1">
      <c r="A5" s="147"/>
      <c r="B5" s="489" t="str">
        <f>city</f>
        <v>Kalimantan Timur</v>
      </c>
      <c r="C5" s="490"/>
      <c r="D5" s="490"/>
      <c r="E5" s="489" t="str">
        <f>province</f>
        <v>Kalimantan Timur</v>
      </c>
      <c r="F5" s="490"/>
      <c r="G5" s="490"/>
      <c r="H5" s="489" t="str">
        <f>country</f>
        <v>Indonesia</v>
      </c>
      <c r="I5" s="490"/>
      <c r="J5" s="491"/>
      <c r="K5" s="279"/>
      <c r="L5" s="279"/>
      <c r="M5" s="279"/>
      <c r="N5" s="279"/>
      <c r="O5" s="652"/>
      <c r="AB5" s="279"/>
    </row>
    <row r="6" spans="1:32">
      <c r="A6" s="147"/>
      <c r="C6" s="278"/>
      <c r="D6" s="278"/>
      <c r="E6" s="278"/>
    </row>
    <row r="7" spans="1:32">
      <c r="A7" s="147"/>
      <c r="B7" s="275" t="s">
        <v>35</v>
      </c>
      <c r="P7" s="276"/>
    </row>
    <row r="8" spans="1:32">
      <c r="A8" s="147"/>
      <c r="B8" s="275" t="s">
        <v>37</v>
      </c>
      <c r="P8" s="276"/>
    </row>
    <row r="9" spans="1:32">
      <c r="B9" s="280"/>
      <c r="P9" s="276"/>
    </row>
    <row r="10" spans="1:32">
      <c r="P10" s="426"/>
    </row>
    <row r="11" spans="1:32" ht="13.5" thickBot="1">
      <c r="A11" s="149"/>
      <c r="P11" s="149"/>
      <c r="Q11" s="455"/>
    </row>
    <row r="12" spans="1:32" ht="13.5" thickBot="1">
      <c r="A12" s="150"/>
      <c r="B12" s="274"/>
      <c r="C12" s="836" t="s">
        <v>91</v>
      </c>
      <c r="D12" s="837"/>
      <c r="E12" s="837"/>
      <c r="F12" s="837"/>
      <c r="G12" s="837"/>
      <c r="H12" s="837"/>
      <c r="I12" s="837"/>
      <c r="J12" s="837"/>
      <c r="K12" s="837"/>
      <c r="L12" s="837"/>
      <c r="M12" s="838"/>
      <c r="N12" s="424"/>
      <c r="O12" s="653"/>
      <c r="P12" s="150"/>
      <c r="Q12" s="455"/>
      <c r="S12" s="274"/>
      <c r="T12" s="836" t="s">
        <v>91</v>
      </c>
      <c r="U12" s="837"/>
      <c r="V12" s="837"/>
      <c r="W12" s="837"/>
      <c r="X12" s="837"/>
      <c r="Y12" s="837"/>
      <c r="Z12" s="837"/>
      <c r="AA12" s="837"/>
      <c r="AB12" s="837"/>
      <c r="AC12" s="837"/>
      <c r="AD12" s="838"/>
      <c r="AE12" s="424"/>
      <c r="AF12" s="425"/>
    </row>
    <row r="13" spans="1:32" ht="39" thickBot="1">
      <c r="A13" s="151"/>
      <c r="B13" s="430" t="s">
        <v>1</v>
      </c>
      <c r="C13" s="431" t="s">
        <v>228</v>
      </c>
      <c r="D13" s="432" t="s">
        <v>268</v>
      </c>
      <c r="E13" s="432" t="s">
        <v>267</v>
      </c>
      <c r="F13" s="432" t="s">
        <v>272</v>
      </c>
      <c r="G13" s="432" t="s">
        <v>2</v>
      </c>
      <c r="H13" s="432" t="s">
        <v>3</v>
      </c>
      <c r="I13" s="433" t="s">
        <v>146</v>
      </c>
      <c r="J13" s="433" t="s">
        <v>95</v>
      </c>
      <c r="K13" s="433" t="s">
        <v>308</v>
      </c>
      <c r="L13" s="434" t="s">
        <v>27</v>
      </c>
      <c r="M13" s="433" t="s">
        <v>5</v>
      </c>
      <c r="N13" s="435"/>
      <c r="O13" s="654" t="s">
        <v>4</v>
      </c>
      <c r="P13" s="151"/>
      <c r="Q13" s="455"/>
      <c r="S13" s="430" t="s">
        <v>1</v>
      </c>
      <c r="T13" s="431" t="s">
        <v>228</v>
      </c>
      <c r="U13" s="432" t="s">
        <v>268</v>
      </c>
      <c r="V13" s="432" t="s">
        <v>267</v>
      </c>
      <c r="W13" s="432" t="s">
        <v>272</v>
      </c>
      <c r="X13" s="432" t="s">
        <v>2</v>
      </c>
      <c r="Y13" s="432" t="s">
        <v>3</v>
      </c>
      <c r="Z13" s="433" t="s">
        <v>146</v>
      </c>
      <c r="AA13" s="433" t="s">
        <v>95</v>
      </c>
      <c r="AB13" s="433" t="s">
        <v>308</v>
      </c>
      <c r="AC13" s="434" t="s">
        <v>27</v>
      </c>
      <c r="AD13" s="433" t="s">
        <v>5</v>
      </c>
      <c r="AE13" s="435"/>
      <c r="AF13" s="436" t="s">
        <v>4</v>
      </c>
    </row>
    <row r="14" spans="1:32" ht="23.25" thickBot="1">
      <c r="A14" s="151"/>
      <c r="B14" s="281"/>
      <c r="C14" s="282" t="s">
        <v>81</v>
      </c>
      <c r="D14" s="283" t="s">
        <v>87</v>
      </c>
      <c r="E14" s="283" t="s">
        <v>88</v>
      </c>
      <c r="F14" s="283" t="s">
        <v>275</v>
      </c>
      <c r="G14" s="283" t="s">
        <v>89</v>
      </c>
      <c r="H14" s="283" t="s">
        <v>82</v>
      </c>
      <c r="I14" s="330" t="s">
        <v>92</v>
      </c>
      <c r="J14" s="284" t="s">
        <v>93</v>
      </c>
      <c r="K14" s="284" t="s">
        <v>316</v>
      </c>
      <c r="L14" s="331" t="s">
        <v>194</v>
      </c>
      <c r="M14" s="284" t="s">
        <v>162</v>
      </c>
      <c r="N14" s="427"/>
      <c r="O14" s="655" t="s">
        <v>163</v>
      </c>
      <c r="P14" s="151"/>
      <c r="Q14" s="455"/>
      <c r="S14" s="281"/>
      <c r="T14" s="282" t="s">
        <v>81</v>
      </c>
      <c r="U14" s="283" t="s">
        <v>87</v>
      </c>
      <c r="V14" s="283" t="s">
        <v>88</v>
      </c>
      <c r="W14" s="283" t="s">
        <v>275</v>
      </c>
      <c r="X14" s="283" t="s">
        <v>89</v>
      </c>
      <c r="Y14" s="283" t="s">
        <v>82</v>
      </c>
      <c r="Z14" s="330" t="s">
        <v>92</v>
      </c>
      <c r="AA14" s="284" t="s">
        <v>93</v>
      </c>
      <c r="AB14" s="284" t="s">
        <v>316</v>
      </c>
      <c r="AC14" s="331" t="s">
        <v>194</v>
      </c>
      <c r="AD14" s="284" t="s">
        <v>162</v>
      </c>
      <c r="AE14" s="427"/>
      <c r="AF14" s="285" t="s">
        <v>163</v>
      </c>
    </row>
    <row r="15" spans="1:32" ht="13.5" thickBot="1">
      <c r="B15" s="286"/>
      <c r="C15" s="287" t="s">
        <v>15</v>
      </c>
      <c r="D15" s="288" t="s">
        <v>15</v>
      </c>
      <c r="E15" s="288" t="s">
        <v>15</v>
      </c>
      <c r="F15" s="288" t="s">
        <v>15</v>
      </c>
      <c r="G15" s="288" t="s">
        <v>15</v>
      </c>
      <c r="H15" s="288" t="s">
        <v>15</v>
      </c>
      <c r="I15" s="289" t="s">
        <v>15</v>
      </c>
      <c r="J15" s="289" t="s">
        <v>15</v>
      </c>
      <c r="K15" s="289" t="s">
        <v>15</v>
      </c>
      <c r="L15" s="332" t="s">
        <v>15</v>
      </c>
      <c r="M15" s="289" t="s">
        <v>15</v>
      </c>
      <c r="N15" s="428"/>
      <c r="O15" s="656" t="s">
        <v>15</v>
      </c>
      <c r="P15" s="148"/>
      <c r="Q15" s="455"/>
      <c r="S15" s="286"/>
      <c r="T15" s="287" t="s">
        <v>15</v>
      </c>
      <c r="U15" s="288" t="s">
        <v>15</v>
      </c>
      <c r="V15" s="288" t="s">
        <v>15</v>
      </c>
      <c r="W15" s="288" t="s">
        <v>15</v>
      </c>
      <c r="X15" s="288" t="s">
        <v>15</v>
      </c>
      <c r="Y15" s="288" t="s">
        <v>15</v>
      </c>
      <c r="Z15" s="289" t="s">
        <v>15</v>
      </c>
      <c r="AA15" s="289" t="s">
        <v>15</v>
      </c>
      <c r="AB15" s="289" t="s">
        <v>15</v>
      </c>
      <c r="AC15" s="332" t="s">
        <v>15</v>
      </c>
      <c r="AD15" s="289" t="s">
        <v>15</v>
      </c>
      <c r="AE15" s="428"/>
      <c r="AF15" s="290" t="s">
        <v>15</v>
      </c>
    </row>
    <row r="16" spans="1:32" ht="13.5" thickBot="1">
      <c r="B16" s="291"/>
      <c r="C16" s="292"/>
      <c r="D16" s="293"/>
      <c r="E16" s="293"/>
      <c r="F16" s="293"/>
      <c r="G16" s="293"/>
      <c r="H16" s="293"/>
      <c r="I16" s="294"/>
      <c r="J16" s="294"/>
      <c r="K16" s="295"/>
      <c r="L16" s="333"/>
      <c r="M16" s="295"/>
      <c r="N16" s="429"/>
      <c r="O16" s="657"/>
      <c r="P16" s="148"/>
      <c r="Q16" s="455"/>
      <c r="S16" s="291"/>
      <c r="T16" s="292"/>
      <c r="U16" s="293"/>
      <c r="V16" s="293"/>
      <c r="W16" s="293"/>
      <c r="X16" s="293"/>
      <c r="Y16" s="293"/>
      <c r="Z16" s="294"/>
      <c r="AA16" s="294"/>
      <c r="AB16" s="295"/>
      <c r="AC16" s="333"/>
      <c r="AD16" s="295"/>
      <c r="AE16" s="429"/>
      <c r="AF16" s="296"/>
    </row>
    <row r="17" spans="2:32">
      <c r="B17" s="312">
        <f>year</f>
        <v>2000</v>
      </c>
      <c r="C17" s="769">
        <f>IF(Select2=1,Food!$K19,"")</f>
        <v>0</v>
      </c>
      <c r="D17" s="770">
        <f>IF(Select2=1,Paper!$K19,"")</f>
        <v>0</v>
      </c>
      <c r="E17" s="770">
        <f>IF(Select2=1,Nappies!$K19,"")</f>
        <v>0</v>
      </c>
      <c r="F17" s="770">
        <f>IF(Select2=1,Garden!$K19,"")</f>
        <v>0</v>
      </c>
      <c r="G17" s="770">
        <f>IF(Select2=1,Wood!$K19,"")</f>
        <v>0</v>
      </c>
      <c r="H17" s="770">
        <f>IF(Select2=1,Textiles!$K19,"")</f>
        <v>0</v>
      </c>
      <c r="I17" s="771">
        <f>Sludge!K19</f>
        <v>0</v>
      </c>
      <c r="J17" s="772" t="str">
        <f>IF(Select2=2,MSW!$K19,"")</f>
        <v/>
      </c>
      <c r="K17" s="771">
        <f>Industry!$K19</f>
        <v>0</v>
      </c>
      <c r="L17" s="773">
        <f>SUM(C17:K17)</f>
        <v>0</v>
      </c>
      <c r="M17" s="774">
        <f>Recovery_OX!C12</f>
        <v>0</v>
      </c>
      <c r="N17" s="426"/>
      <c r="O17" s="658">
        <f>(L17-M17)*(1-Recovery_OX!F12)</f>
        <v>0</v>
      </c>
      <c r="P17" s="148"/>
      <c r="Q17" s="455"/>
      <c r="S17" s="312">
        <f>year</f>
        <v>2000</v>
      </c>
      <c r="T17" s="309">
        <f>IF(Select2=1,Food!$W19,"")</f>
        <v>0</v>
      </c>
      <c r="U17" s="297">
        <f>IF(Select2=1,Paper!$W19,"")</f>
        <v>0</v>
      </c>
      <c r="V17" s="297">
        <f>IF(Select2=1,Nappies!$W19,"")</f>
        <v>0</v>
      </c>
      <c r="W17" s="297">
        <f>IF(Select2=1,Garden!$W19,"")</f>
        <v>0</v>
      </c>
      <c r="X17" s="297">
        <f>IF(Select2=1,Wood!$W19,"")</f>
        <v>0</v>
      </c>
      <c r="Y17" s="297">
        <f>IF(Select2=1,Textiles!$W19,"")</f>
        <v>0</v>
      </c>
      <c r="Z17" s="298">
        <f>Sludge!W19</f>
        <v>0</v>
      </c>
      <c r="AA17" s="299" t="str">
        <f>IF(Select2=2,MSW!$W19,"")</f>
        <v/>
      </c>
      <c r="AB17" s="298">
        <f>Industry!$W19</f>
        <v>0</v>
      </c>
      <c r="AC17" s="334">
        <f t="shared" ref="AC17:AC48" si="0">SUM(T17:AA17)</f>
        <v>0</v>
      </c>
      <c r="AD17" s="300">
        <f>Recovery_OX!R12</f>
        <v>0</v>
      </c>
      <c r="AE17" s="426"/>
      <c r="AF17" s="239">
        <f>(AC17-AD17)*(1-Recovery_OX!U12)</f>
        <v>0</v>
      </c>
    </row>
    <row r="18" spans="2:32">
      <c r="B18" s="313">
        <f t="shared" ref="B18:B81" si="1">B17+1</f>
        <v>2001</v>
      </c>
      <c r="C18" s="775">
        <f>IF(Select2=1,Food!$K20,"")</f>
        <v>0</v>
      </c>
      <c r="D18" s="776">
        <f>IF(Select2=1,Paper!$K20,"")</f>
        <v>0</v>
      </c>
      <c r="E18" s="770">
        <f>IF(Select2=1,Nappies!$K20,"")</f>
        <v>0</v>
      </c>
      <c r="F18" s="776">
        <f>IF(Select2=1,Garden!$K20,"")</f>
        <v>0</v>
      </c>
      <c r="G18" s="770">
        <f>IF(Select2=1,Wood!$K20,"")</f>
        <v>0</v>
      </c>
      <c r="H18" s="776">
        <f>IF(Select2=1,Textiles!$K20,"")</f>
        <v>0</v>
      </c>
      <c r="I18" s="777">
        <f>Sludge!K20</f>
        <v>0</v>
      </c>
      <c r="J18" s="777" t="str">
        <f>IF(Select2=2,MSW!$K20,"")</f>
        <v/>
      </c>
      <c r="K18" s="777">
        <f>Industry!$K20</f>
        <v>0</v>
      </c>
      <c r="L18" s="778">
        <f>SUM(C18:K18)</f>
        <v>0</v>
      </c>
      <c r="M18" s="779">
        <f>Recovery_OX!C13</f>
        <v>0</v>
      </c>
      <c r="N18" s="426"/>
      <c r="O18" s="659">
        <f>(L18-M18)*(1-Recovery_OX!F13)</f>
        <v>0</v>
      </c>
      <c r="P18" s="148"/>
      <c r="Q18" s="455"/>
      <c r="S18" s="313">
        <f t="shared" ref="S18:S81" si="2">S17+1</f>
        <v>2001</v>
      </c>
      <c r="T18" s="310">
        <f>IF(Select2=1,Food!$W20,"")</f>
        <v>0</v>
      </c>
      <c r="U18" s="301">
        <f>IF(Select2=1,Paper!$W20,"")</f>
        <v>0</v>
      </c>
      <c r="V18" s="297">
        <f>IF(Select2=1,Nappies!$W20,"")</f>
        <v>0</v>
      </c>
      <c r="W18" s="301">
        <f>IF(Select2=1,Garden!$W20,"")</f>
        <v>0</v>
      </c>
      <c r="X18" s="297">
        <f>IF(Select2=1,Wood!$W20,"")</f>
        <v>0</v>
      </c>
      <c r="Y18" s="301">
        <f>IF(Select2=1,Textiles!$W20,"")</f>
        <v>0</v>
      </c>
      <c r="Z18" s="299">
        <f>Sludge!W20</f>
        <v>0</v>
      </c>
      <c r="AA18" s="299" t="str">
        <f>IF(Select2=2,MSW!$W20,"")</f>
        <v/>
      </c>
      <c r="AB18" s="302">
        <f>Industry!$W20</f>
        <v>0</v>
      </c>
      <c r="AC18" s="335">
        <f t="shared" si="0"/>
        <v>0</v>
      </c>
      <c r="AD18" s="303">
        <f>Recovery_OX!R13</f>
        <v>0</v>
      </c>
      <c r="AE18" s="426"/>
      <c r="AF18" s="240">
        <f>(AC18-AD18)*(1-Recovery_OX!U13)</f>
        <v>0</v>
      </c>
    </row>
    <row r="19" spans="2:32">
      <c r="B19" s="313">
        <f t="shared" si="1"/>
        <v>2002</v>
      </c>
      <c r="C19" s="775">
        <f>IF(Select2=1,Food!$K21,"")</f>
        <v>0</v>
      </c>
      <c r="D19" s="776">
        <f>IF(Select2=1,Paper!$K21,"")</f>
        <v>0</v>
      </c>
      <c r="E19" s="770">
        <f>IF(Select2=1,Nappies!$K21,"")</f>
        <v>0</v>
      </c>
      <c r="F19" s="776">
        <f>IF(Select2=1,Garden!$K21,"")</f>
        <v>0</v>
      </c>
      <c r="G19" s="770">
        <f>IF(Select2=1,Wood!$K21,"")</f>
        <v>0</v>
      </c>
      <c r="H19" s="776">
        <f>IF(Select2=1,Textiles!$K21,"")</f>
        <v>0</v>
      </c>
      <c r="I19" s="777">
        <f>Sludge!K21</f>
        <v>0</v>
      </c>
      <c r="J19" s="777" t="str">
        <f>IF(Select2=2,MSW!$K21,"")</f>
        <v/>
      </c>
      <c r="K19" s="777">
        <f>Industry!$K21</f>
        <v>0</v>
      </c>
      <c r="L19" s="778">
        <f t="shared" ref="L19:L82" si="3">SUM(C19:K19)</f>
        <v>0</v>
      </c>
      <c r="M19" s="779">
        <f>Recovery_OX!C14</f>
        <v>0</v>
      </c>
      <c r="N19" s="426"/>
      <c r="O19" s="659">
        <f>(L19-M19)*(1-Recovery_OX!F14)</f>
        <v>0</v>
      </c>
      <c r="P19" s="148"/>
      <c r="Q19" s="455"/>
      <c r="S19" s="313">
        <f t="shared" si="2"/>
        <v>2002</v>
      </c>
      <c r="T19" s="310">
        <f>IF(Select2=1,Food!$W21,"")</f>
        <v>0</v>
      </c>
      <c r="U19" s="301">
        <f>IF(Select2=1,Paper!$W21,"")</f>
        <v>0</v>
      </c>
      <c r="V19" s="297">
        <f>IF(Select2=1,Nappies!$W21,"")</f>
        <v>0</v>
      </c>
      <c r="W19" s="301">
        <f>IF(Select2=1,Garden!$W21,"")</f>
        <v>0</v>
      </c>
      <c r="X19" s="297">
        <f>IF(Select2=1,Wood!$W21,"")</f>
        <v>0</v>
      </c>
      <c r="Y19" s="301">
        <f>IF(Select2=1,Textiles!$W21,"")</f>
        <v>0</v>
      </c>
      <c r="Z19" s="299">
        <f>Sludge!W21</f>
        <v>0</v>
      </c>
      <c r="AA19" s="299" t="str">
        <f>IF(Select2=2,MSW!$W21,"")</f>
        <v/>
      </c>
      <c r="AB19" s="302">
        <f>Industry!$W21</f>
        <v>0</v>
      </c>
      <c r="AC19" s="335">
        <f t="shared" si="0"/>
        <v>0</v>
      </c>
      <c r="AD19" s="303">
        <f>Recovery_OX!R14</f>
        <v>0</v>
      </c>
      <c r="AE19" s="426"/>
      <c r="AF19" s="240">
        <f>(AC19-AD19)*(1-Recovery_OX!U14)</f>
        <v>0</v>
      </c>
    </row>
    <row r="20" spans="2:32">
      <c r="B20" s="313">
        <f t="shared" si="1"/>
        <v>2003</v>
      </c>
      <c r="C20" s="775">
        <f>IF(Select2=1,Food!$K22,"")</f>
        <v>0</v>
      </c>
      <c r="D20" s="776">
        <f>IF(Select2=1,Paper!$K22,"")</f>
        <v>0</v>
      </c>
      <c r="E20" s="770">
        <f>IF(Select2=1,Nappies!$K22,"")</f>
        <v>0</v>
      </c>
      <c r="F20" s="776">
        <f>IF(Select2=1,Garden!$K22,"")</f>
        <v>0</v>
      </c>
      <c r="G20" s="770">
        <f>IF(Select2=1,Wood!$K22,"")</f>
        <v>0</v>
      </c>
      <c r="H20" s="776">
        <f>IF(Select2=1,Textiles!$K22,"")</f>
        <v>0</v>
      </c>
      <c r="I20" s="777">
        <f>Sludge!K22</f>
        <v>0</v>
      </c>
      <c r="J20" s="777" t="str">
        <f>IF(Select2=2,MSW!$K22,"")</f>
        <v/>
      </c>
      <c r="K20" s="777">
        <f>Industry!$K22</f>
        <v>0</v>
      </c>
      <c r="L20" s="778">
        <f t="shared" si="3"/>
        <v>0</v>
      </c>
      <c r="M20" s="779">
        <f>Recovery_OX!C15</f>
        <v>0</v>
      </c>
      <c r="N20" s="426"/>
      <c r="O20" s="659">
        <f>(L20-M20)*(1-Recovery_OX!F15)</f>
        <v>0</v>
      </c>
      <c r="P20" s="148"/>
      <c r="Q20" s="455"/>
      <c r="S20" s="313">
        <f t="shared" si="2"/>
        <v>2003</v>
      </c>
      <c r="T20" s="310">
        <f>IF(Select2=1,Food!$W22,"")</f>
        <v>0</v>
      </c>
      <c r="U20" s="301">
        <f>IF(Select2=1,Paper!$W22,"")</f>
        <v>0</v>
      </c>
      <c r="V20" s="297">
        <f>IF(Select2=1,Nappies!$W22,"")</f>
        <v>0</v>
      </c>
      <c r="W20" s="301">
        <f>IF(Select2=1,Garden!$W22,"")</f>
        <v>0</v>
      </c>
      <c r="X20" s="297">
        <f>IF(Select2=1,Wood!$W22,"")</f>
        <v>0</v>
      </c>
      <c r="Y20" s="301">
        <f>IF(Select2=1,Textiles!$W22,"")</f>
        <v>0</v>
      </c>
      <c r="Z20" s="299">
        <f>Sludge!W22</f>
        <v>0</v>
      </c>
      <c r="AA20" s="299" t="str">
        <f>IF(Select2=2,MSW!$W22,"")</f>
        <v/>
      </c>
      <c r="AB20" s="302">
        <f>Industry!$W22</f>
        <v>0</v>
      </c>
      <c r="AC20" s="335">
        <f t="shared" si="0"/>
        <v>0</v>
      </c>
      <c r="AD20" s="303">
        <f>Recovery_OX!R15</f>
        <v>0</v>
      </c>
      <c r="AE20" s="426"/>
      <c r="AF20" s="240">
        <f>(AC20-AD20)*(1-Recovery_OX!U15)</f>
        <v>0</v>
      </c>
    </row>
    <row r="21" spans="2:32">
      <c r="B21" s="313">
        <f t="shared" si="1"/>
        <v>2004</v>
      </c>
      <c r="C21" s="775">
        <f>IF(Select2=1,Food!$K23,"")</f>
        <v>0</v>
      </c>
      <c r="D21" s="776">
        <f>IF(Select2=1,Paper!$K23,"")</f>
        <v>0</v>
      </c>
      <c r="E21" s="770">
        <f>IF(Select2=1,Nappies!$K23,"")</f>
        <v>0</v>
      </c>
      <c r="F21" s="776">
        <f>IF(Select2=1,Garden!$K23,"")</f>
        <v>0</v>
      </c>
      <c r="G21" s="770">
        <f>IF(Select2=1,Wood!$K23,"")</f>
        <v>0</v>
      </c>
      <c r="H21" s="776">
        <f>IF(Select2=1,Textiles!$K23,"")</f>
        <v>0</v>
      </c>
      <c r="I21" s="777">
        <f>Sludge!K23</f>
        <v>0</v>
      </c>
      <c r="J21" s="777" t="str">
        <f>IF(Select2=2,MSW!$K23,"")</f>
        <v/>
      </c>
      <c r="K21" s="777">
        <f>Industry!$K23</f>
        <v>0</v>
      </c>
      <c r="L21" s="778">
        <f t="shared" si="3"/>
        <v>0</v>
      </c>
      <c r="M21" s="779">
        <f>Recovery_OX!C16</f>
        <v>0</v>
      </c>
      <c r="N21" s="426"/>
      <c r="O21" s="659">
        <f>(L21-M21)*(1-Recovery_OX!F16)</f>
        <v>0</v>
      </c>
      <c r="P21" s="148"/>
      <c r="Q21" s="455"/>
      <c r="S21" s="313">
        <f t="shared" si="2"/>
        <v>2004</v>
      </c>
      <c r="T21" s="310">
        <f>IF(Select2=1,Food!$W23,"")</f>
        <v>0</v>
      </c>
      <c r="U21" s="301">
        <f>IF(Select2=1,Paper!$W23,"")</f>
        <v>0</v>
      </c>
      <c r="V21" s="297">
        <f>IF(Select2=1,Nappies!$W23,"")</f>
        <v>0</v>
      </c>
      <c r="W21" s="301">
        <f>IF(Select2=1,Garden!$W23,"")</f>
        <v>0</v>
      </c>
      <c r="X21" s="297">
        <f>IF(Select2=1,Wood!$W23,"")</f>
        <v>0</v>
      </c>
      <c r="Y21" s="301">
        <f>IF(Select2=1,Textiles!$W23,"")</f>
        <v>0</v>
      </c>
      <c r="Z21" s="299">
        <f>Sludge!W23</f>
        <v>0</v>
      </c>
      <c r="AA21" s="299" t="str">
        <f>IF(Select2=2,MSW!$W23,"")</f>
        <v/>
      </c>
      <c r="AB21" s="302">
        <f>Industry!$W23</f>
        <v>0</v>
      </c>
      <c r="AC21" s="335">
        <f t="shared" si="0"/>
        <v>0</v>
      </c>
      <c r="AD21" s="303">
        <f>Recovery_OX!R16</f>
        <v>0</v>
      </c>
      <c r="AE21" s="426"/>
      <c r="AF21" s="240">
        <f>(AC21-AD21)*(1-Recovery_OX!U16)</f>
        <v>0</v>
      </c>
    </row>
    <row r="22" spans="2:32">
      <c r="B22" s="313">
        <f t="shared" si="1"/>
        <v>2005</v>
      </c>
      <c r="C22" s="775">
        <f>IF(Select2=1,Food!$K24,"")</f>
        <v>0</v>
      </c>
      <c r="D22" s="776">
        <f>IF(Select2=1,Paper!$K24,"")</f>
        <v>0</v>
      </c>
      <c r="E22" s="770">
        <f>IF(Select2=1,Nappies!$K24,"")</f>
        <v>0</v>
      </c>
      <c r="F22" s="776">
        <f>IF(Select2=1,Garden!$K24,"")</f>
        <v>0</v>
      </c>
      <c r="G22" s="770">
        <f>IF(Select2=1,Wood!$K24,"")</f>
        <v>0</v>
      </c>
      <c r="H22" s="776">
        <f>IF(Select2=1,Textiles!$K24,"")</f>
        <v>0</v>
      </c>
      <c r="I22" s="777">
        <f>Sludge!K24</f>
        <v>0</v>
      </c>
      <c r="J22" s="777" t="str">
        <f>IF(Select2=2,MSW!$K24,"")</f>
        <v/>
      </c>
      <c r="K22" s="777">
        <f>Industry!$K24</f>
        <v>0</v>
      </c>
      <c r="L22" s="778">
        <f t="shared" si="3"/>
        <v>0</v>
      </c>
      <c r="M22" s="779">
        <f>Recovery_OX!C17</f>
        <v>0</v>
      </c>
      <c r="N22" s="426"/>
      <c r="O22" s="659">
        <f>(L22-M22)*(1-Recovery_OX!F17)</f>
        <v>0</v>
      </c>
      <c r="P22" s="148"/>
      <c r="Q22" s="455"/>
      <c r="S22" s="313">
        <f t="shared" si="2"/>
        <v>2005</v>
      </c>
      <c r="T22" s="310">
        <f>IF(Select2=1,Food!$W24,"")</f>
        <v>0</v>
      </c>
      <c r="U22" s="301">
        <f>IF(Select2=1,Paper!$W24,"")</f>
        <v>0</v>
      </c>
      <c r="V22" s="297">
        <f>IF(Select2=1,Nappies!$W24,"")</f>
        <v>0</v>
      </c>
      <c r="W22" s="301">
        <f>IF(Select2=1,Garden!$W24,"")</f>
        <v>0</v>
      </c>
      <c r="X22" s="297">
        <f>IF(Select2=1,Wood!$W24,"")</f>
        <v>0</v>
      </c>
      <c r="Y22" s="301">
        <f>IF(Select2=1,Textiles!$W24,"")</f>
        <v>0</v>
      </c>
      <c r="Z22" s="299">
        <f>Sludge!W24</f>
        <v>0</v>
      </c>
      <c r="AA22" s="299" t="str">
        <f>IF(Select2=2,MSW!$W24,"")</f>
        <v/>
      </c>
      <c r="AB22" s="302">
        <f>Industry!$W24</f>
        <v>0</v>
      </c>
      <c r="AC22" s="335">
        <f t="shared" si="0"/>
        <v>0</v>
      </c>
      <c r="AD22" s="303">
        <f>Recovery_OX!R17</f>
        <v>0</v>
      </c>
      <c r="AE22" s="426"/>
      <c r="AF22" s="240">
        <f>(AC22-AD22)*(1-Recovery_OX!U17)</f>
        <v>0</v>
      </c>
    </row>
    <row r="23" spans="2:32">
      <c r="B23" s="313">
        <f t="shared" si="1"/>
        <v>2006</v>
      </c>
      <c r="C23" s="775">
        <f>IF(Select2=1,Food!$K25,"")</f>
        <v>0</v>
      </c>
      <c r="D23" s="776">
        <f>IF(Select2=1,Paper!$K25,"")</f>
        <v>0</v>
      </c>
      <c r="E23" s="770">
        <f>IF(Select2=1,Nappies!$K25,"")</f>
        <v>0</v>
      </c>
      <c r="F23" s="776">
        <f>IF(Select2=1,Garden!$K25,"")</f>
        <v>0</v>
      </c>
      <c r="G23" s="770">
        <f>IF(Select2=1,Wood!$K25,"")</f>
        <v>0</v>
      </c>
      <c r="H23" s="776">
        <f>IF(Select2=1,Textiles!$K25,"")</f>
        <v>0</v>
      </c>
      <c r="I23" s="777">
        <f>Sludge!K25</f>
        <v>0</v>
      </c>
      <c r="J23" s="777" t="str">
        <f>IF(Select2=2,MSW!$K25,"")</f>
        <v/>
      </c>
      <c r="K23" s="777">
        <f>Industry!$K25</f>
        <v>0</v>
      </c>
      <c r="L23" s="778">
        <f t="shared" si="3"/>
        <v>0</v>
      </c>
      <c r="M23" s="779">
        <f>Recovery_OX!C18</f>
        <v>0</v>
      </c>
      <c r="N23" s="426"/>
      <c r="O23" s="659">
        <f>(L23-M23)*(1-Recovery_OX!F18)</f>
        <v>0</v>
      </c>
      <c r="P23" s="148"/>
      <c r="Q23" s="455"/>
      <c r="S23" s="313">
        <f t="shared" si="2"/>
        <v>2006</v>
      </c>
      <c r="T23" s="310">
        <f>IF(Select2=1,Food!$W25,"")</f>
        <v>0</v>
      </c>
      <c r="U23" s="301">
        <f>IF(Select2=1,Paper!$W25,"")</f>
        <v>0</v>
      </c>
      <c r="V23" s="297">
        <f>IF(Select2=1,Nappies!$W25,"")</f>
        <v>0</v>
      </c>
      <c r="W23" s="301">
        <f>IF(Select2=1,Garden!$W25,"")</f>
        <v>0</v>
      </c>
      <c r="X23" s="297">
        <f>IF(Select2=1,Wood!$W25,"")</f>
        <v>0</v>
      </c>
      <c r="Y23" s="301">
        <f>IF(Select2=1,Textiles!$W25,"")</f>
        <v>0</v>
      </c>
      <c r="Z23" s="299">
        <f>Sludge!W25</f>
        <v>0</v>
      </c>
      <c r="AA23" s="299" t="str">
        <f>IF(Select2=2,MSW!$W25,"")</f>
        <v/>
      </c>
      <c r="AB23" s="302">
        <f>Industry!$W25</f>
        <v>0</v>
      </c>
      <c r="AC23" s="335">
        <f t="shared" si="0"/>
        <v>0</v>
      </c>
      <c r="AD23" s="303">
        <f>Recovery_OX!R18</f>
        <v>0</v>
      </c>
      <c r="AE23" s="426"/>
      <c r="AF23" s="240">
        <f>(AC23-AD23)*(1-Recovery_OX!U18)</f>
        <v>0</v>
      </c>
    </row>
    <row r="24" spans="2:32">
      <c r="B24" s="313">
        <f t="shared" si="1"/>
        <v>2007</v>
      </c>
      <c r="C24" s="775">
        <f>IF(Select2=1,Food!$K26,"")</f>
        <v>0</v>
      </c>
      <c r="D24" s="776">
        <f>IF(Select2=1,Paper!$K26,"")</f>
        <v>0</v>
      </c>
      <c r="E24" s="770">
        <f>IF(Select2=1,Nappies!$K26,"")</f>
        <v>0</v>
      </c>
      <c r="F24" s="776">
        <f>IF(Select2=1,Garden!$K26,"")</f>
        <v>0</v>
      </c>
      <c r="G24" s="770">
        <f>IF(Select2=1,Wood!$K26,"")</f>
        <v>0</v>
      </c>
      <c r="H24" s="776">
        <f>IF(Select2=1,Textiles!$K26,"")</f>
        <v>0</v>
      </c>
      <c r="I24" s="777">
        <f>Sludge!K26</f>
        <v>0</v>
      </c>
      <c r="J24" s="777" t="str">
        <f>IF(Select2=2,MSW!$K26,"")</f>
        <v/>
      </c>
      <c r="K24" s="777">
        <f>Industry!$K26</f>
        <v>0</v>
      </c>
      <c r="L24" s="778">
        <f t="shared" si="3"/>
        <v>0</v>
      </c>
      <c r="M24" s="779">
        <f>Recovery_OX!C19</f>
        <v>0</v>
      </c>
      <c r="N24" s="426"/>
      <c r="O24" s="659">
        <f>(L24-M24)*(1-Recovery_OX!F19)</f>
        <v>0</v>
      </c>
      <c r="P24" s="148"/>
      <c r="Q24" s="455"/>
      <c r="S24" s="313">
        <f t="shared" si="2"/>
        <v>2007</v>
      </c>
      <c r="T24" s="310">
        <f>IF(Select2=1,Food!$W26,"")</f>
        <v>0</v>
      </c>
      <c r="U24" s="301">
        <f>IF(Select2=1,Paper!$W26,"")</f>
        <v>0</v>
      </c>
      <c r="V24" s="297">
        <f>IF(Select2=1,Nappies!$W26,"")</f>
        <v>0</v>
      </c>
      <c r="W24" s="301">
        <f>IF(Select2=1,Garden!$W26,"")</f>
        <v>0</v>
      </c>
      <c r="X24" s="297">
        <f>IF(Select2=1,Wood!$W26,"")</f>
        <v>0</v>
      </c>
      <c r="Y24" s="301">
        <f>IF(Select2=1,Textiles!$W26,"")</f>
        <v>0</v>
      </c>
      <c r="Z24" s="299">
        <f>Sludge!W26</f>
        <v>0</v>
      </c>
      <c r="AA24" s="299" t="str">
        <f>IF(Select2=2,MSW!$W26,"")</f>
        <v/>
      </c>
      <c r="AB24" s="302">
        <f>Industry!$W26</f>
        <v>0</v>
      </c>
      <c r="AC24" s="335">
        <f t="shared" si="0"/>
        <v>0</v>
      </c>
      <c r="AD24" s="303">
        <f>Recovery_OX!R19</f>
        <v>0</v>
      </c>
      <c r="AE24" s="426"/>
      <c r="AF24" s="240">
        <f>(AC24-AD24)*(1-Recovery_OX!U19)</f>
        <v>0</v>
      </c>
    </row>
    <row r="25" spans="2:32">
      <c r="B25" s="313">
        <f t="shared" si="1"/>
        <v>2008</v>
      </c>
      <c r="C25" s="775">
        <f>IF(Select2=1,Food!$K27,"")</f>
        <v>0</v>
      </c>
      <c r="D25" s="776">
        <f>IF(Select2=1,Paper!$K27,"")</f>
        <v>0</v>
      </c>
      <c r="E25" s="770">
        <f>IF(Select2=1,Nappies!$K27,"")</f>
        <v>0</v>
      </c>
      <c r="F25" s="776">
        <f>IF(Select2=1,Garden!$K27,"")</f>
        <v>0</v>
      </c>
      <c r="G25" s="770">
        <f>IF(Select2=1,Wood!$K27,"")</f>
        <v>0</v>
      </c>
      <c r="H25" s="776">
        <f>IF(Select2=1,Textiles!$K27,"")</f>
        <v>0</v>
      </c>
      <c r="I25" s="777">
        <f>Sludge!K27</f>
        <v>0</v>
      </c>
      <c r="J25" s="777" t="str">
        <f>IF(Select2=2,MSW!$K27,"")</f>
        <v/>
      </c>
      <c r="K25" s="777">
        <f>Industry!$K27</f>
        <v>0</v>
      </c>
      <c r="L25" s="778">
        <f t="shared" si="3"/>
        <v>0</v>
      </c>
      <c r="M25" s="779">
        <f>Recovery_OX!C20</f>
        <v>0</v>
      </c>
      <c r="N25" s="426"/>
      <c r="O25" s="659">
        <f>(L25-M25)*(1-Recovery_OX!F20)</f>
        <v>0</v>
      </c>
      <c r="P25" s="148"/>
      <c r="Q25" s="455"/>
      <c r="S25" s="313">
        <f t="shared" si="2"/>
        <v>2008</v>
      </c>
      <c r="T25" s="310">
        <f>IF(Select2=1,Food!$W27,"")</f>
        <v>0</v>
      </c>
      <c r="U25" s="301">
        <f>IF(Select2=1,Paper!$W27,"")</f>
        <v>0</v>
      </c>
      <c r="V25" s="297">
        <f>IF(Select2=1,Nappies!$W27,"")</f>
        <v>0</v>
      </c>
      <c r="W25" s="301">
        <f>IF(Select2=1,Garden!$W27,"")</f>
        <v>0</v>
      </c>
      <c r="X25" s="297">
        <f>IF(Select2=1,Wood!$W27,"")</f>
        <v>0</v>
      </c>
      <c r="Y25" s="301">
        <f>IF(Select2=1,Textiles!$W27,"")</f>
        <v>0</v>
      </c>
      <c r="Z25" s="299">
        <f>Sludge!W27</f>
        <v>0</v>
      </c>
      <c r="AA25" s="299" t="str">
        <f>IF(Select2=2,MSW!$W27,"")</f>
        <v/>
      </c>
      <c r="AB25" s="302">
        <f>Industry!$W27</f>
        <v>0</v>
      </c>
      <c r="AC25" s="335">
        <f t="shared" si="0"/>
        <v>0</v>
      </c>
      <c r="AD25" s="303">
        <f>Recovery_OX!R20</f>
        <v>0</v>
      </c>
      <c r="AE25" s="426"/>
      <c r="AF25" s="240">
        <f>(AC25-AD25)*(1-Recovery_OX!U20)</f>
        <v>0</v>
      </c>
    </row>
    <row r="26" spans="2:32">
      <c r="B26" s="313">
        <f t="shared" si="1"/>
        <v>2009</v>
      </c>
      <c r="C26" s="775">
        <f>IF(Select2=1,Food!$K28,"")</f>
        <v>0</v>
      </c>
      <c r="D26" s="776">
        <f>IF(Select2=1,Paper!$K28,"")</f>
        <v>0</v>
      </c>
      <c r="E26" s="770">
        <f>IF(Select2=1,Nappies!$K28,"")</f>
        <v>0</v>
      </c>
      <c r="F26" s="776">
        <f>IF(Select2=1,Garden!$K28,"")</f>
        <v>0</v>
      </c>
      <c r="G26" s="770">
        <f>IF(Select2=1,Wood!$K28,"")</f>
        <v>0</v>
      </c>
      <c r="H26" s="776">
        <f>IF(Select2=1,Textiles!$K28,"")</f>
        <v>0</v>
      </c>
      <c r="I26" s="777">
        <f>Sludge!K28</f>
        <v>0</v>
      </c>
      <c r="J26" s="777" t="str">
        <f>IF(Select2=2,MSW!$K28,"")</f>
        <v/>
      </c>
      <c r="K26" s="777">
        <f>Industry!$K28</f>
        <v>0</v>
      </c>
      <c r="L26" s="778">
        <f t="shared" si="3"/>
        <v>0</v>
      </c>
      <c r="M26" s="779">
        <f>Recovery_OX!C21</f>
        <v>0</v>
      </c>
      <c r="N26" s="426"/>
      <c r="O26" s="659">
        <f>(L26-M26)*(1-Recovery_OX!F21)</f>
        <v>0</v>
      </c>
      <c r="P26" s="148"/>
      <c r="Q26" s="455"/>
      <c r="S26" s="313">
        <f t="shared" si="2"/>
        <v>2009</v>
      </c>
      <c r="T26" s="310">
        <f>IF(Select2=1,Food!$W28,"")</f>
        <v>0</v>
      </c>
      <c r="U26" s="301">
        <f>IF(Select2=1,Paper!$W28,"")</f>
        <v>0</v>
      </c>
      <c r="V26" s="297">
        <f>IF(Select2=1,Nappies!$W28,"")</f>
        <v>0</v>
      </c>
      <c r="W26" s="301">
        <f>IF(Select2=1,Garden!$W28,"")</f>
        <v>0</v>
      </c>
      <c r="X26" s="297">
        <f>IF(Select2=1,Wood!$W28,"")</f>
        <v>0</v>
      </c>
      <c r="Y26" s="301">
        <f>IF(Select2=1,Textiles!$W28,"")</f>
        <v>0</v>
      </c>
      <c r="Z26" s="299">
        <f>Sludge!W28</f>
        <v>0</v>
      </c>
      <c r="AA26" s="299" t="str">
        <f>IF(Select2=2,MSW!$W28,"")</f>
        <v/>
      </c>
      <c r="AB26" s="302">
        <f>Industry!$W28</f>
        <v>0</v>
      </c>
      <c r="AC26" s="335">
        <f t="shared" si="0"/>
        <v>0</v>
      </c>
      <c r="AD26" s="303">
        <f>Recovery_OX!R21</f>
        <v>0</v>
      </c>
      <c r="AE26" s="426"/>
      <c r="AF26" s="240">
        <f>(AC26-AD26)*(1-Recovery_OX!U21)</f>
        <v>0</v>
      </c>
    </row>
    <row r="27" spans="2:32">
      <c r="B27" s="313">
        <f t="shared" si="1"/>
        <v>2010</v>
      </c>
      <c r="C27" s="775">
        <f>IF(Select2=1,Food!$K29,"")</f>
        <v>0</v>
      </c>
      <c r="D27" s="776">
        <f>IF(Select2=1,Paper!$K29,"")</f>
        <v>0</v>
      </c>
      <c r="E27" s="770">
        <f>IF(Select2=1,Nappies!$K29,"")</f>
        <v>0</v>
      </c>
      <c r="F27" s="776">
        <f>IF(Select2=1,Garden!$K29,"")</f>
        <v>0</v>
      </c>
      <c r="G27" s="770">
        <f>IF(Select2=1,Wood!$K29,"")</f>
        <v>0</v>
      </c>
      <c r="H27" s="776">
        <f>IF(Select2=1,Textiles!$K29,"")</f>
        <v>0</v>
      </c>
      <c r="I27" s="777">
        <f>Sludge!K29</f>
        <v>0</v>
      </c>
      <c r="J27" s="777" t="str">
        <f>IF(Select2=2,MSW!$K29,"")</f>
        <v/>
      </c>
      <c r="K27" s="777">
        <f>Industry!$K29</f>
        <v>0</v>
      </c>
      <c r="L27" s="778">
        <f t="shared" si="3"/>
        <v>0</v>
      </c>
      <c r="M27" s="779">
        <f>Recovery_OX!C22</f>
        <v>0</v>
      </c>
      <c r="N27" s="426"/>
      <c r="O27" s="659">
        <f>(L27-M27)*(1-Recovery_OX!F22)</f>
        <v>0</v>
      </c>
      <c r="P27" s="148"/>
      <c r="Q27" s="455"/>
      <c r="S27" s="313">
        <f t="shared" si="2"/>
        <v>2010</v>
      </c>
      <c r="T27" s="310">
        <f>IF(Select2=1,Food!$W29,"")</f>
        <v>0</v>
      </c>
      <c r="U27" s="301">
        <f>IF(Select2=1,Paper!$W29,"")</f>
        <v>0</v>
      </c>
      <c r="V27" s="297">
        <f>IF(Select2=1,Nappies!$W29,"")</f>
        <v>0</v>
      </c>
      <c r="W27" s="301">
        <f>IF(Select2=1,Garden!$W29,"")</f>
        <v>0</v>
      </c>
      <c r="X27" s="297">
        <f>IF(Select2=1,Wood!$W29,"")</f>
        <v>0</v>
      </c>
      <c r="Y27" s="301">
        <f>IF(Select2=1,Textiles!$W29,"")</f>
        <v>0</v>
      </c>
      <c r="Z27" s="299">
        <f>Sludge!W29</f>
        <v>0</v>
      </c>
      <c r="AA27" s="299" t="str">
        <f>IF(Select2=2,MSW!$W29,"")</f>
        <v/>
      </c>
      <c r="AB27" s="302">
        <f>Industry!$W29</f>
        <v>0</v>
      </c>
      <c r="AC27" s="335">
        <f t="shared" si="0"/>
        <v>0</v>
      </c>
      <c r="AD27" s="303">
        <f>Recovery_OX!R22</f>
        <v>0</v>
      </c>
      <c r="AE27" s="426"/>
      <c r="AF27" s="240">
        <f>(AC27-AD27)*(1-Recovery_OX!U22)</f>
        <v>0</v>
      </c>
    </row>
    <row r="28" spans="2:32">
      <c r="B28" s="313">
        <f t="shared" si="1"/>
        <v>2011</v>
      </c>
      <c r="C28" s="775">
        <f>IF(Select2=1,Food!$K30,"")</f>
        <v>0</v>
      </c>
      <c r="D28" s="776">
        <f>IF(Select2=1,Paper!$K30,"")</f>
        <v>0</v>
      </c>
      <c r="E28" s="770">
        <f>IF(Select2=1,Nappies!$K30,"")</f>
        <v>0</v>
      </c>
      <c r="F28" s="776">
        <f>IF(Select2=1,Garden!$K30,"")</f>
        <v>0</v>
      </c>
      <c r="G28" s="770">
        <f>IF(Select2=1,Wood!$K30,"")</f>
        <v>0</v>
      </c>
      <c r="H28" s="776">
        <f>IF(Select2=1,Textiles!$K30,"")</f>
        <v>0</v>
      </c>
      <c r="I28" s="777">
        <f>Sludge!K30</f>
        <v>0</v>
      </c>
      <c r="J28" s="777" t="str">
        <f>IF(Select2=2,MSW!$K30,"")</f>
        <v/>
      </c>
      <c r="K28" s="777">
        <f>Industry!$K30</f>
        <v>0</v>
      </c>
      <c r="L28" s="778">
        <f t="shared" si="3"/>
        <v>0</v>
      </c>
      <c r="M28" s="779">
        <f>Recovery_OX!C23</f>
        <v>0</v>
      </c>
      <c r="N28" s="426"/>
      <c r="O28" s="659">
        <f>(L28-M28)*(1-Recovery_OX!F23)</f>
        <v>0</v>
      </c>
      <c r="P28" s="148"/>
      <c r="Q28" s="455"/>
      <c r="S28" s="313">
        <f t="shared" si="2"/>
        <v>2011</v>
      </c>
      <c r="T28" s="310">
        <f>IF(Select2=1,Food!$W30,"")</f>
        <v>0</v>
      </c>
      <c r="U28" s="301">
        <f>IF(Select2=1,Paper!$W30,"")</f>
        <v>0</v>
      </c>
      <c r="V28" s="297">
        <f>IF(Select2=1,Nappies!$W30,"")</f>
        <v>0</v>
      </c>
      <c r="W28" s="301">
        <f>IF(Select2=1,Garden!$W30,"")</f>
        <v>0</v>
      </c>
      <c r="X28" s="297">
        <f>IF(Select2=1,Wood!$W30,"")</f>
        <v>0</v>
      </c>
      <c r="Y28" s="301">
        <f>IF(Select2=1,Textiles!$W30,"")</f>
        <v>0</v>
      </c>
      <c r="Z28" s="299">
        <f>Sludge!W30</f>
        <v>0</v>
      </c>
      <c r="AA28" s="299" t="str">
        <f>IF(Select2=2,MSW!$W30,"")</f>
        <v/>
      </c>
      <c r="AB28" s="302">
        <f>Industry!$W30</f>
        <v>0</v>
      </c>
      <c r="AC28" s="335">
        <f t="shared" si="0"/>
        <v>0</v>
      </c>
      <c r="AD28" s="303">
        <f>Recovery_OX!R23</f>
        <v>0</v>
      </c>
      <c r="AE28" s="426"/>
      <c r="AF28" s="240">
        <f>(AC28-AD28)*(1-Recovery_OX!U23)</f>
        <v>0</v>
      </c>
    </row>
    <row r="29" spans="2:32">
      <c r="B29" s="313">
        <f t="shared" si="1"/>
        <v>2012</v>
      </c>
      <c r="C29" s="775">
        <f>IF(Select2=1,Food!$K31,"")</f>
        <v>0</v>
      </c>
      <c r="D29" s="776">
        <f>IF(Select2=1,Paper!$K31,"")</f>
        <v>0</v>
      </c>
      <c r="E29" s="770">
        <f>IF(Select2=1,Nappies!$K31,"")</f>
        <v>0</v>
      </c>
      <c r="F29" s="776">
        <f>IF(Select2=1,Garden!$K31,"")</f>
        <v>0</v>
      </c>
      <c r="G29" s="770">
        <f>IF(Select2=1,Wood!$K31,"")</f>
        <v>0</v>
      </c>
      <c r="H29" s="776">
        <f>IF(Select2=1,Textiles!$K31,"")</f>
        <v>0</v>
      </c>
      <c r="I29" s="777">
        <f>Sludge!K31</f>
        <v>0</v>
      </c>
      <c r="J29" s="777" t="str">
        <f>IF(Select2=2,MSW!$K31,"")</f>
        <v/>
      </c>
      <c r="K29" s="777">
        <f>Industry!$K31</f>
        <v>0</v>
      </c>
      <c r="L29" s="778">
        <f>SUM(C29:K29)</f>
        <v>0</v>
      </c>
      <c r="M29" s="779">
        <f>Recovery_OX!C24</f>
        <v>0</v>
      </c>
      <c r="N29" s="426"/>
      <c r="O29" s="659">
        <f>(L29-M29)*(1-Recovery_OX!F24)</f>
        <v>0</v>
      </c>
      <c r="P29" s="148"/>
      <c r="Q29" s="455"/>
      <c r="S29" s="313">
        <f t="shared" si="2"/>
        <v>2012</v>
      </c>
      <c r="T29" s="310">
        <f>IF(Select2=1,Food!$W31,"")</f>
        <v>0</v>
      </c>
      <c r="U29" s="301">
        <f>IF(Select2=1,Paper!$W31,"")</f>
        <v>0</v>
      </c>
      <c r="V29" s="297">
        <f>IF(Select2=1,Nappies!$W31,"")</f>
        <v>0</v>
      </c>
      <c r="W29" s="301">
        <f>IF(Select2=1,Garden!$W31,"")</f>
        <v>0</v>
      </c>
      <c r="X29" s="297">
        <f>IF(Select2=1,Wood!$W31,"")</f>
        <v>0</v>
      </c>
      <c r="Y29" s="301">
        <f>IF(Select2=1,Textiles!$W31,"")</f>
        <v>0</v>
      </c>
      <c r="Z29" s="299">
        <f>Sludge!W31</f>
        <v>0</v>
      </c>
      <c r="AA29" s="299" t="str">
        <f>IF(Select2=2,MSW!$W31,"")</f>
        <v/>
      </c>
      <c r="AB29" s="302">
        <f>Industry!$W31</f>
        <v>0</v>
      </c>
      <c r="AC29" s="335">
        <f t="shared" si="0"/>
        <v>0</v>
      </c>
      <c r="AD29" s="303">
        <f>Recovery_OX!R24</f>
        <v>0</v>
      </c>
      <c r="AE29" s="426"/>
      <c r="AF29" s="240">
        <f>(AC29-AD29)*(1-Recovery_OX!U24)</f>
        <v>0</v>
      </c>
    </row>
    <row r="30" spans="2:32">
      <c r="B30" s="313">
        <f t="shared" si="1"/>
        <v>2013</v>
      </c>
      <c r="C30" s="775">
        <f>IF(Select2=1,Food!$K32,"")</f>
        <v>0</v>
      </c>
      <c r="D30" s="776">
        <f>IF(Select2=1,Paper!$K32,"")</f>
        <v>0</v>
      </c>
      <c r="E30" s="770">
        <f>IF(Select2=1,Nappies!$K32,"")</f>
        <v>0</v>
      </c>
      <c r="F30" s="776">
        <f>IF(Select2=1,Garden!$K32,"")</f>
        <v>0</v>
      </c>
      <c r="G30" s="770">
        <f>IF(Select2=1,Wood!$K32,"")</f>
        <v>0</v>
      </c>
      <c r="H30" s="776">
        <f>IF(Select2=1,Textiles!$K32,"")</f>
        <v>0</v>
      </c>
      <c r="I30" s="777">
        <f>Sludge!K32</f>
        <v>0</v>
      </c>
      <c r="J30" s="777" t="str">
        <f>IF(Select2=2,MSW!$K32,"")</f>
        <v/>
      </c>
      <c r="K30" s="777">
        <f>Industry!$K32</f>
        <v>0</v>
      </c>
      <c r="L30" s="778">
        <f t="shared" si="3"/>
        <v>0</v>
      </c>
      <c r="M30" s="779">
        <f>Recovery_OX!C25</f>
        <v>0</v>
      </c>
      <c r="N30" s="426"/>
      <c r="O30" s="659">
        <f>(L30-M30)*(1-Recovery_OX!F25)</f>
        <v>0</v>
      </c>
      <c r="P30" s="148"/>
      <c r="Q30" s="455"/>
      <c r="S30" s="313">
        <f t="shared" si="2"/>
        <v>2013</v>
      </c>
      <c r="T30" s="310">
        <f>IF(Select2=1,Food!$W32,"")</f>
        <v>0</v>
      </c>
      <c r="U30" s="301">
        <f>IF(Select2=1,Paper!$W32,"")</f>
        <v>0</v>
      </c>
      <c r="V30" s="297">
        <f>IF(Select2=1,Nappies!$W32,"")</f>
        <v>0</v>
      </c>
      <c r="W30" s="301">
        <f>IF(Select2=1,Garden!$W32,"")</f>
        <v>0</v>
      </c>
      <c r="X30" s="297">
        <f>IF(Select2=1,Wood!$W32,"")</f>
        <v>0</v>
      </c>
      <c r="Y30" s="301">
        <f>IF(Select2=1,Textiles!$W32,"")</f>
        <v>0</v>
      </c>
      <c r="Z30" s="299">
        <f>Sludge!W32</f>
        <v>0</v>
      </c>
      <c r="AA30" s="299" t="str">
        <f>IF(Select2=2,MSW!$W32,"")</f>
        <v/>
      </c>
      <c r="AB30" s="302">
        <f>Industry!$W32</f>
        <v>0</v>
      </c>
      <c r="AC30" s="335">
        <f t="shared" si="0"/>
        <v>0</v>
      </c>
      <c r="AD30" s="303">
        <f>Recovery_OX!R25</f>
        <v>0</v>
      </c>
      <c r="AE30" s="426"/>
      <c r="AF30" s="240">
        <f>(AC30-AD30)*(1-Recovery_OX!U25)</f>
        <v>0</v>
      </c>
    </row>
    <row r="31" spans="2:32">
      <c r="B31" s="313">
        <f t="shared" si="1"/>
        <v>2014</v>
      </c>
      <c r="C31" s="775">
        <f>IF(Select2=1,Food!$K33,"")</f>
        <v>0</v>
      </c>
      <c r="D31" s="776">
        <f>IF(Select2=1,Paper!$K33,"")</f>
        <v>0</v>
      </c>
      <c r="E31" s="770">
        <f>IF(Select2=1,Nappies!$K33,"")</f>
        <v>0</v>
      </c>
      <c r="F31" s="776">
        <f>IF(Select2=1,Garden!$K33,"")</f>
        <v>0</v>
      </c>
      <c r="G31" s="770">
        <f>IF(Select2=1,Wood!$K33,"")</f>
        <v>0</v>
      </c>
      <c r="H31" s="776">
        <f>IF(Select2=1,Textiles!$K33,"")</f>
        <v>0</v>
      </c>
      <c r="I31" s="777">
        <f>Sludge!K33</f>
        <v>0</v>
      </c>
      <c r="J31" s="777" t="str">
        <f>IF(Select2=2,MSW!$K33,"")</f>
        <v/>
      </c>
      <c r="K31" s="777">
        <f>Industry!$K33</f>
        <v>0</v>
      </c>
      <c r="L31" s="778">
        <f>SUM(C31:K31)</f>
        <v>0</v>
      </c>
      <c r="M31" s="779">
        <f>Recovery_OX!C26</f>
        <v>0</v>
      </c>
      <c r="N31" s="426"/>
      <c r="O31" s="659">
        <f>(L31-M31)*(1-Recovery_OX!F26)</f>
        <v>0</v>
      </c>
      <c r="P31" s="148"/>
      <c r="Q31" s="455"/>
      <c r="S31" s="313">
        <f t="shared" si="2"/>
        <v>2014</v>
      </c>
      <c r="T31" s="310">
        <f>IF(Select2=1,Food!$W33,"")</f>
        <v>0</v>
      </c>
      <c r="U31" s="301">
        <f>IF(Select2=1,Paper!$W33,"")</f>
        <v>0</v>
      </c>
      <c r="V31" s="297">
        <f>IF(Select2=1,Nappies!$W33,"")</f>
        <v>0</v>
      </c>
      <c r="W31" s="301">
        <f>IF(Select2=1,Garden!$W33,"")</f>
        <v>0</v>
      </c>
      <c r="X31" s="297">
        <f>IF(Select2=1,Wood!$W33,"")</f>
        <v>0</v>
      </c>
      <c r="Y31" s="301">
        <f>IF(Select2=1,Textiles!$W33,"")</f>
        <v>0</v>
      </c>
      <c r="Z31" s="299">
        <f>Sludge!W33</f>
        <v>0</v>
      </c>
      <c r="AA31" s="299" t="str">
        <f>IF(Select2=2,MSW!$W33,"")</f>
        <v/>
      </c>
      <c r="AB31" s="302">
        <f>Industry!$W33</f>
        <v>0</v>
      </c>
      <c r="AC31" s="335">
        <f t="shared" si="0"/>
        <v>0</v>
      </c>
      <c r="AD31" s="303">
        <f>Recovery_OX!R26</f>
        <v>0</v>
      </c>
      <c r="AE31" s="426"/>
      <c r="AF31" s="240">
        <f>(AC31-AD31)*(1-Recovery_OX!U26)</f>
        <v>0</v>
      </c>
    </row>
    <row r="32" spans="2:32">
      <c r="B32" s="313">
        <f t="shared" si="1"/>
        <v>2015</v>
      </c>
      <c r="C32" s="775">
        <f>IF(Select2=1,Food!$K34,"")</f>
        <v>0</v>
      </c>
      <c r="D32" s="776">
        <f>IF(Select2=1,Paper!$K34,"")</f>
        <v>0</v>
      </c>
      <c r="E32" s="770">
        <f>IF(Select2=1,Nappies!$K34,"")</f>
        <v>0</v>
      </c>
      <c r="F32" s="776">
        <f>IF(Select2=1,Garden!$K34,"")</f>
        <v>0</v>
      </c>
      <c r="G32" s="770">
        <f>IF(Select2=1,Wood!$K34,"")</f>
        <v>0</v>
      </c>
      <c r="H32" s="776">
        <f>IF(Select2=1,Textiles!$K34,"")</f>
        <v>0</v>
      </c>
      <c r="I32" s="777">
        <f>Sludge!K34</f>
        <v>0</v>
      </c>
      <c r="J32" s="777" t="str">
        <f>IF(Select2=2,MSW!$K34,"")</f>
        <v/>
      </c>
      <c r="K32" s="777">
        <f>Industry!$K34</f>
        <v>0</v>
      </c>
      <c r="L32" s="778">
        <f t="shared" si="3"/>
        <v>0</v>
      </c>
      <c r="M32" s="779">
        <f>Recovery_OX!C27</f>
        <v>0</v>
      </c>
      <c r="N32" s="426"/>
      <c r="O32" s="659">
        <f>(L32-M32)*(1-Recovery_OX!F27)</f>
        <v>0</v>
      </c>
      <c r="P32" s="148"/>
      <c r="Q32" s="455"/>
      <c r="S32" s="313">
        <f t="shared" si="2"/>
        <v>2015</v>
      </c>
      <c r="T32" s="310">
        <f>IF(Select2=1,Food!$W34,"")</f>
        <v>0</v>
      </c>
      <c r="U32" s="301">
        <f>IF(Select2=1,Paper!$W34,"")</f>
        <v>0</v>
      </c>
      <c r="V32" s="297">
        <f>IF(Select2=1,Nappies!$W34,"")</f>
        <v>0</v>
      </c>
      <c r="W32" s="301">
        <f>IF(Select2=1,Garden!$W34,"")</f>
        <v>0</v>
      </c>
      <c r="X32" s="297">
        <f>IF(Select2=1,Wood!$W34,"")</f>
        <v>0</v>
      </c>
      <c r="Y32" s="301">
        <f>IF(Select2=1,Textiles!$W34,"")</f>
        <v>0</v>
      </c>
      <c r="Z32" s="299">
        <f>Sludge!W34</f>
        <v>0</v>
      </c>
      <c r="AA32" s="299" t="str">
        <f>IF(Select2=2,MSW!$W34,"")</f>
        <v/>
      </c>
      <c r="AB32" s="302">
        <f>Industry!$W34</f>
        <v>0</v>
      </c>
      <c r="AC32" s="335">
        <f t="shared" si="0"/>
        <v>0</v>
      </c>
      <c r="AD32" s="303">
        <f>Recovery_OX!R27</f>
        <v>0</v>
      </c>
      <c r="AE32" s="426"/>
      <c r="AF32" s="240">
        <f>(AC32-AD32)*(1-Recovery_OX!U27)</f>
        <v>0</v>
      </c>
    </row>
    <row r="33" spans="2:32">
      <c r="B33" s="313">
        <f t="shared" si="1"/>
        <v>2016</v>
      </c>
      <c r="C33" s="775">
        <f>IF(Select2=1,Food!$K35,"")</f>
        <v>0</v>
      </c>
      <c r="D33" s="776">
        <f>IF(Select2=1,Paper!$K35,"")</f>
        <v>0</v>
      </c>
      <c r="E33" s="770">
        <f>IF(Select2=1,Nappies!$K35,"")</f>
        <v>0</v>
      </c>
      <c r="F33" s="776">
        <f>IF(Select2=1,Garden!$K35,"")</f>
        <v>0</v>
      </c>
      <c r="G33" s="770">
        <f>IF(Select2=1,Wood!$K35,"")</f>
        <v>0</v>
      </c>
      <c r="H33" s="776">
        <f>IF(Select2=1,Textiles!$K35,"")</f>
        <v>0</v>
      </c>
      <c r="I33" s="777">
        <f>Sludge!K35</f>
        <v>0</v>
      </c>
      <c r="J33" s="777" t="str">
        <f>IF(Select2=2,MSW!$K35,"")</f>
        <v/>
      </c>
      <c r="K33" s="777">
        <f>Industry!$K35</f>
        <v>0</v>
      </c>
      <c r="L33" s="778">
        <f t="shared" si="3"/>
        <v>0</v>
      </c>
      <c r="M33" s="779">
        <f>Recovery_OX!C28</f>
        <v>0</v>
      </c>
      <c r="N33" s="426"/>
      <c r="O33" s="659">
        <f>(L33-M33)*(1-Recovery_OX!F28)</f>
        <v>0</v>
      </c>
      <c r="P33" s="148"/>
      <c r="Q33" s="455"/>
      <c r="S33" s="313">
        <f t="shared" si="2"/>
        <v>2016</v>
      </c>
      <c r="T33" s="310">
        <f>IF(Select2=1,Food!$W35,"")</f>
        <v>0</v>
      </c>
      <c r="U33" s="301">
        <f>IF(Select2=1,Paper!$W35,"")</f>
        <v>0</v>
      </c>
      <c r="V33" s="297">
        <f>IF(Select2=1,Nappies!$W35,"")</f>
        <v>0</v>
      </c>
      <c r="W33" s="301">
        <f>IF(Select2=1,Garden!$W35,"")</f>
        <v>0</v>
      </c>
      <c r="X33" s="297">
        <f>IF(Select2=1,Wood!$W35,"")</f>
        <v>0</v>
      </c>
      <c r="Y33" s="301">
        <f>IF(Select2=1,Textiles!$W35,"")</f>
        <v>0</v>
      </c>
      <c r="Z33" s="299">
        <f>Sludge!W35</f>
        <v>0</v>
      </c>
      <c r="AA33" s="299" t="str">
        <f>IF(Select2=2,MSW!$W35,"")</f>
        <v/>
      </c>
      <c r="AB33" s="302">
        <f>Industry!$W35</f>
        <v>0</v>
      </c>
      <c r="AC33" s="335">
        <f t="shared" si="0"/>
        <v>0</v>
      </c>
      <c r="AD33" s="303">
        <f>Recovery_OX!R28</f>
        <v>0</v>
      </c>
      <c r="AE33" s="426"/>
      <c r="AF33" s="240">
        <f>(AC33-AD33)*(1-Recovery_OX!U28)</f>
        <v>0</v>
      </c>
    </row>
    <row r="34" spans="2:32">
      <c r="B34" s="313">
        <f t="shared" si="1"/>
        <v>2017</v>
      </c>
      <c r="C34" s="775">
        <f>IF(Select2=1,Food!$K36,"")</f>
        <v>0</v>
      </c>
      <c r="D34" s="776">
        <f>IF(Select2=1,Paper!$K36,"")</f>
        <v>0</v>
      </c>
      <c r="E34" s="770">
        <f>IF(Select2=1,Nappies!$K36,"")</f>
        <v>0</v>
      </c>
      <c r="F34" s="776">
        <f>IF(Select2=1,Garden!$K36,"")</f>
        <v>0</v>
      </c>
      <c r="G34" s="770">
        <f>IF(Select2=1,Wood!$K36,"")</f>
        <v>0</v>
      </c>
      <c r="H34" s="776">
        <f>IF(Select2=1,Textiles!$K36,"")</f>
        <v>0</v>
      </c>
      <c r="I34" s="777">
        <f>Sludge!K36</f>
        <v>0</v>
      </c>
      <c r="J34" s="777" t="str">
        <f>IF(Select2=2,MSW!$K36,"")</f>
        <v/>
      </c>
      <c r="K34" s="777">
        <f>Industry!$K36</f>
        <v>0</v>
      </c>
      <c r="L34" s="778">
        <f t="shared" si="3"/>
        <v>0</v>
      </c>
      <c r="M34" s="779">
        <f>Recovery_OX!C29</f>
        <v>0</v>
      </c>
      <c r="N34" s="426"/>
      <c r="O34" s="659">
        <f>(L34-M34)*(1-Recovery_OX!F29)</f>
        <v>0</v>
      </c>
      <c r="P34" s="148"/>
      <c r="Q34" s="455"/>
      <c r="S34" s="313">
        <f t="shared" si="2"/>
        <v>2017</v>
      </c>
      <c r="T34" s="310">
        <f>IF(Select2=1,Food!$W36,"")</f>
        <v>0</v>
      </c>
      <c r="U34" s="301">
        <f>IF(Select2=1,Paper!$W36,"")</f>
        <v>0</v>
      </c>
      <c r="V34" s="297">
        <f>IF(Select2=1,Nappies!$W36,"")</f>
        <v>0</v>
      </c>
      <c r="W34" s="301">
        <f>IF(Select2=1,Garden!$W36,"")</f>
        <v>0</v>
      </c>
      <c r="X34" s="297">
        <f>IF(Select2=1,Wood!$W36,"")</f>
        <v>0</v>
      </c>
      <c r="Y34" s="301">
        <f>IF(Select2=1,Textiles!$W36,"")</f>
        <v>0</v>
      </c>
      <c r="Z34" s="299">
        <f>Sludge!W36</f>
        <v>0</v>
      </c>
      <c r="AA34" s="299" t="str">
        <f>IF(Select2=2,MSW!$W36,"")</f>
        <v/>
      </c>
      <c r="AB34" s="302">
        <f>Industry!$W36</f>
        <v>0</v>
      </c>
      <c r="AC34" s="335">
        <f t="shared" si="0"/>
        <v>0</v>
      </c>
      <c r="AD34" s="303">
        <f>Recovery_OX!R29</f>
        <v>0</v>
      </c>
      <c r="AE34" s="426"/>
      <c r="AF34" s="240">
        <f>(AC34-AD34)*(1-Recovery_OX!U29)</f>
        <v>0</v>
      </c>
    </row>
    <row r="35" spans="2:32">
      <c r="B35" s="313">
        <f t="shared" si="1"/>
        <v>2018</v>
      </c>
      <c r="C35" s="775">
        <f>IF(Select2=1,Food!$K37,"")</f>
        <v>0</v>
      </c>
      <c r="D35" s="776">
        <f>IF(Select2=1,Paper!$K37,"")</f>
        <v>0</v>
      </c>
      <c r="E35" s="770">
        <f>IF(Select2=1,Nappies!$K37,"")</f>
        <v>0</v>
      </c>
      <c r="F35" s="776">
        <f>IF(Select2=1,Garden!$K37,"")</f>
        <v>0</v>
      </c>
      <c r="G35" s="770">
        <f>IF(Select2=1,Wood!$K37,"")</f>
        <v>0</v>
      </c>
      <c r="H35" s="776">
        <f>IF(Select2=1,Textiles!$K37,"")</f>
        <v>0</v>
      </c>
      <c r="I35" s="777">
        <f>Sludge!K37</f>
        <v>0</v>
      </c>
      <c r="J35" s="777" t="str">
        <f>IF(Select2=2,MSW!$K37,"")</f>
        <v/>
      </c>
      <c r="K35" s="777">
        <f>Industry!$K37</f>
        <v>0</v>
      </c>
      <c r="L35" s="778">
        <f t="shared" si="3"/>
        <v>0</v>
      </c>
      <c r="M35" s="779">
        <f>Recovery_OX!C30</f>
        <v>0</v>
      </c>
      <c r="N35" s="426"/>
      <c r="O35" s="659">
        <f>(L35-M35)*(1-Recovery_OX!F30)</f>
        <v>0</v>
      </c>
      <c r="P35" s="148"/>
      <c r="Q35" s="455"/>
      <c r="S35" s="313">
        <f t="shared" si="2"/>
        <v>2018</v>
      </c>
      <c r="T35" s="310">
        <f>IF(Select2=1,Food!$W37,"")</f>
        <v>0</v>
      </c>
      <c r="U35" s="301">
        <f>IF(Select2=1,Paper!$W37,"")</f>
        <v>0</v>
      </c>
      <c r="V35" s="297">
        <f>IF(Select2=1,Nappies!$W37,"")</f>
        <v>0</v>
      </c>
      <c r="W35" s="301">
        <f>IF(Select2=1,Garden!$W37,"")</f>
        <v>0</v>
      </c>
      <c r="X35" s="297">
        <f>IF(Select2=1,Wood!$W37,"")</f>
        <v>0</v>
      </c>
      <c r="Y35" s="301">
        <f>IF(Select2=1,Textiles!$W37,"")</f>
        <v>0</v>
      </c>
      <c r="Z35" s="299">
        <f>Sludge!W37</f>
        <v>0</v>
      </c>
      <c r="AA35" s="299" t="str">
        <f>IF(Select2=2,MSW!$W37,"")</f>
        <v/>
      </c>
      <c r="AB35" s="302">
        <f>Industry!$W37</f>
        <v>0</v>
      </c>
      <c r="AC35" s="335">
        <f t="shared" si="0"/>
        <v>0</v>
      </c>
      <c r="AD35" s="303">
        <f>Recovery_OX!R30</f>
        <v>0</v>
      </c>
      <c r="AE35" s="426"/>
      <c r="AF35" s="240">
        <f>(AC35-AD35)*(1-Recovery_OX!U30)</f>
        <v>0</v>
      </c>
    </row>
    <row r="36" spans="2:32">
      <c r="B36" s="313">
        <f t="shared" si="1"/>
        <v>2019</v>
      </c>
      <c r="C36" s="775">
        <f>IF(Select2=1,Food!$K38,"")</f>
        <v>0</v>
      </c>
      <c r="D36" s="776">
        <f>IF(Select2=1,Paper!$K38,"")</f>
        <v>0</v>
      </c>
      <c r="E36" s="770">
        <f>IF(Select2=1,Nappies!$K38,"")</f>
        <v>0</v>
      </c>
      <c r="F36" s="776">
        <f>IF(Select2=1,Garden!$K38,"")</f>
        <v>0</v>
      </c>
      <c r="G36" s="770">
        <f>IF(Select2=1,Wood!$K38,"")</f>
        <v>0</v>
      </c>
      <c r="H36" s="776">
        <f>IF(Select2=1,Textiles!$K38,"")</f>
        <v>0</v>
      </c>
      <c r="I36" s="777">
        <f>Sludge!K38</f>
        <v>0</v>
      </c>
      <c r="J36" s="777" t="str">
        <f>IF(Select2=2,MSW!$K38,"")</f>
        <v/>
      </c>
      <c r="K36" s="777">
        <f>Industry!$K38</f>
        <v>0</v>
      </c>
      <c r="L36" s="778">
        <f t="shared" si="3"/>
        <v>0</v>
      </c>
      <c r="M36" s="779">
        <f>Recovery_OX!C31</f>
        <v>0</v>
      </c>
      <c r="N36" s="426"/>
      <c r="O36" s="659">
        <f>(L36-M36)*(1-Recovery_OX!F31)</f>
        <v>0</v>
      </c>
      <c r="P36" s="148"/>
      <c r="Q36" s="455"/>
      <c r="S36" s="313">
        <f t="shared" si="2"/>
        <v>2019</v>
      </c>
      <c r="T36" s="310">
        <f>IF(Select2=1,Food!$W38,"")</f>
        <v>0</v>
      </c>
      <c r="U36" s="301">
        <f>IF(Select2=1,Paper!$W38,"")</f>
        <v>0</v>
      </c>
      <c r="V36" s="297">
        <f>IF(Select2=1,Nappies!$W38,"")</f>
        <v>0</v>
      </c>
      <c r="W36" s="301">
        <f>IF(Select2=1,Garden!$W38,"")</f>
        <v>0</v>
      </c>
      <c r="X36" s="297">
        <f>IF(Select2=1,Wood!$W38,"")</f>
        <v>0</v>
      </c>
      <c r="Y36" s="301">
        <f>IF(Select2=1,Textiles!$W38,"")</f>
        <v>0</v>
      </c>
      <c r="Z36" s="299">
        <f>Sludge!W38</f>
        <v>0</v>
      </c>
      <c r="AA36" s="299" t="str">
        <f>IF(Select2=2,MSW!$W38,"")</f>
        <v/>
      </c>
      <c r="AB36" s="302">
        <f>Industry!$W38</f>
        <v>0</v>
      </c>
      <c r="AC36" s="335">
        <f t="shared" si="0"/>
        <v>0</v>
      </c>
      <c r="AD36" s="303">
        <f>Recovery_OX!R31</f>
        <v>0</v>
      </c>
      <c r="AE36" s="426"/>
      <c r="AF36" s="240">
        <f>(AC36-AD36)*(1-Recovery_OX!U31)</f>
        <v>0</v>
      </c>
    </row>
    <row r="37" spans="2:32">
      <c r="B37" s="313">
        <f t="shared" si="1"/>
        <v>2020</v>
      </c>
      <c r="C37" s="775">
        <f>IF(Select2=1,Food!$K39,"")</f>
        <v>0</v>
      </c>
      <c r="D37" s="776">
        <f>IF(Select2=1,Paper!$K39,"")</f>
        <v>0</v>
      </c>
      <c r="E37" s="770">
        <f>IF(Select2=1,Nappies!$K39,"")</f>
        <v>0</v>
      </c>
      <c r="F37" s="776">
        <f>IF(Select2=1,Garden!$K39,"")</f>
        <v>0</v>
      </c>
      <c r="G37" s="770">
        <f>IF(Select2=1,Wood!$K39,"")</f>
        <v>0</v>
      </c>
      <c r="H37" s="776">
        <f>IF(Select2=1,Textiles!$K39,"")</f>
        <v>0</v>
      </c>
      <c r="I37" s="777">
        <f>Sludge!K39</f>
        <v>0</v>
      </c>
      <c r="J37" s="777" t="str">
        <f>IF(Select2=2,MSW!$K39,"")</f>
        <v/>
      </c>
      <c r="K37" s="777">
        <f>Industry!$K39</f>
        <v>0</v>
      </c>
      <c r="L37" s="778">
        <f t="shared" si="3"/>
        <v>0</v>
      </c>
      <c r="M37" s="779">
        <f>Recovery_OX!C32</f>
        <v>0</v>
      </c>
      <c r="N37" s="426"/>
      <c r="O37" s="659">
        <f>(L37-M37)*(1-Recovery_OX!F32)</f>
        <v>0</v>
      </c>
      <c r="P37" s="148"/>
      <c r="Q37" s="455"/>
      <c r="S37" s="313">
        <f t="shared" si="2"/>
        <v>2020</v>
      </c>
      <c r="T37" s="310">
        <f>IF(Select2=1,Food!$W39,"")</f>
        <v>0</v>
      </c>
      <c r="U37" s="301">
        <f>IF(Select2=1,Paper!$W39,"")</f>
        <v>0</v>
      </c>
      <c r="V37" s="297">
        <f>IF(Select2=1,Nappies!$W39,"")</f>
        <v>0</v>
      </c>
      <c r="W37" s="301">
        <f>IF(Select2=1,Garden!$W39,"")</f>
        <v>0</v>
      </c>
      <c r="X37" s="297">
        <f>IF(Select2=1,Wood!$W39,"")</f>
        <v>0</v>
      </c>
      <c r="Y37" s="301">
        <f>IF(Select2=1,Textiles!$W39,"")</f>
        <v>0</v>
      </c>
      <c r="Z37" s="299">
        <f>Sludge!W39</f>
        <v>0</v>
      </c>
      <c r="AA37" s="299" t="str">
        <f>IF(Select2=2,MSW!$W39,"")</f>
        <v/>
      </c>
      <c r="AB37" s="302">
        <f>Industry!$W39</f>
        <v>0</v>
      </c>
      <c r="AC37" s="335">
        <f t="shared" si="0"/>
        <v>0</v>
      </c>
      <c r="AD37" s="303">
        <f>Recovery_OX!R32</f>
        <v>0</v>
      </c>
      <c r="AE37" s="426"/>
      <c r="AF37" s="240">
        <f>(AC37-AD37)*(1-Recovery_OX!U32)</f>
        <v>0</v>
      </c>
    </row>
    <row r="38" spans="2:32">
      <c r="B38" s="313">
        <f t="shared" si="1"/>
        <v>2021</v>
      </c>
      <c r="C38" s="775">
        <f>IF(Select2=1,Food!$K40,"")</f>
        <v>0</v>
      </c>
      <c r="D38" s="776">
        <f>IF(Select2=1,Paper!$K40,"")</f>
        <v>0</v>
      </c>
      <c r="E38" s="770">
        <f>IF(Select2=1,Nappies!$K40,"")</f>
        <v>0</v>
      </c>
      <c r="F38" s="776">
        <f>IF(Select2=1,Garden!$K40,"")</f>
        <v>0</v>
      </c>
      <c r="G38" s="770">
        <f>IF(Select2=1,Wood!$K40,"")</f>
        <v>0</v>
      </c>
      <c r="H38" s="776">
        <f>IF(Select2=1,Textiles!$K40,"")</f>
        <v>0</v>
      </c>
      <c r="I38" s="777">
        <f>Sludge!K40</f>
        <v>0</v>
      </c>
      <c r="J38" s="777" t="str">
        <f>IF(Select2=2,MSW!$K40,"")</f>
        <v/>
      </c>
      <c r="K38" s="777">
        <f>Industry!$K40</f>
        <v>0</v>
      </c>
      <c r="L38" s="778">
        <f t="shared" si="3"/>
        <v>0</v>
      </c>
      <c r="M38" s="779">
        <f>Recovery_OX!C33</f>
        <v>0</v>
      </c>
      <c r="N38" s="426"/>
      <c r="O38" s="659">
        <f>(L38-M38)*(1-Recovery_OX!F33)</f>
        <v>0</v>
      </c>
      <c r="P38" s="148"/>
      <c r="Q38" s="455"/>
      <c r="S38" s="313">
        <f t="shared" si="2"/>
        <v>2021</v>
      </c>
      <c r="T38" s="310">
        <f>IF(Select2=1,Food!$W40,"")</f>
        <v>0</v>
      </c>
      <c r="U38" s="301">
        <f>IF(Select2=1,Paper!$W40,"")</f>
        <v>0</v>
      </c>
      <c r="V38" s="297">
        <f>IF(Select2=1,Nappies!$W40,"")</f>
        <v>0</v>
      </c>
      <c r="W38" s="301">
        <f>IF(Select2=1,Garden!$W40,"")</f>
        <v>0</v>
      </c>
      <c r="X38" s="297">
        <f>IF(Select2=1,Wood!$W40,"")</f>
        <v>0</v>
      </c>
      <c r="Y38" s="301">
        <f>IF(Select2=1,Textiles!$W40,"")</f>
        <v>0</v>
      </c>
      <c r="Z38" s="299">
        <f>Sludge!W40</f>
        <v>0</v>
      </c>
      <c r="AA38" s="299" t="str">
        <f>IF(Select2=2,MSW!$W40,"")</f>
        <v/>
      </c>
      <c r="AB38" s="302">
        <f>Industry!$W40</f>
        <v>0</v>
      </c>
      <c r="AC38" s="335">
        <f t="shared" si="0"/>
        <v>0</v>
      </c>
      <c r="AD38" s="303">
        <f>Recovery_OX!R33</f>
        <v>0</v>
      </c>
      <c r="AE38" s="426"/>
      <c r="AF38" s="240">
        <f>(AC38-AD38)*(1-Recovery_OX!U33)</f>
        <v>0</v>
      </c>
    </row>
    <row r="39" spans="2:32">
      <c r="B39" s="313">
        <f t="shared" si="1"/>
        <v>2022</v>
      </c>
      <c r="C39" s="775">
        <f>IF(Select2=1,Food!$K41,"")</f>
        <v>0</v>
      </c>
      <c r="D39" s="776">
        <f>IF(Select2=1,Paper!$K41,"")</f>
        <v>0</v>
      </c>
      <c r="E39" s="770">
        <f>IF(Select2=1,Nappies!$K41,"")</f>
        <v>0</v>
      </c>
      <c r="F39" s="776">
        <f>IF(Select2=1,Garden!$K41,"")</f>
        <v>0</v>
      </c>
      <c r="G39" s="770">
        <f>IF(Select2=1,Wood!$K41,"")</f>
        <v>0</v>
      </c>
      <c r="H39" s="776">
        <f>IF(Select2=1,Textiles!$K41,"")</f>
        <v>0</v>
      </c>
      <c r="I39" s="777">
        <f>Sludge!K41</f>
        <v>0</v>
      </c>
      <c r="J39" s="777" t="str">
        <f>IF(Select2=2,MSW!$K41,"")</f>
        <v/>
      </c>
      <c r="K39" s="777">
        <f>Industry!$K41</f>
        <v>0</v>
      </c>
      <c r="L39" s="778">
        <f t="shared" si="3"/>
        <v>0</v>
      </c>
      <c r="M39" s="779">
        <f>Recovery_OX!C34</f>
        <v>0</v>
      </c>
      <c r="N39" s="426"/>
      <c r="O39" s="659">
        <f>(L39-M39)*(1-Recovery_OX!F34)</f>
        <v>0</v>
      </c>
      <c r="P39" s="148"/>
      <c r="Q39" s="455"/>
      <c r="S39" s="313">
        <f t="shared" si="2"/>
        <v>2022</v>
      </c>
      <c r="T39" s="310">
        <f>IF(Select2=1,Food!$W41,"")</f>
        <v>0</v>
      </c>
      <c r="U39" s="301">
        <f>IF(Select2=1,Paper!$W41,"")</f>
        <v>0</v>
      </c>
      <c r="V39" s="297">
        <f>IF(Select2=1,Nappies!$W41,"")</f>
        <v>0</v>
      </c>
      <c r="W39" s="301">
        <f>IF(Select2=1,Garden!$W41,"")</f>
        <v>0</v>
      </c>
      <c r="X39" s="297">
        <f>IF(Select2=1,Wood!$W41,"")</f>
        <v>0</v>
      </c>
      <c r="Y39" s="301">
        <f>IF(Select2=1,Textiles!$W41,"")</f>
        <v>0</v>
      </c>
      <c r="Z39" s="299">
        <f>Sludge!W41</f>
        <v>0</v>
      </c>
      <c r="AA39" s="299" t="str">
        <f>IF(Select2=2,MSW!$W41,"")</f>
        <v/>
      </c>
      <c r="AB39" s="302">
        <f>Industry!$W41</f>
        <v>0</v>
      </c>
      <c r="AC39" s="335">
        <f t="shared" si="0"/>
        <v>0</v>
      </c>
      <c r="AD39" s="303">
        <f>Recovery_OX!R34</f>
        <v>0</v>
      </c>
      <c r="AE39" s="426"/>
      <c r="AF39" s="240">
        <f>(AC39-AD39)*(1-Recovery_OX!U34)</f>
        <v>0</v>
      </c>
    </row>
    <row r="40" spans="2:32">
      <c r="B40" s="313">
        <f t="shared" si="1"/>
        <v>2023</v>
      </c>
      <c r="C40" s="775">
        <f>IF(Select2=1,Food!$K42,"")</f>
        <v>0</v>
      </c>
      <c r="D40" s="776">
        <f>IF(Select2=1,Paper!$K42,"")</f>
        <v>0</v>
      </c>
      <c r="E40" s="770">
        <f>IF(Select2=1,Nappies!$K42,"")</f>
        <v>0</v>
      </c>
      <c r="F40" s="776">
        <f>IF(Select2=1,Garden!$K42,"")</f>
        <v>0</v>
      </c>
      <c r="G40" s="770">
        <f>IF(Select2=1,Wood!$K42,"")</f>
        <v>0</v>
      </c>
      <c r="H40" s="776">
        <f>IF(Select2=1,Textiles!$K42,"")</f>
        <v>0</v>
      </c>
      <c r="I40" s="777">
        <f>Sludge!K42</f>
        <v>0</v>
      </c>
      <c r="J40" s="777" t="str">
        <f>IF(Select2=2,MSW!$K42,"")</f>
        <v/>
      </c>
      <c r="K40" s="777">
        <f>Industry!$K42</f>
        <v>0</v>
      </c>
      <c r="L40" s="778">
        <f t="shared" si="3"/>
        <v>0</v>
      </c>
      <c r="M40" s="779">
        <f>Recovery_OX!C35</f>
        <v>0</v>
      </c>
      <c r="N40" s="426"/>
      <c r="O40" s="659">
        <f>(L40-M40)*(1-Recovery_OX!F35)</f>
        <v>0</v>
      </c>
      <c r="P40" s="148"/>
      <c r="Q40" s="455"/>
      <c r="S40" s="313">
        <f t="shared" si="2"/>
        <v>2023</v>
      </c>
      <c r="T40" s="310">
        <f>IF(Select2=1,Food!$W42,"")</f>
        <v>0</v>
      </c>
      <c r="U40" s="301">
        <f>IF(Select2=1,Paper!$W42,"")</f>
        <v>0</v>
      </c>
      <c r="V40" s="297">
        <f>IF(Select2=1,Nappies!$W42,"")</f>
        <v>0</v>
      </c>
      <c r="W40" s="301">
        <f>IF(Select2=1,Garden!$W42,"")</f>
        <v>0</v>
      </c>
      <c r="X40" s="297">
        <f>IF(Select2=1,Wood!$W42,"")</f>
        <v>0</v>
      </c>
      <c r="Y40" s="301">
        <f>IF(Select2=1,Textiles!$W42,"")</f>
        <v>0</v>
      </c>
      <c r="Z40" s="299">
        <f>Sludge!W42</f>
        <v>0</v>
      </c>
      <c r="AA40" s="299" t="str">
        <f>IF(Select2=2,MSW!$W42,"")</f>
        <v/>
      </c>
      <c r="AB40" s="302">
        <f>Industry!$W42</f>
        <v>0</v>
      </c>
      <c r="AC40" s="335">
        <f t="shared" si="0"/>
        <v>0</v>
      </c>
      <c r="AD40" s="303">
        <f>Recovery_OX!R35</f>
        <v>0</v>
      </c>
      <c r="AE40" s="426"/>
      <c r="AF40" s="240">
        <f>(AC40-AD40)*(1-Recovery_OX!U35)</f>
        <v>0</v>
      </c>
    </row>
    <row r="41" spans="2:32">
      <c r="B41" s="313">
        <f t="shared" si="1"/>
        <v>2024</v>
      </c>
      <c r="C41" s="775">
        <f>IF(Select2=1,Food!$K43,"")</f>
        <v>0</v>
      </c>
      <c r="D41" s="776">
        <f>IF(Select2=1,Paper!$K43,"")</f>
        <v>0</v>
      </c>
      <c r="E41" s="770">
        <f>IF(Select2=1,Nappies!$K43,"")</f>
        <v>0</v>
      </c>
      <c r="F41" s="776">
        <f>IF(Select2=1,Garden!$K43,"")</f>
        <v>0</v>
      </c>
      <c r="G41" s="770">
        <f>IF(Select2=1,Wood!$K43,"")</f>
        <v>0</v>
      </c>
      <c r="H41" s="776">
        <f>IF(Select2=1,Textiles!$K43,"")</f>
        <v>0</v>
      </c>
      <c r="I41" s="777">
        <f>Sludge!K43</f>
        <v>0</v>
      </c>
      <c r="J41" s="777" t="str">
        <f>IF(Select2=2,MSW!$K43,"")</f>
        <v/>
      </c>
      <c r="K41" s="777">
        <f>Industry!$K43</f>
        <v>0</v>
      </c>
      <c r="L41" s="778">
        <f t="shared" si="3"/>
        <v>0</v>
      </c>
      <c r="M41" s="779">
        <f>Recovery_OX!C36</f>
        <v>0</v>
      </c>
      <c r="N41" s="426"/>
      <c r="O41" s="659">
        <f>(L41-M41)*(1-Recovery_OX!F36)</f>
        <v>0</v>
      </c>
      <c r="P41" s="148"/>
      <c r="Q41" s="455"/>
      <c r="S41" s="313">
        <f t="shared" si="2"/>
        <v>2024</v>
      </c>
      <c r="T41" s="310">
        <f>IF(Select2=1,Food!$W43,"")</f>
        <v>0</v>
      </c>
      <c r="U41" s="301">
        <f>IF(Select2=1,Paper!$W43,"")</f>
        <v>0</v>
      </c>
      <c r="V41" s="297">
        <f>IF(Select2=1,Nappies!$W43,"")</f>
        <v>0</v>
      </c>
      <c r="W41" s="301">
        <f>IF(Select2=1,Garden!$W43,"")</f>
        <v>0</v>
      </c>
      <c r="X41" s="297">
        <f>IF(Select2=1,Wood!$W43,"")</f>
        <v>0</v>
      </c>
      <c r="Y41" s="301">
        <f>IF(Select2=1,Textiles!$W43,"")</f>
        <v>0</v>
      </c>
      <c r="Z41" s="299">
        <f>Sludge!W43</f>
        <v>0</v>
      </c>
      <c r="AA41" s="299" t="str">
        <f>IF(Select2=2,MSW!$W43,"")</f>
        <v/>
      </c>
      <c r="AB41" s="302">
        <f>Industry!$W43</f>
        <v>0</v>
      </c>
      <c r="AC41" s="335">
        <f t="shared" si="0"/>
        <v>0</v>
      </c>
      <c r="AD41" s="303">
        <f>Recovery_OX!R36</f>
        <v>0</v>
      </c>
      <c r="AE41" s="426"/>
      <c r="AF41" s="240">
        <f>(AC41-AD41)*(1-Recovery_OX!U36)</f>
        <v>0</v>
      </c>
    </row>
    <row r="42" spans="2:32">
      <c r="B42" s="313">
        <f t="shared" si="1"/>
        <v>2025</v>
      </c>
      <c r="C42" s="775">
        <f>IF(Select2=1,Food!$K44,"")</f>
        <v>0</v>
      </c>
      <c r="D42" s="776">
        <f>IF(Select2=1,Paper!$K44,"")</f>
        <v>0</v>
      </c>
      <c r="E42" s="770">
        <f>IF(Select2=1,Nappies!$K44,"")</f>
        <v>0</v>
      </c>
      <c r="F42" s="776">
        <f>IF(Select2=1,Garden!$K44,"")</f>
        <v>0</v>
      </c>
      <c r="G42" s="770">
        <f>IF(Select2=1,Wood!$K44,"")</f>
        <v>0</v>
      </c>
      <c r="H42" s="776">
        <f>IF(Select2=1,Textiles!$K44,"")</f>
        <v>0</v>
      </c>
      <c r="I42" s="777">
        <f>Sludge!K44</f>
        <v>0</v>
      </c>
      <c r="J42" s="777" t="str">
        <f>IF(Select2=2,MSW!$K44,"")</f>
        <v/>
      </c>
      <c r="K42" s="777">
        <f>Industry!$K44</f>
        <v>0</v>
      </c>
      <c r="L42" s="778">
        <f t="shared" si="3"/>
        <v>0</v>
      </c>
      <c r="M42" s="779">
        <f>Recovery_OX!C37</f>
        <v>0</v>
      </c>
      <c r="N42" s="426"/>
      <c r="O42" s="659">
        <f>(L42-M42)*(1-Recovery_OX!F37)</f>
        <v>0</v>
      </c>
      <c r="P42" s="148"/>
      <c r="Q42" s="455"/>
      <c r="S42" s="313">
        <f t="shared" si="2"/>
        <v>2025</v>
      </c>
      <c r="T42" s="310">
        <f>IF(Select2=1,Food!$W44,"")</f>
        <v>0</v>
      </c>
      <c r="U42" s="301">
        <f>IF(Select2=1,Paper!$W44,"")</f>
        <v>0</v>
      </c>
      <c r="V42" s="297">
        <f>IF(Select2=1,Nappies!$W44,"")</f>
        <v>0</v>
      </c>
      <c r="W42" s="301">
        <f>IF(Select2=1,Garden!$W44,"")</f>
        <v>0</v>
      </c>
      <c r="X42" s="297">
        <f>IF(Select2=1,Wood!$W44,"")</f>
        <v>0</v>
      </c>
      <c r="Y42" s="301">
        <f>IF(Select2=1,Textiles!$W44,"")</f>
        <v>0</v>
      </c>
      <c r="Z42" s="299">
        <f>Sludge!W44</f>
        <v>0</v>
      </c>
      <c r="AA42" s="299" t="str">
        <f>IF(Select2=2,MSW!$W44,"")</f>
        <v/>
      </c>
      <c r="AB42" s="302">
        <f>Industry!$W44</f>
        <v>0</v>
      </c>
      <c r="AC42" s="335">
        <f t="shared" si="0"/>
        <v>0</v>
      </c>
      <c r="AD42" s="303">
        <f>Recovery_OX!R37</f>
        <v>0</v>
      </c>
      <c r="AE42" s="426"/>
      <c r="AF42" s="240">
        <f>(AC42-AD42)*(1-Recovery_OX!U37)</f>
        <v>0</v>
      </c>
    </row>
    <row r="43" spans="2:32">
      <c r="B43" s="313">
        <f t="shared" si="1"/>
        <v>2026</v>
      </c>
      <c r="C43" s="775">
        <f>IF(Select2=1,Food!$K45,"")</f>
        <v>0</v>
      </c>
      <c r="D43" s="776">
        <f>IF(Select2=1,Paper!$K45,"")</f>
        <v>0</v>
      </c>
      <c r="E43" s="770">
        <f>IF(Select2=1,Nappies!$K45,"")</f>
        <v>0</v>
      </c>
      <c r="F43" s="776">
        <f>IF(Select2=1,Garden!$K45,"")</f>
        <v>0</v>
      </c>
      <c r="G43" s="770">
        <f>IF(Select2=1,Wood!$K45,"")</f>
        <v>0</v>
      </c>
      <c r="H43" s="776">
        <f>IF(Select2=1,Textiles!$K45,"")</f>
        <v>0</v>
      </c>
      <c r="I43" s="777">
        <f>Sludge!K45</f>
        <v>0</v>
      </c>
      <c r="J43" s="777" t="str">
        <f>IF(Select2=2,MSW!$K45,"")</f>
        <v/>
      </c>
      <c r="K43" s="777">
        <f>Industry!$K45</f>
        <v>0</v>
      </c>
      <c r="L43" s="778">
        <f t="shared" si="3"/>
        <v>0</v>
      </c>
      <c r="M43" s="779">
        <f>Recovery_OX!C38</f>
        <v>0</v>
      </c>
      <c r="N43" s="426"/>
      <c r="O43" s="659">
        <f>(L43-M43)*(1-Recovery_OX!F38)</f>
        <v>0</v>
      </c>
      <c r="P43" s="148"/>
      <c r="Q43" s="455"/>
      <c r="S43" s="313">
        <f t="shared" si="2"/>
        <v>2026</v>
      </c>
      <c r="T43" s="310">
        <f>IF(Select2=1,Food!$W45,"")</f>
        <v>0</v>
      </c>
      <c r="U43" s="301">
        <f>IF(Select2=1,Paper!$W45,"")</f>
        <v>0</v>
      </c>
      <c r="V43" s="297">
        <f>IF(Select2=1,Nappies!$W45,"")</f>
        <v>0</v>
      </c>
      <c r="W43" s="301">
        <f>IF(Select2=1,Garden!$W45,"")</f>
        <v>0</v>
      </c>
      <c r="X43" s="297">
        <f>IF(Select2=1,Wood!$W45,"")</f>
        <v>0</v>
      </c>
      <c r="Y43" s="301">
        <f>IF(Select2=1,Textiles!$W45,"")</f>
        <v>0</v>
      </c>
      <c r="Z43" s="299">
        <f>Sludge!W45</f>
        <v>0</v>
      </c>
      <c r="AA43" s="299" t="str">
        <f>IF(Select2=2,MSW!$W45,"")</f>
        <v/>
      </c>
      <c r="AB43" s="302">
        <f>Industry!$W45</f>
        <v>0</v>
      </c>
      <c r="AC43" s="335">
        <f t="shared" si="0"/>
        <v>0</v>
      </c>
      <c r="AD43" s="303">
        <f>Recovery_OX!R38</f>
        <v>0</v>
      </c>
      <c r="AE43" s="426"/>
      <c r="AF43" s="240">
        <f>(AC43-AD43)*(1-Recovery_OX!U38)</f>
        <v>0</v>
      </c>
    </row>
    <row r="44" spans="2:32">
      <c r="B44" s="313">
        <f t="shared" si="1"/>
        <v>2027</v>
      </c>
      <c r="C44" s="775">
        <f>IF(Select2=1,Food!$K46,"")</f>
        <v>0</v>
      </c>
      <c r="D44" s="776">
        <f>IF(Select2=1,Paper!$K46,"")</f>
        <v>0</v>
      </c>
      <c r="E44" s="770">
        <f>IF(Select2=1,Nappies!$K46,"")</f>
        <v>0</v>
      </c>
      <c r="F44" s="776">
        <f>IF(Select2=1,Garden!$K46,"")</f>
        <v>0</v>
      </c>
      <c r="G44" s="770">
        <f>IF(Select2=1,Wood!$K46,"")</f>
        <v>0</v>
      </c>
      <c r="H44" s="776">
        <f>IF(Select2=1,Textiles!$K46,"")</f>
        <v>0</v>
      </c>
      <c r="I44" s="777">
        <f>Sludge!K46</f>
        <v>0</v>
      </c>
      <c r="J44" s="777" t="str">
        <f>IF(Select2=2,MSW!$K46,"")</f>
        <v/>
      </c>
      <c r="K44" s="777">
        <f>Industry!$K46</f>
        <v>0</v>
      </c>
      <c r="L44" s="778">
        <f t="shared" si="3"/>
        <v>0</v>
      </c>
      <c r="M44" s="779">
        <f>Recovery_OX!C39</f>
        <v>0</v>
      </c>
      <c r="N44" s="426"/>
      <c r="O44" s="659">
        <f>(L44-M44)*(1-Recovery_OX!F39)</f>
        <v>0</v>
      </c>
      <c r="P44" s="148"/>
      <c r="Q44" s="455"/>
      <c r="S44" s="313">
        <f t="shared" si="2"/>
        <v>2027</v>
      </c>
      <c r="T44" s="310">
        <f>IF(Select2=1,Food!$W46,"")</f>
        <v>0</v>
      </c>
      <c r="U44" s="301">
        <f>IF(Select2=1,Paper!$W46,"")</f>
        <v>0</v>
      </c>
      <c r="V44" s="297">
        <f>IF(Select2=1,Nappies!$W46,"")</f>
        <v>0</v>
      </c>
      <c r="W44" s="301">
        <f>IF(Select2=1,Garden!$W46,"")</f>
        <v>0</v>
      </c>
      <c r="X44" s="297">
        <f>IF(Select2=1,Wood!$W46,"")</f>
        <v>0</v>
      </c>
      <c r="Y44" s="301">
        <f>IF(Select2=1,Textiles!$W46,"")</f>
        <v>0</v>
      </c>
      <c r="Z44" s="299">
        <f>Sludge!W46</f>
        <v>0</v>
      </c>
      <c r="AA44" s="299" t="str">
        <f>IF(Select2=2,MSW!$W46,"")</f>
        <v/>
      </c>
      <c r="AB44" s="302">
        <f>Industry!$W46</f>
        <v>0</v>
      </c>
      <c r="AC44" s="335">
        <f t="shared" si="0"/>
        <v>0</v>
      </c>
      <c r="AD44" s="303">
        <f>Recovery_OX!R39</f>
        <v>0</v>
      </c>
      <c r="AE44" s="426"/>
      <c r="AF44" s="240">
        <f>(AC44-AD44)*(1-Recovery_OX!U39)</f>
        <v>0</v>
      </c>
    </row>
    <row r="45" spans="2:32">
      <c r="B45" s="313">
        <f t="shared" si="1"/>
        <v>2028</v>
      </c>
      <c r="C45" s="775">
        <f>IF(Select2=1,Food!$K47,"")</f>
        <v>0</v>
      </c>
      <c r="D45" s="776">
        <f>IF(Select2=1,Paper!$K47,"")</f>
        <v>0</v>
      </c>
      <c r="E45" s="770">
        <f>IF(Select2=1,Nappies!$K47,"")</f>
        <v>0</v>
      </c>
      <c r="F45" s="776">
        <f>IF(Select2=1,Garden!$K47,"")</f>
        <v>0</v>
      </c>
      <c r="G45" s="770">
        <f>IF(Select2=1,Wood!$K47,"")</f>
        <v>0</v>
      </c>
      <c r="H45" s="776">
        <f>IF(Select2=1,Textiles!$K47,"")</f>
        <v>0</v>
      </c>
      <c r="I45" s="777">
        <f>Sludge!K47</f>
        <v>0</v>
      </c>
      <c r="J45" s="777" t="str">
        <f>IF(Select2=2,MSW!$K47,"")</f>
        <v/>
      </c>
      <c r="K45" s="777">
        <f>Industry!$K47</f>
        <v>0</v>
      </c>
      <c r="L45" s="778">
        <f t="shared" si="3"/>
        <v>0</v>
      </c>
      <c r="M45" s="779">
        <f>Recovery_OX!C40</f>
        <v>0</v>
      </c>
      <c r="N45" s="426"/>
      <c r="O45" s="659">
        <f>(L45-M45)*(1-Recovery_OX!F40)</f>
        <v>0</v>
      </c>
      <c r="P45" s="148"/>
      <c r="Q45" s="455"/>
      <c r="S45" s="313">
        <f t="shared" si="2"/>
        <v>2028</v>
      </c>
      <c r="T45" s="310">
        <f>IF(Select2=1,Food!$W47,"")</f>
        <v>0</v>
      </c>
      <c r="U45" s="301">
        <f>IF(Select2=1,Paper!$W47,"")</f>
        <v>0</v>
      </c>
      <c r="V45" s="297">
        <f>IF(Select2=1,Nappies!$W47,"")</f>
        <v>0</v>
      </c>
      <c r="W45" s="301">
        <f>IF(Select2=1,Garden!$W47,"")</f>
        <v>0</v>
      </c>
      <c r="X45" s="297">
        <f>IF(Select2=1,Wood!$W47,"")</f>
        <v>0</v>
      </c>
      <c r="Y45" s="301">
        <f>IF(Select2=1,Textiles!$W47,"")</f>
        <v>0</v>
      </c>
      <c r="Z45" s="299">
        <f>Sludge!W47</f>
        <v>0</v>
      </c>
      <c r="AA45" s="299" t="str">
        <f>IF(Select2=2,MSW!$W47,"")</f>
        <v/>
      </c>
      <c r="AB45" s="302">
        <f>Industry!$W47</f>
        <v>0</v>
      </c>
      <c r="AC45" s="335">
        <f t="shared" si="0"/>
        <v>0</v>
      </c>
      <c r="AD45" s="303">
        <f>Recovery_OX!R40</f>
        <v>0</v>
      </c>
      <c r="AE45" s="426"/>
      <c r="AF45" s="240">
        <f>(AC45-AD45)*(1-Recovery_OX!U40)</f>
        <v>0</v>
      </c>
    </row>
    <row r="46" spans="2:32">
      <c r="B46" s="313">
        <f t="shared" si="1"/>
        <v>2029</v>
      </c>
      <c r="C46" s="775">
        <f>IF(Select2=1,Food!$K48,"")</f>
        <v>0</v>
      </c>
      <c r="D46" s="776">
        <f>IF(Select2=1,Paper!$K48,"")</f>
        <v>0</v>
      </c>
      <c r="E46" s="770">
        <f>IF(Select2=1,Nappies!$K48,"")</f>
        <v>0</v>
      </c>
      <c r="F46" s="776">
        <f>IF(Select2=1,Garden!$K48,"")</f>
        <v>0</v>
      </c>
      <c r="G46" s="770">
        <f>IF(Select2=1,Wood!$K48,"")</f>
        <v>0</v>
      </c>
      <c r="H46" s="776">
        <f>IF(Select2=1,Textiles!$K48,"")</f>
        <v>0</v>
      </c>
      <c r="I46" s="777">
        <f>Sludge!K48</f>
        <v>0</v>
      </c>
      <c r="J46" s="777" t="str">
        <f>IF(Select2=2,MSW!$K48,"")</f>
        <v/>
      </c>
      <c r="K46" s="777">
        <f>Industry!$K48</f>
        <v>0</v>
      </c>
      <c r="L46" s="778">
        <f t="shared" si="3"/>
        <v>0</v>
      </c>
      <c r="M46" s="779">
        <f>Recovery_OX!C41</f>
        <v>0</v>
      </c>
      <c r="N46" s="426"/>
      <c r="O46" s="659">
        <f>(L46-M46)*(1-Recovery_OX!F41)</f>
        <v>0</v>
      </c>
      <c r="P46" s="148"/>
      <c r="Q46" s="455"/>
      <c r="S46" s="313">
        <f t="shared" si="2"/>
        <v>2029</v>
      </c>
      <c r="T46" s="310">
        <f>IF(Select2=1,Food!$W48,"")</f>
        <v>0</v>
      </c>
      <c r="U46" s="301">
        <f>IF(Select2=1,Paper!$W48,"")</f>
        <v>0</v>
      </c>
      <c r="V46" s="297">
        <f>IF(Select2=1,Nappies!$W48,"")</f>
        <v>0</v>
      </c>
      <c r="W46" s="301">
        <f>IF(Select2=1,Garden!$W48,"")</f>
        <v>0</v>
      </c>
      <c r="X46" s="297">
        <f>IF(Select2=1,Wood!$W48,"")</f>
        <v>0</v>
      </c>
      <c r="Y46" s="301">
        <f>IF(Select2=1,Textiles!$W48,"")</f>
        <v>0</v>
      </c>
      <c r="Z46" s="299">
        <f>Sludge!W48</f>
        <v>0</v>
      </c>
      <c r="AA46" s="299" t="str">
        <f>IF(Select2=2,MSW!$W48,"")</f>
        <v/>
      </c>
      <c r="AB46" s="302">
        <f>Industry!$W48</f>
        <v>0</v>
      </c>
      <c r="AC46" s="335">
        <f t="shared" si="0"/>
        <v>0</v>
      </c>
      <c r="AD46" s="303">
        <f>Recovery_OX!R41</f>
        <v>0</v>
      </c>
      <c r="AE46" s="426"/>
      <c r="AF46" s="240">
        <f>(AC46-AD46)*(1-Recovery_OX!U41)</f>
        <v>0</v>
      </c>
    </row>
    <row r="47" spans="2:32">
      <c r="B47" s="313">
        <f t="shared" si="1"/>
        <v>2030</v>
      </c>
      <c r="C47" s="775">
        <f>IF(Select2=1,Food!$K49,"")</f>
        <v>0</v>
      </c>
      <c r="D47" s="776">
        <f>IF(Select2=1,Paper!$K49,"")</f>
        <v>0</v>
      </c>
      <c r="E47" s="770">
        <f>IF(Select2=1,Nappies!$K49,"")</f>
        <v>0</v>
      </c>
      <c r="F47" s="776">
        <f>IF(Select2=1,Garden!$K49,"")</f>
        <v>0</v>
      </c>
      <c r="G47" s="770">
        <f>IF(Select2=1,Wood!$K49,"")</f>
        <v>0</v>
      </c>
      <c r="H47" s="776">
        <f>IF(Select2=1,Textiles!$K49,"")</f>
        <v>0</v>
      </c>
      <c r="I47" s="777">
        <f>Sludge!K49</f>
        <v>0</v>
      </c>
      <c r="J47" s="777" t="str">
        <f>IF(Select2=2,MSW!$K49,"")</f>
        <v/>
      </c>
      <c r="K47" s="777">
        <f>Industry!$K49</f>
        <v>0</v>
      </c>
      <c r="L47" s="778">
        <f t="shared" si="3"/>
        <v>0</v>
      </c>
      <c r="M47" s="779">
        <f>Recovery_OX!C42</f>
        <v>0</v>
      </c>
      <c r="N47" s="426"/>
      <c r="O47" s="659">
        <f>(L47-M47)*(1-Recovery_OX!F42)</f>
        <v>0</v>
      </c>
      <c r="P47" s="148"/>
      <c r="Q47" s="455"/>
      <c r="S47" s="313">
        <f t="shared" si="2"/>
        <v>2030</v>
      </c>
      <c r="T47" s="310">
        <f>IF(Select2=1,Food!$W49,"")</f>
        <v>0</v>
      </c>
      <c r="U47" s="301">
        <f>IF(Select2=1,Paper!$W49,"")</f>
        <v>0</v>
      </c>
      <c r="V47" s="297">
        <f>IF(Select2=1,Nappies!$W49,"")</f>
        <v>0</v>
      </c>
      <c r="W47" s="301">
        <f>IF(Select2=1,Garden!$W49,"")</f>
        <v>0</v>
      </c>
      <c r="X47" s="297">
        <f>IF(Select2=1,Wood!$W49,"")</f>
        <v>0</v>
      </c>
      <c r="Y47" s="301">
        <f>IF(Select2=1,Textiles!$W49,"")</f>
        <v>0</v>
      </c>
      <c r="Z47" s="299">
        <f>Sludge!W49</f>
        <v>0</v>
      </c>
      <c r="AA47" s="299" t="str">
        <f>IF(Select2=2,MSW!$W49,"")</f>
        <v/>
      </c>
      <c r="AB47" s="302">
        <f>Industry!$W49</f>
        <v>0</v>
      </c>
      <c r="AC47" s="335">
        <f t="shared" si="0"/>
        <v>0</v>
      </c>
      <c r="AD47" s="303">
        <f>Recovery_OX!R42</f>
        <v>0</v>
      </c>
      <c r="AE47" s="426"/>
      <c r="AF47" s="240">
        <f>(AC47-AD47)*(1-Recovery_OX!U42)</f>
        <v>0</v>
      </c>
    </row>
    <row r="48" spans="2:32">
      <c r="B48" s="313">
        <f t="shared" si="1"/>
        <v>2031</v>
      </c>
      <c r="C48" s="310">
        <f>IF(Select2=1,Food!$K50,"")</f>
        <v>0</v>
      </c>
      <c r="D48" s="301">
        <f>IF(Select2=1,Paper!$K50,"")</f>
        <v>0</v>
      </c>
      <c r="E48" s="297">
        <f>IF(Select2=1,Nappies!$K50,"")</f>
        <v>0</v>
      </c>
      <c r="F48" s="301">
        <f>IF(Select2=1,Garden!$K50,"")</f>
        <v>0</v>
      </c>
      <c r="G48" s="297">
        <f>IF(Select2=1,Wood!$K50,"")</f>
        <v>0</v>
      </c>
      <c r="H48" s="301">
        <f>IF(Select2=1,Textiles!$K50,"")</f>
        <v>0</v>
      </c>
      <c r="I48" s="302">
        <f>Sludge!K50</f>
        <v>0</v>
      </c>
      <c r="J48" s="302" t="str">
        <f>IF(Select2=2,MSW!$K50,"")</f>
        <v/>
      </c>
      <c r="K48" s="302">
        <f>Industry!$K50</f>
        <v>0</v>
      </c>
      <c r="L48" s="335">
        <f t="shared" si="3"/>
        <v>0</v>
      </c>
      <c r="M48" s="303">
        <f>Recovery_OX!C43</f>
        <v>0</v>
      </c>
      <c r="N48" s="426"/>
      <c r="O48" s="659">
        <f>(L48-M48)*(1-Recovery_OX!F43)</f>
        <v>0</v>
      </c>
      <c r="P48" s="148"/>
      <c r="Q48" s="455"/>
      <c r="S48" s="313">
        <f t="shared" si="2"/>
        <v>2031</v>
      </c>
      <c r="T48" s="310">
        <f>IF(Select2=1,Food!$W50,"")</f>
        <v>0</v>
      </c>
      <c r="U48" s="301">
        <f>IF(Select2=1,Paper!$W50,"")</f>
        <v>0</v>
      </c>
      <c r="V48" s="297">
        <f>IF(Select2=1,Nappies!$W50,"")</f>
        <v>0</v>
      </c>
      <c r="W48" s="301">
        <f>IF(Select2=1,Garden!$W50,"")</f>
        <v>0</v>
      </c>
      <c r="X48" s="297">
        <f>IF(Select2=1,Wood!$W50,"")</f>
        <v>0</v>
      </c>
      <c r="Y48" s="301">
        <f>IF(Select2=1,Textiles!$W50,"")</f>
        <v>0</v>
      </c>
      <c r="Z48" s="299">
        <f>Sludge!W50</f>
        <v>0</v>
      </c>
      <c r="AA48" s="299" t="str">
        <f>IF(Select2=2,MSW!$W50,"")</f>
        <v/>
      </c>
      <c r="AB48" s="302">
        <f>Industry!$W50</f>
        <v>0</v>
      </c>
      <c r="AC48" s="335">
        <f t="shared" si="0"/>
        <v>0</v>
      </c>
      <c r="AD48" s="303">
        <f>Recovery_OX!R43</f>
        <v>0</v>
      </c>
      <c r="AE48" s="426"/>
      <c r="AF48" s="240">
        <f>(AC48-AD48)*(1-Recovery_OX!U43)</f>
        <v>0</v>
      </c>
    </row>
    <row r="49" spans="2:32">
      <c r="B49" s="313">
        <f t="shared" si="1"/>
        <v>2032</v>
      </c>
      <c r="C49" s="310">
        <f>IF(Select2=1,Food!$K51,"")</f>
        <v>0</v>
      </c>
      <c r="D49" s="301">
        <f>IF(Select2=1,Paper!$K51,"")</f>
        <v>0</v>
      </c>
      <c r="E49" s="297">
        <f>IF(Select2=1,Nappies!$K51,"")</f>
        <v>0</v>
      </c>
      <c r="F49" s="301">
        <f>IF(Select2=1,Garden!$K51,"")</f>
        <v>0</v>
      </c>
      <c r="G49" s="297">
        <f>IF(Select2=1,Wood!$K51,"")</f>
        <v>0</v>
      </c>
      <c r="H49" s="301">
        <f>IF(Select2=1,Textiles!$K51,"")</f>
        <v>0</v>
      </c>
      <c r="I49" s="302">
        <f>Sludge!K51</f>
        <v>0</v>
      </c>
      <c r="J49" s="302" t="str">
        <f>IF(Select2=2,MSW!$K51,"")</f>
        <v/>
      </c>
      <c r="K49" s="302">
        <f>Industry!$K51</f>
        <v>0</v>
      </c>
      <c r="L49" s="335">
        <f t="shared" si="3"/>
        <v>0</v>
      </c>
      <c r="M49" s="303">
        <f>Recovery_OX!C44</f>
        <v>0</v>
      </c>
      <c r="N49" s="426"/>
      <c r="O49" s="659">
        <f>(L49-M49)*(1-Recovery_OX!F44)</f>
        <v>0</v>
      </c>
      <c r="P49" s="148"/>
      <c r="Q49" s="455"/>
      <c r="S49" s="313">
        <f t="shared" si="2"/>
        <v>2032</v>
      </c>
      <c r="T49" s="310">
        <f>IF(Select2=1,Food!$W51,"")</f>
        <v>0</v>
      </c>
      <c r="U49" s="301">
        <f>IF(Select2=1,Paper!$W51,"")</f>
        <v>0</v>
      </c>
      <c r="V49" s="297">
        <f>IF(Select2=1,Nappies!$W51,"")</f>
        <v>0</v>
      </c>
      <c r="W49" s="301">
        <f>IF(Select2=1,Garden!$W51,"")</f>
        <v>0</v>
      </c>
      <c r="X49" s="297">
        <f>IF(Select2=1,Wood!$W51,"")</f>
        <v>0</v>
      </c>
      <c r="Y49" s="301">
        <f>IF(Select2=1,Textiles!$W51,"")</f>
        <v>0</v>
      </c>
      <c r="Z49" s="299">
        <f>Sludge!W51</f>
        <v>0</v>
      </c>
      <c r="AA49" s="299" t="str">
        <f>IF(Select2=2,MSW!$W51,"")</f>
        <v/>
      </c>
      <c r="AB49" s="302">
        <f>Industry!$W51</f>
        <v>0</v>
      </c>
      <c r="AC49" s="335">
        <f t="shared" ref="AC49:AC80" si="4">SUM(T49:AA49)</f>
        <v>0</v>
      </c>
      <c r="AD49" s="303">
        <f>Recovery_OX!R44</f>
        <v>0</v>
      </c>
      <c r="AE49" s="426"/>
      <c r="AF49" s="240">
        <f>(AC49-AD49)*(1-Recovery_OX!U44)</f>
        <v>0</v>
      </c>
    </row>
    <row r="50" spans="2:32">
      <c r="B50" s="313">
        <f t="shared" si="1"/>
        <v>2033</v>
      </c>
      <c r="C50" s="310">
        <f>IF(Select2=1,Food!$K52,"")</f>
        <v>0</v>
      </c>
      <c r="D50" s="301">
        <f>IF(Select2=1,Paper!$K52,"")</f>
        <v>0</v>
      </c>
      <c r="E50" s="297">
        <f>IF(Select2=1,Nappies!$K52,"")</f>
        <v>0</v>
      </c>
      <c r="F50" s="301">
        <f>IF(Select2=1,Garden!$K52,"")</f>
        <v>0</v>
      </c>
      <c r="G50" s="297">
        <f>IF(Select2=1,Wood!$K52,"")</f>
        <v>0</v>
      </c>
      <c r="H50" s="301">
        <f>IF(Select2=1,Textiles!$K52,"")</f>
        <v>0</v>
      </c>
      <c r="I50" s="302">
        <f>Sludge!K52</f>
        <v>0</v>
      </c>
      <c r="J50" s="302" t="str">
        <f>IF(Select2=2,MSW!$K52,"")</f>
        <v/>
      </c>
      <c r="K50" s="302">
        <f>Industry!$K52</f>
        <v>0</v>
      </c>
      <c r="L50" s="335">
        <f t="shared" si="3"/>
        <v>0</v>
      </c>
      <c r="M50" s="303">
        <f>Recovery_OX!C45</f>
        <v>0</v>
      </c>
      <c r="N50" s="426"/>
      <c r="O50" s="659">
        <f>(L50-M50)*(1-Recovery_OX!F45)</f>
        <v>0</v>
      </c>
      <c r="P50" s="148"/>
      <c r="Q50" s="455"/>
      <c r="S50" s="313">
        <f t="shared" si="2"/>
        <v>2033</v>
      </c>
      <c r="T50" s="310">
        <f>IF(Select2=1,Food!$W52,"")</f>
        <v>0</v>
      </c>
      <c r="U50" s="301">
        <f>IF(Select2=1,Paper!$W52,"")</f>
        <v>0</v>
      </c>
      <c r="V50" s="297">
        <f>IF(Select2=1,Nappies!$W52,"")</f>
        <v>0</v>
      </c>
      <c r="W50" s="301">
        <f>IF(Select2=1,Garden!$W52,"")</f>
        <v>0</v>
      </c>
      <c r="X50" s="297">
        <f>IF(Select2=1,Wood!$W52,"")</f>
        <v>0</v>
      </c>
      <c r="Y50" s="301">
        <f>IF(Select2=1,Textiles!$W52,"")</f>
        <v>0</v>
      </c>
      <c r="Z50" s="299">
        <f>Sludge!W52</f>
        <v>0</v>
      </c>
      <c r="AA50" s="299" t="str">
        <f>IF(Select2=2,MSW!$W52,"")</f>
        <v/>
      </c>
      <c r="AB50" s="302">
        <f>Industry!$W52</f>
        <v>0</v>
      </c>
      <c r="AC50" s="335">
        <f t="shared" si="4"/>
        <v>0</v>
      </c>
      <c r="AD50" s="303">
        <f>Recovery_OX!R45</f>
        <v>0</v>
      </c>
      <c r="AE50" s="426"/>
      <c r="AF50" s="240">
        <f>(AC50-AD50)*(1-Recovery_OX!U45)</f>
        <v>0</v>
      </c>
    </row>
    <row r="51" spans="2:32">
      <c r="B51" s="313">
        <f t="shared" si="1"/>
        <v>2034</v>
      </c>
      <c r="C51" s="310">
        <f>IF(Select2=1,Food!$K53,"")</f>
        <v>0</v>
      </c>
      <c r="D51" s="301">
        <f>IF(Select2=1,Paper!$K53,"")</f>
        <v>0</v>
      </c>
      <c r="E51" s="297">
        <f>IF(Select2=1,Nappies!$K53,"")</f>
        <v>0</v>
      </c>
      <c r="F51" s="301">
        <f>IF(Select2=1,Garden!$K53,"")</f>
        <v>0</v>
      </c>
      <c r="G51" s="297">
        <f>IF(Select2=1,Wood!$K53,"")</f>
        <v>0</v>
      </c>
      <c r="H51" s="301">
        <f>IF(Select2=1,Textiles!$K53,"")</f>
        <v>0</v>
      </c>
      <c r="I51" s="302">
        <f>Sludge!K53</f>
        <v>0</v>
      </c>
      <c r="J51" s="302" t="str">
        <f>IF(Select2=2,MSW!$K53,"")</f>
        <v/>
      </c>
      <c r="K51" s="302">
        <f>Industry!$K53</f>
        <v>0</v>
      </c>
      <c r="L51" s="335">
        <f t="shared" si="3"/>
        <v>0</v>
      </c>
      <c r="M51" s="303">
        <f>Recovery_OX!C46</f>
        <v>0</v>
      </c>
      <c r="N51" s="426"/>
      <c r="O51" s="659">
        <f>(L51-M51)*(1-Recovery_OX!F46)</f>
        <v>0</v>
      </c>
      <c r="P51" s="148"/>
      <c r="Q51" s="455"/>
      <c r="S51" s="313">
        <f t="shared" si="2"/>
        <v>2034</v>
      </c>
      <c r="T51" s="310">
        <f>IF(Select2=1,Food!$W53,"")</f>
        <v>0</v>
      </c>
      <c r="U51" s="301">
        <f>IF(Select2=1,Paper!$W53,"")</f>
        <v>0</v>
      </c>
      <c r="V51" s="297">
        <f>IF(Select2=1,Nappies!$W53,"")</f>
        <v>0</v>
      </c>
      <c r="W51" s="301">
        <f>IF(Select2=1,Garden!$W53,"")</f>
        <v>0</v>
      </c>
      <c r="X51" s="297">
        <f>IF(Select2=1,Wood!$W53,"")</f>
        <v>0</v>
      </c>
      <c r="Y51" s="301">
        <f>IF(Select2=1,Textiles!$W53,"")</f>
        <v>0</v>
      </c>
      <c r="Z51" s="299">
        <f>Sludge!W53</f>
        <v>0</v>
      </c>
      <c r="AA51" s="299" t="str">
        <f>IF(Select2=2,MSW!$W53,"")</f>
        <v/>
      </c>
      <c r="AB51" s="302">
        <f>Industry!$W53</f>
        <v>0</v>
      </c>
      <c r="AC51" s="335">
        <f t="shared" si="4"/>
        <v>0</v>
      </c>
      <c r="AD51" s="303">
        <f>Recovery_OX!R46</f>
        <v>0</v>
      </c>
      <c r="AE51" s="426"/>
      <c r="AF51" s="240">
        <f>(AC51-AD51)*(1-Recovery_OX!U46)</f>
        <v>0</v>
      </c>
    </row>
    <row r="52" spans="2:32">
      <c r="B52" s="313">
        <f t="shared" si="1"/>
        <v>2035</v>
      </c>
      <c r="C52" s="310">
        <f>IF(Select2=1,Food!$K54,"")</f>
        <v>0</v>
      </c>
      <c r="D52" s="301">
        <f>IF(Select2=1,Paper!$K54,"")</f>
        <v>0</v>
      </c>
      <c r="E52" s="297">
        <f>IF(Select2=1,Nappies!$K54,"")</f>
        <v>0</v>
      </c>
      <c r="F52" s="301">
        <f>IF(Select2=1,Garden!$K54,"")</f>
        <v>0</v>
      </c>
      <c r="G52" s="297">
        <f>IF(Select2=1,Wood!$K54,"")</f>
        <v>0</v>
      </c>
      <c r="H52" s="301">
        <f>IF(Select2=1,Textiles!$K54,"")</f>
        <v>0</v>
      </c>
      <c r="I52" s="302">
        <f>Sludge!K54</f>
        <v>0</v>
      </c>
      <c r="J52" s="302" t="str">
        <f>IF(Select2=2,MSW!$K54,"")</f>
        <v/>
      </c>
      <c r="K52" s="302">
        <f>Industry!$K54</f>
        <v>0</v>
      </c>
      <c r="L52" s="335">
        <f t="shared" si="3"/>
        <v>0</v>
      </c>
      <c r="M52" s="303">
        <f>Recovery_OX!C47</f>
        <v>0</v>
      </c>
      <c r="N52" s="426"/>
      <c r="O52" s="659">
        <f>(L52-M52)*(1-Recovery_OX!F47)</f>
        <v>0</v>
      </c>
      <c r="P52" s="148"/>
      <c r="Q52" s="455"/>
      <c r="S52" s="313">
        <f t="shared" si="2"/>
        <v>2035</v>
      </c>
      <c r="T52" s="310">
        <f>IF(Select2=1,Food!$W54,"")</f>
        <v>0</v>
      </c>
      <c r="U52" s="301">
        <f>IF(Select2=1,Paper!$W54,"")</f>
        <v>0</v>
      </c>
      <c r="V52" s="297">
        <f>IF(Select2=1,Nappies!$W54,"")</f>
        <v>0</v>
      </c>
      <c r="W52" s="301">
        <f>IF(Select2=1,Garden!$W54,"")</f>
        <v>0</v>
      </c>
      <c r="X52" s="297">
        <f>IF(Select2=1,Wood!$W54,"")</f>
        <v>0</v>
      </c>
      <c r="Y52" s="301">
        <f>IF(Select2=1,Textiles!$W54,"")</f>
        <v>0</v>
      </c>
      <c r="Z52" s="299">
        <f>Sludge!W54</f>
        <v>0</v>
      </c>
      <c r="AA52" s="299" t="str">
        <f>IF(Select2=2,MSW!$W54,"")</f>
        <v/>
      </c>
      <c r="AB52" s="302">
        <f>Industry!$W54</f>
        <v>0</v>
      </c>
      <c r="AC52" s="335">
        <f t="shared" si="4"/>
        <v>0</v>
      </c>
      <c r="AD52" s="303">
        <f>Recovery_OX!R47</f>
        <v>0</v>
      </c>
      <c r="AE52" s="426"/>
      <c r="AF52" s="240">
        <f>(AC52-AD52)*(1-Recovery_OX!U47)</f>
        <v>0</v>
      </c>
    </row>
    <row r="53" spans="2:32">
      <c r="B53" s="313">
        <f t="shared" si="1"/>
        <v>2036</v>
      </c>
      <c r="C53" s="310">
        <f>IF(Select2=1,Food!$K55,"")</f>
        <v>0</v>
      </c>
      <c r="D53" s="301">
        <f>IF(Select2=1,Paper!$K55,"")</f>
        <v>0</v>
      </c>
      <c r="E53" s="297">
        <f>IF(Select2=1,Nappies!$K55,"")</f>
        <v>0</v>
      </c>
      <c r="F53" s="301">
        <f>IF(Select2=1,Garden!$K55,"")</f>
        <v>0</v>
      </c>
      <c r="G53" s="297">
        <f>IF(Select2=1,Wood!$K55,"")</f>
        <v>0</v>
      </c>
      <c r="H53" s="301">
        <f>IF(Select2=1,Textiles!$K55,"")</f>
        <v>0</v>
      </c>
      <c r="I53" s="302">
        <f>Sludge!K55</f>
        <v>0</v>
      </c>
      <c r="J53" s="302" t="str">
        <f>IF(Select2=2,MSW!$K55,"")</f>
        <v/>
      </c>
      <c r="K53" s="302">
        <f>Industry!$K55</f>
        <v>0</v>
      </c>
      <c r="L53" s="335">
        <f t="shared" si="3"/>
        <v>0</v>
      </c>
      <c r="M53" s="303">
        <f>Recovery_OX!C48</f>
        <v>0</v>
      </c>
      <c r="N53" s="426"/>
      <c r="O53" s="659">
        <f>(L53-M53)*(1-Recovery_OX!F48)</f>
        <v>0</v>
      </c>
      <c r="P53" s="148"/>
      <c r="Q53" s="455"/>
      <c r="S53" s="313">
        <f t="shared" si="2"/>
        <v>2036</v>
      </c>
      <c r="T53" s="310">
        <f>IF(Select2=1,Food!$W55,"")</f>
        <v>0</v>
      </c>
      <c r="U53" s="301">
        <f>IF(Select2=1,Paper!$W55,"")</f>
        <v>0</v>
      </c>
      <c r="V53" s="297">
        <f>IF(Select2=1,Nappies!$W55,"")</f>
        <v>0</v>
      </c>
      <c r="W53" s="301">
        <f>IF(Select2=1,Garden!$W55,"")</f>
        <v>0</v>
      </c>
      <c r="X53" s="297">
        <f>IF(Select2=1,Wood!$W55,"")</f>
        <v>0</v>
      </c>
      <c r="Y53" s="301">
        <f>IF(Select2=1,Textiles!$W55,"")</f>
        <v>0</v>
      </c>
      <c r="Z53" s="299">
        <f>Sludge!W55</f>
        <v>0</v>
      </c>
      <c r="AA53" s="299" t="str">
        <f>IF(Select2=2,MSW!$W55,"")</f>
        <v/>
      </c>
      <c r="AB53" s="302">
        <f>Industry!$W55</f>
        <v>0</v>
      </c>
      <c r="AC53" s="335">
        <f t="shared" si="4"/>
        <v>0</v>
      </c>
      <c r="AD53" s="303">
        <f>Recovery_OX!R48</f>
        <v>0</v>
      </c>
      <c r="AE53" s="426"/>
      <c r="AF53" s="240">
        <f>(AC53-AD53)*(1-Recovery_OX!U48)</f>
        <v>0</v>
      </c>
    </row>
    <row r="54" spans="2:32">
      <c r="B54" s="313">
        <f t="shared" si="1"/>
        <v>2037</v>
      </c>
      <c r="C54" s="310">
        <f>IF(Select2=1,Food!$K56,"")</f>
        <v>0</v>
      </c>
      <c r="D54" s="301">
        <f>IF(Select2=1,Paper!$K56,"")</f>
        <v>0</v>
      </c>
      <c r="E54" s="297">
        <f>IF(Select2=1,Nappies!$K56,"")</f>
        <v>0</v>
      </c>
      <c r="F54" s="301">
        <f>IF(Select2=1,Garden!$K56,"")</f>
        <v>0</v>
      </c>
      <c r="G54" s="297">
        <f>IF(Select2=1,Wood!$K56,"")</f>
        <v>0</v>
      </c>
      <c r="H54" s="301">
        <f>IF(Select2=1,Textiles!$K56,"")</f>
        <v>0</v>
      </c>
      <c r="I54" s="302">
        <f>Sludge!K56</f>
        <v>0</v>
      </c>
      <c r="J54" s="302" t="str">
        <f>IF(Select2=2,MSW!$K56,"")</f>
        <v/>
      </c>
      <c r="K54" s="302">
        <f>Industry!$K56</f>
        <v>0</v>
      </c>
      <c r="L54" s="335">
        <f t="shared" si="3"/>
        <v>0</v>
      </c>
      <c r="M54" s="303">
        <f>Recovery_OX!C49</f>
        <v>0</v>
      </c>
      <c r="N54" s="426"/>
      <c r="O54" s="659">
        <f>(L54-M54)*(1-Recovery_OX!F49)</f>
        <v>0</v>
      </c>
      <c r="P54" s="148"/>
      <c r="Q54" s="455"/>
      <c r="S54" s="313">
        <f t="shared" si="2"/>
        <v>2037</v>
      </c>
      <c r="T54" s="310">
        <f>IF(Select2=1,Food!$W56,"")</f>
        <v>0</v>
      </c>
      <c r="U54" s="301">
        <f>IF(Select2=1,Paper!$W56,"")</f>
        <v>0</v>
      </c>
      <c r="V54" s="297">
        <f>IF(Select2=1,Nappies!$W56,"")</f>
        <v>0</v>
      </c>
      <c r="W54" s="301">
        <f>IF(Select2=1,Garden!$W56,"")</f>
        <v>0</v>
      </c>
      <c r="X54" s="297">
        <f>IF(Select2=1,Wood!$W56,"")</f>
        <v>0</v>
      </c>
      <c r="Y54" s="301">
        <f>IF(Select2=1,Textiles!$W56,"")</f>
        <v>0</v>
      </c>
      <c r="Z54" s="299">
        <f>Sludge!W56</f>
        <v>0</v>
      </c>
      <c r="AA54" s="299" t="str">
        <f>IF(Select2=2,MSW!$W56,"")</f>
        <v/>
      </c>
      <c r="AB54" s="302">
        <f>Industry!$W56</f>
        <v>0</v>
      </c>
      <c r="AC54" s="335">
        <f t="shared" si="4"/>
        <v>0</v>
      </c>
      <c r="AD54" s="303">
        <f>Recovery_OX!R49</f>
        <v>0</v>
      </c>
      <c r="AE54" s="426"/>
      <c r="AF54" s="240">
        <f>(AC54-AD54)*(1-Recovery_OX!U49)</f>
        <v>0</v>
      </c>
    </row>
    <row r="55" spans="2:32">
      <c r="B55" s="313">
        <f t="shared" si="1"/>
        <v>2038</v>
      </c>
      <c r="C55" s="310">
        <f>IF(Select2=1,Food!$K57,"")</f>
        <v>0</v>
      </c>
      <c r="D55" s="301">
        <f>IF(Select2=1,Paper!$K57,"")</f>
        <v>0</v>
      </c>
      <c r="E55" s="297">
        <f>IF(Select2=1,Nappies!$K57,"")</f>
        <v>0</v>
      </c>
      <c r="F55" s="301">
        <f>IF(Select2=1,Garden!$K57,"")</f>
        <v>0</v>
      </c>
      <c r="G55" s="297">
        <f>IF(Select2=1,Wood!$K57,"")</f>
        <v>0</v>
      </c>
      <c r="H55" s="301">
        <f>IF(Select2=1,Textiles!$K57,"")</f>
        <v>0</v>
      </c>
      <c r="I55" s="302">
        <f>Sludge!K57</f>
        <v>0</v>
      </c>
      <c r="J55" s="302" t="str">
        <f>IF(Select2=2,MSW!$K57,"")</f>
        <v/>
      </c>
      <c r="K55" s="302">
        <f>Industry!$K57</f>
        <v>0</v>
      </c>
      <c r="L55" s="335">
        <f t="shared" si="3"/>
        <v>0</v>
      </c>
      <c r="M55" s="303">
        <f>Recovery_OX!C50</f>
        <v>0</v>
      </c>
      <c r="N55" s="426"/>
      <c r="O55" s="659">
        <f>(L55-M55)*(1-Recovery_OX!F50)</f>
        <v>0</v>
      </c>
      <c r="P55" s="148"/>
      <c r="Q55" s="455"/>
      <c r="S55" s="313">
        <f t="shared" si="2"/>
        <v>2038</v>
      </c>
      <c r="T55" s="310">
        <f>IF(Select2=1,Food!$W57,"")</f>
        <v>0</v>
      </c>
      <c r="U55" s="301">
        <f>IF(Select2=1,Paper!$W57,"")</f>
        <v>0</v>
      </c>
      <c r="V55" s="297">
        <f>IF(Select2=1,Nappies!$W57,"")</f>
        <v>0</v>
      </c>
      <c r="W55" s="301">
        <f>IF(Select2=1,Garden!$W57,"")</f>
        <v>0</v>
      </c>
      <c r="X55" s="297">
        <f>IF(Select2=1,Wood!$W57,"")</f>
        <v>0</v>
      </c>
      <c r="Y55" s="301">
        <f>IF(Select2=1,Textiles!$W57,"")</f>
        <v>0</v>
      </c>
      <c r="Z55" s="299">
        <f>Sludge!W57</f>
        <v>0</v>
      </c>
      <c r="AA55" s="299" t="str">
        <f>IF(Select2=2,MSW!$W57,"")</f>
        <v/>
      </c>
      <c r="AB55" s="302">
        <f>Industry!$W57</f>
        <v>0</v>
      </c>
      <c r="AC55" s="335">
        <f t="shared" si="4"/>
        <v>0</v>
      </c>
      <c r="AD55" s="303">
        <f>Recovery_OX!R50</f>
        <v>0</v>
      </c>
      <c r="AE55" s="426"/>
      <c r="AF55" s="240">
        <f>(AC55-AD55)*(1-Recovery_OX!U50)</f>
        <v>0</v>
      </c>
    </row>
    <row r="56" spans="2:32">
      <c r="B56" s="313">
        <f t="shared" si="1"/>
        <v>2039</v>
      </c>
      <c r="C56" s="310">
        <f>IF(Select2=1,Food!$K58,"")</f>
        <v>0</v>
      </c>
      <c r="D56" s="301">
        <f>IF(Select2=1,Paper!$K58,"")</f>
        <v>0</v>
      </c>
      <c r="E56" s="297">
        <f>IF(Select2=1,Nappies!$K58,"")</f>
        <v>0</v>
      </c>
      <c r="F56" s="301">
        <f>IF(Select2=1,Garden!$K58,"")</f>
        <v>0</v>
      </c>
      <c r="G56" s="297">
        <f>IF(Select2=1,Wood!$K58,"")</f>
        <v>0</v>
      </c>
      <c r="H56" s="301">
        <f>IF(Select2=1,Textiles!$K58,"")</f>
        <v>0</v>
      </c>
      <c r="I56" s="302">
        <f>Sludge!K58</f>
        <v>0</v>
      </c>
      <c r="J56" s="302" t="str">
        <f>IF(Select2=2,MSW!$K58,"")</f>
        <v/>
      </c>
      <c r="K56" s="302">
        <f>Industry!$K58</f>
        <v>0</v>
      </c>
      <c r="L56" s="335">
        <f t="shared" si="3"/>
        <v>0</v>
      </c>
      <c r="M56" s="303">
        <f>Recovery_OX!C51</f>
        <v>0</v>
      </c>
      <c r="N56" s="426"/>
      <c r="O56" s="659">
        <f>(L56-M56)*(1-Recovery_OX!F51)</f>
        <v>0</v>
      </c>
      <c r="P56" s="148"/>
      <c r="Q56" s="455"/>
      <c r="S56" s="313">
        <f t="shared" si="2"/>
        <v>2039</v>
      </c>
      <c r="T56" s="310">
        <f>IF(Select2=1,Food!$W58,"")</f>
        <v>0</v>
      </c>
      <c r="U56" s="301">
        <f>IF(Select2=1,Paper!$W58,"")</f>
        <v>0</v>
      </c>
      <c r="V56" s="297">
        <f>IF(Select2=1,Nappies!$W58,"")</f>
        <v>0</v>
      </c>
      <c r="W56" s="301">
        <f>IF(Select2=1,Garden!$W58,"")</f>
        <v>0</v>
      </c>
      <c r="X56" s="297">
        <f>IF(Select2=1,Wood!$W58,"")</f>
        <v>0</v>
      </c>
      <c r="Y56" s="301">
        <f>IF(Select2=1,Textiles!$W58,"")</f>
        <v>0</v>
      </c>
      <c r="Z56" s="299">
        <f>Sludge!W58</f>
        <v>0</v>
      </c>
      <c r="AA56" s="299" t="str">
        <f>IF(Select2=2,MSW!$W58,"")</f>
        <v/>
      </c>
      <c r="AB56" s="302">
        <f>Industry!$W58</f>
        <v>0</v>
      </c>
      <c r="AC56" s="335">
        <f t="shared" si="4"/>
        <v>0</v>
      </c>
      <c r="AD56" s="303">
        <f>Recovery_OX!R51</f>
        <v>0</v>
      </c>
      <c r="AE56" s="426"/>
      <c r="AF56" s="240">
        <f>(AC56-AD56)*(1-Recovery_OX!U51)</f>
        <v>0</v>
      </c>
    </row>
    <row r="57" spans="2:32">
      <c r="B57" s="313">
        <f t="shared" si="1"/>
        <v>2040</v>
      </c>
      <c r="C57" s="310">
        <f>IF(Select2=1,Food!$K59,"")</f>
        <v>0</v>
      </c>
      <c r="D57" s="301">
        <f>IF(Select2=1,Paper!$K59,"")</f>
        <v>0</v>
      </c>
      <c r="E57" s="297">
        <f>IF(Select2=1,Nappies!$K59,"")</f>
        <v>0</v>
      </c>
      <c r="F57" s="301">
        <f>IF(Select2=1,Garden!$K59,"")</f>
        <v>0</v>
      </c>
      <c r="G57" s="297">
        <f>IF(Select2=1,Wood!$K59,"")</f>
        <v>0</v>
      </c>
      <c r="H57" s="301">
        <f>IF(Select2=1,Textiles!$K59,"")</f>
        <v>0</v>
      </c>
      <c r="I57" s="302">
        <f>Sludge!K59</f>
        <v>0</v>
      </c>
      <c r="J57" s="302" t="str">
        <f>IF(Select2=2,MSW!$K59,"")</f>
        <v/>
      </c>
      <c r="K57" s="302">
        <f>Industry!$K59</f>
        <v>0</v>
      </c>
      <c r="L57" s="335">
        <f t="shared" si="3"/>
        <v>0</v>
      </c>
      <c r="M57" s="303">
        <f>Recovery_OX!C52</f>
        <v>0</v>
      </c>
      <c r="N57" s="426"/>
      <c r="O57" s="659">
        <f>(L57-M57)*(1-Recovery_OX!F52)</f>
        <v>0</v>
      </c>
      <c r="P57" s="148"/>
      <c r="Q57" s="455"/>
      <c r="S57" s="313">
        <f t="shared" si="2"/>
        <v>2040</v>
      </c>
      <c r="T57" s="310">
        <f>IF(Select2=1,Food!$W59,"")</f>
        <v>0</v>
      </c>
      <c r="U57" s="301">
        <f>IF(Select2=1,Paper!$W59,"")</f>
        <v>0</v>
      </c>
      <c r="V57" s="297">
        <f>IF(Select2=1,Nappies!$W59,"")</f>
        <v>0</v>
      </c>
      <c r="W57" s="301">
        <f>IF(Select2=1,Garden!$W59,"")</f>
        <v>0</v>
      </c>
      <c r="X57" s="297">
        <f>IF(Select2=1,Wood!$W59,"")</f>
        <v>0</v>
      </c>
      <c r="Y57" s="301">
        <f>IF(Select2=1,Textiles!$W59,"")</f>
        <v>0</v>
      </c>
      <c r="Z57" s="299">
        <f>Sludge!W59</f>
        <v>0</v>
      </c>
      <c r="AA57" s="299" t="str">
        <f>IF(Select2=2,MSW!$W59,"")</f>
        <v/>
      </c>
      <c r="AB57" s="302">
        <f>Industry!$W59</f>
        <v>0</v>
      </c>
      <c r="AC57" s="335">
        <f t="shared" si="4"/>
        <v>0</v>
      </c>
      <c r="AD57" s="303">
        <f>Recovery_OX!R52</f>
        <v>0</v>
      </c>
      <c r="AE57" s="426"/>
      <c r="AF57" s="240">
        <f>(AC57-AD57)*(1-Recovery_OX!U52)</f>
        <v>0</v>
      </c>
    </row>
    <row r="58" spans="2:32">
      <c r="B58" s="313">
        <f t="shared" si="1"/>
        <v>2041</v>
      </c>
      <c r="C58" s="310">
        <f>IF(Select2=1,Food!$K60,"")</f>
        <v>0</v>
      </c>
      <c r="D58" s="301">
        <f>IF(Select2=1,Paper!$K60,"")</f>
        <v>0</v>
      </c>
      <c r="E58" s="297">
        <f>IF(Select2=1,Nappies!$K60,"")</f>
        <v>0</v>
      </c>
      <c r="F58" s="301">
        <f>IF(Select2=1,Garden!$K60,"")</f>
        <v>0</v>
      </c>
      <c r="G58" s="297">
        <f>IF(Select2=1,Wood!$K60,"")</f>
        <v>0</v>
      </c>
      <c r="H58" s="301">
        <f>IF(Select2=1,Textiles!$K60,"")</f>
        <v>0</v>
      </c>
      <c r="I58" s="302">
        <f>Sludge!K60</f>
        <v>0</v>
      </c>
      <c r="J58" s="302" t="str">
        <f>IF(Select2=2,MSW!$K60,"")</f>
        <v/>
      </c>
      <c r="K58" s="302">
        <f>Industry!$K60</f>
        <v>0</v>
      </c>
      <c r="L58" s="335">
        <f t="shared" si="3"/>
        <v>0</v>
      </c>
      <c r="M58" s="303">
        <f>Recovery_OX!C53</f>
        <v>0</v>
      </c>
      <c r="N58" s="426"/>
      <c r="O58" s="659">
        <f>(L58-M58)*(1-Recovery_OX!F53)</f>
        <v>0</v>
      </c>
      <c r="P58" s="148"/>
      <c r="Q58" s="455"/>
      <c r="S58" s="313">
        <f t="shared" si="2"/>
        <v>2041</v>
      </c>
      <c r="T58" s="310">
        <f>IF(Select2=1,Food!$W60,"")</f>
        <v>0</v>
      </c>
      <c r="U58" s="301">
        <f>IF(Select2=1,Paper!$W60,"")</f>
        <v>0</v>
      </c>
      <c r="V58" s="297">
        <f>IF(Select2=1,Nappies!$W60,"")</f>
        <v>0</v>
      </c>
      <c r="W58" s="301">
        <f>IF(Select2=1,Garden!$W60,"")</f>
        <v>0</v>
      </c>
      <c r="X58" s="297">
        <f>IF(Select2=1,Wood!$W60,"")</f>
        <v>0</v>
      </c>
      <c r="Y58" s="301">
        <f>IF(Select2=1,Textiles!$W60,"")</f>
        <v>0</v>
      </c>
      <c r="Z58" s="299">
        <f>Sludge!W60</f>
        <v>0</v>
      </c>
      <c r="AA58" s="299" t="str">
        <f>IF(Select2=2,MSW!$W60,"")</f>
        <v/>
      </c>
      <c r="AB58" s="302">
        <f>Industry!$W60</f>
        <v>0</v>
      </c>
      <c r="AC58" s="335">
        <f t="shared" si="4"/>
        <v>0</v>
      </c>
      <c r="AD58" s="303">
        <f>Recovery_OX!R53</f>
        <v>0</v>
      </c>
      <c r="AE58" s="426"/>
      <c r="AF58" s="240">
        <f>(AC58-AD58)*(1-Recovery_OX!U53)</f>
        <v>0</v>
      </c>
    </row>
    <row r="59" spans="2:32">
      <c r="B59" s="313">
        <f t="shared" si="1"/>
        <v>2042</v>
      </c>
      <c r="C59" s="310">
        <f>IF(Select2=1,Food!$K61,"")</f>
        <v>0</v>
      </c>
      <c r="D59" s="301">
        <f>IF(Select2=1,Paper!$K61,"")</f>
        <v>0</v>
      </c>
      <c r="E59" s="297">
        <f>IF(Select2=1,Nappies!$K61,"")</f>
        <v>0</v>
      </c>
      <c r="F59" s="301">
        <f>IF(Select2=1,Garden!$K61,"")</f>
        <v>0</v>
      </c>
      <c r="G59" s="297">
        <f>IF(Select2=1,Wood!$K61,"")</f>
        <v>0</v>
      </c>
      <c r="H59" s="301">
        <f>IF(Select2=1,Textiles!$K61,"")</f>
        <v>0</v>
      </c>
      <c r="I59" s="302">
        <f>Sludge!K61</f>
        <v>0</v>
      </c>
      <c r="J59" s="302" t="str">
        <f>IF(Select2=2,MSW!$K61,"")</f>
        <v/>
      </c>
      <c r="K59" s="302">
        <f>Industry!$K61</f>
        <v>0</v>
      </c>
      <c r="L59" s="335">
        <f t="shared" si="3"/>
        <v>0</v>
      </c>
      <c r="M59" s="303">
        <f>Recovery_OX!C54</f>
        <v>0</v>
      </c>
      <c r="N59" s="426"/>
      <c r="O59" s="659">
        <f>(L59-M59)*(1-Recovery_OX!F54)</f>
        <v>0</v>
      </c>
      <c r="P59" s="148"/>
      <c r="Q59" s="455"/>
      <c r="S59" s="313">
        <f t="shared" si="2"/>
        <v>2042</v>
      </c>
      <c r="T59" s="310">
        <f>IF(Select2=1,Food!$W61,"")</f>
        <v>0</v>
      </c>
      <c r="U59" s="301">
        <f>IF(Select2=1,Paper!$W61,"")</f>
        <v>0</v>
      </c>
      <c r="V59" s="297">
        <f>IF(Select2=1,Nappies!$W61,"")</f>
        <v>0</v>
      </c>
      <c r="W59" s="301">
        <f>IF(Select2=1,Garden!$W61,"")</f>
        <v>0</v>
      </c>
      <c r="X59" s="297">
        <f>IF(Select2=1,Wood!$W61,"")</f>
        <v>0</v>
      </c>
      <c r="Y59" s="301">
        <f>IF(Select2=1,Textiles!$W61,"")</f>
        <v>0</v>
      </c>
      <c r="Z59" s="299">
        <f>Sludge!W61</f>
        <v>0</v>
      </c>
      <c r="AA59" s="299" t="str">
        <f>IF(Select2=2,MSW!$W61,"")</f>
        <v/>
      </c>
      <c r="AB59" s="302">
        <f>Industry!$W61</f>
        <v>0</v>
      </c>
      <c r="AC59" s="335">
        <f t="shared" si="4"/>
        <v>0</v>
      </c>
      <c r="AD59" s="303">
        <f>Recovery_OX!R54</f>
        <v>0</v>
      </c>
      <c r="AE59" s="426"/>
      <c r="AF59" s="240">
        <f>(AC59-AD59)*(1-Recovery_OX!U54)</f>
        <v>0</v>
      </c>
    </row>
    <row r="60" spans="2:32">
      <c r="B60" s="313">
        <f t="shared" si="1"/>
        <v>2043</v>
      </c>
      <c r="C60" s="310">
        <f>IF(Select2=1,Food!$K62,"")</f>
        <v>0</v>
      </c>
      <c r="D60" s="301">
        <f>IF(Select2=1,Paper!$K62,"")</f>
        <v>0</v>
      </c>
      <c r="E60" s="297">
        <f>IF(Select2=1,Nappies!$K62,"")</f>
        <v>0</v>
      </c>
      <c r="F60" s="301">
        <f>IF(Select2=1,Garden!$K62,"")</f>
        <v>0</v>
      </c>
      <c r="G60" s="297">
        <f>IF(Select2=1,Wood!$K62,"")</f>
        <v>0</v>
      </c>
      <c r="H60" s="301">
        <f>IF(Select2=1,Textiles!$K62,"")</f>
        <v>0</v>
      </c>
      <c r="I60" s="302">
        <f>Sludge!K62</f>
        <v>0</v>
      </c>
      <c r="J60" s="302" t="str">
        <f>IF(Select2=2,MSW!$K62,"")</f>
        <v/>
      </c>
      <c r="K60" s="302">
        <f>Industry!$K62</f>
        <v>0</v>
      </c>
      <c r="L60" s="335">
        <f t="shared" si="3"/>
        <v>0</v>
      </c>
      <c r="M60" s="303">
        <f>Recovery_OX!C55</f>
        <v>0</v>
      </c>
      <c r="N60" s="426"/>
      <c r="O60" s="659">
        <f>(L60-M60)*(1-Recovery_OX!F55)</f>
        <v>0</v>
      </c>
      <c r="P60" s="148"/>
      <c r="Q60" s="455"/>
      <c r="S60" s="313">
        <f t="shared" si="2"/>
        <v>2043</v>
      </c>
      <c r="T60" s="310">
        <f>IF(Select2=1,Food!$W62,"")</f>
        <v>0</v>
      </c>
      <c r="U60" s="301">
        <f>IF(Select2=1,Paper!$W62,"")</f>
        <v>0</v>
      </c>
      <c r="V60" s="297">
        <f>IF(Select2=1,Nappies!$W62,"")</f>
        <v>0</v>
      </c>
      <c r="W60" s="301">
        <f>IF(Select2=1,Garden!$W62,"")</f>
        <v>0</v>
      </c>
      <c r="X60" s="297">
        <f>IF(Select2=1,Wood!$W62,"")</f>
        <v>0</v>
      </c>
      <c r="Y60" s="301">
        <f>IF(Select2=1,Textiles!$W62,"")</f>
        <v>0</v>
      </c>
      <c r="Z60" s="299">
        <f>Sludge!W62</f>
        <v>0</v>
      </c>
      <c r="AA60" s="299" t="str">
        <f>IF(Select2=2,MSW!$W62,"")</f>
        <v/>
      </c>
      <c r="AB60" s="302">
        <f>Industry!$W62</f>
        <v>0</v>
      </c>
      <c r="AC60" s="335">
        <f t="shared" si="4"/>
        <v>0</v>
      </c>
      <c r="AD60" s="303">
        <f>Recovery_OX!R55</f>
        <v>0</v>
      </c>
      <c r="AE60" s="426"/>
      <c r="AF60" s="240">
        <f>(AC60-AD60)*(1-Recovery_OX!U55)</f>
        <v>0</v>
      </c>
    </row>
    <row r="61" spans="2:32">
      <c r="B61" s="313">
        <f t="shared" si="1"/>
        <v>2044</v>
      </c>
      <c r="C61" s="310">
        <f>IF(Select2=1,Food!$K63,"")</f>
        <v>0</v>
      </c>
      <c r="D61" s="301">
        <f>IF(Select2=1,Paper!$K63,"")</f>
        <v>0</v>
      </c>
      <c r="E61" s="297">
        <f>IF(Select2=1,Nappies!$K63,"")</f>
        <v>0</v>
      </c>
      <c r="F61" s="301">
        <f>IF(Select2=1,Garden!$K63,"")</f>
        <v>0</v>
      </c>
      <c r="G61" s="297">
        <f>IF(Select2=1,Wood!$K63,"")</f>
        <v>0</v>
      </c>
      <c r="H61" s="301">
        <f>IF(Select2=1,Textiles!$K63,"")</f>
        <v>0</v>
      </c>
      <c r="I61" s="302">
        <f>Sludge!K63</f>
        <v>0</v>
      </c>
      <c r="J61" s="302" t="str">
        <f>IF(Select2=2,MSW!$K63,"")</f>
        <v/>
      </c>
      <c r="K61" s="302">
        <f>Industry!$K63</f>
        <v>0</v>
      </c>
      <c r="L61" s="335">
        <f t="shared" si="3"/>
        <v>0</v>
      </c>
      <c r="M61" s="303">
        <f>Recovery_OX!C56</f>
        <v>0</v>
      </c>
      <c r="N61" s="426"/>
      <c r="O61" s="659">
        <f>(L61-M61)*(1-Recovery_OX!F56)</f>
        <v>0</v>
      </c>
      <c r="P61" s="148"/>
      <c r="Q61" s="455"/>
      <c r="S61" s="313">
        <f t="shared" si="2"/>
        <v>2044</v>
      </c>
      <c r="T61" s="310">
        <f>IF(Select2=1,Food!$W63,"")</f>
        <v>0</v>
      </c>
      <c r="U61" s="301">
        <f>IF(Select2=1,Paper!$W63,"")</f>
        <v>0</v>
      </c>
      <c r="V61" s="297">
        <f>IF(Select2=1,Nappies!$W63,"")</f>
        <v>0</v>
      </c>
      <c r="W61" s="301">
        <f>IF(Select2=1,Garden!$W63,"")</f>
        <v>0</v>
      </c>
      <c r="X61" s="297">
        <f>IF(Select2=1,Wood!$W63,"")</f>
        <v>0</v>
      </c>
      <c r="Y61" s="301">
        <f>IF(Select2=1,Textiles!$W63,"")</f>
        <v>0</v>
      </c>
      <c r="Z61" s="299">
        <f>Sludge!W63</f>
        <v>0</v>
      </c>
      <c r="AA61" s="299" t="str">
        <f>IF(Select2=2,MSW!$W63,"")</f>
        <v/>
      </c>
      <c r="AB61" s="302">
        <f>Industry!$W63</f>
        <v>0</v>
      </c>
      <c r="AC61" s="335">
        <f t="shared" si="4"/>
        <v>0</v>
      </c>
      <c r="AD61" s="303">
        <f>Recovery_OX!R56</f>
        <v>0</v>
      </c>
      <c r="AE61" s="426"/>
      <c r="AF61" s="240">
        <f>(AC61-AD61)*(1-Recovery_OX!U56)</f>
        <v>0</v>
      </c>
    </row>
    <row r="62" spans="2:32">
      <c r="B62" s="313">
        <f t="shared" si="1"/>
        <v>2045</v>
      </c>
      <c r="C62" s="310">
        <f>IF(Select2=1,Food!$K64,"")</f>
        <v>0</v>
      </c>
      <c r="D62" s="301">
        <f>IF(Select2=1,Paper!$K64,"")</f>
        <v>0</v>
      </c>
      <c r="E62" s="297">
        <f>IF(Select2=1,Nappies!$K64,"")</f>
        <v>0</v>
      </c>
      <c r="F62" s="301">
        <f>IF(Select2=1,Garden!$K64,"")</f>
        <v>0</v>
      </c>
      <c r="G62" s="297">
        <f>IF(Select2=1,Wood!$K64,"")</f>
        <v>0</v>
      </c>
      <c r="H62" s="301">
        <f>IF(Select2=1,Textiles!$K64,"")</f>
        <v>0</v>
      </c>
      <c r="I62" s="302">
        <f>Sludge!K64</f>
        <v>0</v>
      </c>
      <c r="J62" s="302" t="str">
        <f>IF(Select2=2,MSW!$K64,"")</f>
        <v/>
      </c>
      <c r="K62" s="302">
        <f>Industry!$K64</f>
        <v>0</v>
      </c>
      <c r="L62" s="335">
        <f t="shared" si="3"/>
        <v>0</v>
      </c>
      <c r="M62" s="303">
        <f>Recovery_OX!C57</f>
        <v>0</v>
      </c>
      <c r="N62" s="426"/>
      <c r="O62" s="659">
        <f>(L62-M62)*(1-Recovery_OX!F57)</f>
        <v>0</v>
      </c>
      <c r="P62" s="148"/>
      <c r="Q62" s="455"/>
      <c r="S62" s="313">
        <f t="shared" si="2"/>
        <v>2045</v>
      </c>
      <c r="T62" s="310">
        <f>IF(Select2=1,Food!$W64,"")</f>
        <v>0</v>
      </c>
      <c r="U62" s="301">
        <f>IF(Select2=1,Paper!$W64,"")</f>
        <v>0</v>
      </c>
      <c r="V62" s="297">
        <f>IF(Select2=1,Nappies!$W64,"")</f>
        <v>0</v>
      </c>
      <c r="W62" s="301">
        <f>IF(Select2=1,Garden!$W64,"")</f>
        <v>0</v>
      </c>
      <c r="X62" s="297">
        <f>IF(Select2=1,Wood!$W64,"")</f>
        <v>0</v>
      </c>
      <c r="Y62" s="301">
        <f>IF(Select2=1,Textiles!$W64,"")</f>
        <v>0</v>
      </c>
      <c r="Z62" s="299">
        <f>Sludge!W64</f>
        <v>0</v>
      </c>
      <c r="AA62" s="299" t="str">
        <f>IF(Select2=2,MSW!$W64,"")</f>
        <v/>
      </c>
      <c r="AB62" s="302">
        <f>Industry!$W64</f>
        <v>0</v>
      </c>
      <c r="AC62" s="335">
        <f t="shared" si="4"/>
        <v>0</v>
      </c>
      <c r="AD62" s="303">
        <f>Recovery_OX!R57</f>
        <v>0</v>
      </c>
      <c r="AE62" s="426"/>
      <c r="AF62" s="240">
        <f>(AC62-AD62)*(1-Recovery_OX!U57)</f>
        <v>0</v>
      </c>
    </row>
    <row r="63" spans="2:32">
      <c r="B63" s="313">
        <f t="shared" si="1"/>
        <v>2046</v>
      </c>
      <c r="C63" s="310">
        <f>IF(Select2=1,Food!$K65,"")</f>
        <v>0</v>
      </c>
      <c r="D63" s="301">
        <f>IF(Select2=1,Paper!$K65,"")</f>
        <v>0</v>
      </c>
      <c r="E63" s="297">
        <f>IF(Select2=1,Nappies!$K65,"")</f>
        <v>0</v>
      </c>
      <c r="F63" s="301">
        <f>IF(Select2=1,Garden!$K65,"")</f>
        <v>0</v>
      </c>
      <c r="G63" s="297">
        <f>IF(Select2=1,Wood!$K65,"")</f>
        <v>0</v>
      </c>
      <c r="H63" s="301">
        <f>IF(Select2=1,Textiles!$K65,"")</f>
        <v>0</v>
      </c>
      <c r="I63" s="302">
        <f>Sludge!K65</f>
        <v>0</v>
      </c>
      <c r="J63" s="302" t="str">
        <f>IF(Select2=2,MSW!$K65,"")</f>
        <v/>
      </c>
      <c r="K63" s="302">
        <f>Industry!$K65</f>
        <v>0</v>
      </c>
      <c r="L63" s="335">
        <f t="shared" si="3"/>
        <v>0</v>
      </c>
      <c r="M63" s="303">
        <f>Recovery_OX!C58</f>
        <v>0</v>
      </c>
      <c r="N63" s="426"/>
      <c r="O63" s="659">
        <f>(L63-M63)*(1-Recovery_OX!F58)</f>
        <v>0</v>
      </c>
      <c r="P63" s="148"/>
      <c r="Q63" s="455"/>
      <c r="S63" s="313">
        <f t="shared" si="2"/>
        <v>2046</v>
      </c>
      <c r="T63" s="310">
        <f>IF(Select2=1,Food!$W65,"")</f>
        <v>0</v>
      </c>
      <c r="U63" s="301">
        <f>IF(Select2=1,Paper!$W65,"")</f>
        <v>0</v>
      </c>
      <c r="V63" s="297">
        <f>IF(Select2=1,Nappies!$W65,"")</f>
        <v>0</v>
      </c>
      <c r="W63" s="301">
        <f>IF(Select2=1,Garden!$W65,"")</f>
        <v>0</v>
      </c>
      <c r="X63" s="297">
        <f>IF(Select2=1,Wood!$W65,"")</f>
        <v>0</v>
      </c>
      <c r="Y63" s="301">
        <f>IF(Select2=1,Textiles!$W65,"")</f>
        <v>0</v>
      </c>
      <c r="Z63" s="299">
        <f>Sludge!W65</f>
        <v>0</v>
      </c>
      <c r="AA63" s="299" t="str">
        <f>IF(Select2=2,MSW!$W65,"")</f>
        <v/>
      </c>
      <c r="AB63" s="302">
        <f>Industry!$W65</f>
        <v>0</v>
      </c>
      <c r="AC63" s="335">
        <f t="shared" si="4"/>
        <v>0</v>
      </c>
      <c r="AD63" s="303">
        <f>Recovery_OX!R58</f>
        <v>0</v>
      </c>
      <c r="AE63" s="426"/>
      <c r="AF63" s="240">
        <f>(AC63-AD63)*(1-Recovery_OX!U58)</f>
        <v>0</v>
      </c>
    </row>
    <row r="64" spans="2:32">
      <c r="B64" s="313">
        <f t="shared" si="1"/>
        <v>2047</v>
      </c>
      <c r="C64" s="310">
        <f>IF(Select2=1,Food!$K66,"")</f>
        <v>0</v>
      </c>
      <c r="D64" s="301">
        <f>IF(Select2=1,Paper!$K66,"")</f>
        <v>0</v>
      </c>
      <c r="E64" s="297">
        <f>IF(Select2=1,Nappies!$K66,"")</f>
        <v>0</v>
      </c>
      <c r="F64" s="301">
        <f>IF(Select2=1,Garden!$K66,"")</f>
        <v>0</v>
      </c>
      <c r="G64" s="297">
        <f>IF(Select2=1,Wood!$K66,"")</f>
        <v>0</v>
      </c>
      <c r="H64" s="301">
        <f>IF(Select2=1,Textiles!$K66,"")</f>
        <v>0</v>
      </c>
      <c r="I64" s="302">
        <f>Sludge!K66</f>
        <v>0</v>
      </c>
      <c r="J64" s="302" t="str">
        <f>IF(Select2=2,MSW!$K66,"")</f>
        <v/>
      </c>
      <c r="K64" s="302">
        <f>Industry!$K66</f>
        <v>0</v>
      </c>
      <c r="L64" s="335">
        <f t="shared" si="3"/>
        <v>0</v>
      </c>
      <c r="M64" s="303">
        <f>Recovery_OX!C59</f>
        <v>0</v>
      </c>
      <c r="N64" s="426"/>
      <c r="O64" s="659">
        <f>(L64-M64)*(1-Recovery_OX!F59)</f>
        <v>0</v>
      </c>
      <c r="P64" s="148"/>
      <c r="Q64" s="455"/>
      <c r="S64" s="313">
        <f t="shared" si="2"/>
        <v>2047</v>
      </c>
      <c r="T64" s="310">
        <f>IF(Select2=1,Food!$W66,"")</f>
        <v>0</v>
      </c>
      <c r="U64" s="301">
        <f>IF(Select2=1,Paper!$W66,"")</f>
        <v>0</v>
      </c>
      <c r="V64" s="297">
        <f>IF(Select2=1,Nappies!$W66,"")</f>
        <v>0</v>
      </c>
      <c r="W64" s="301">
        <f>IF(Select2=1,Garden!$W66,"")</f>
        <v>0</v>
      </c>
      <c r="X64" s="297">
        <f>IF(Select2=1,Wood!$W66,"")</f>
        <v>0</v>
      </c>
      <c r="Y64" s="301">
        <f>IF(Select2=1,Textiles!$W66,"")</f>
        <v>0</v>
      </c>
      <c r="Z64" s="299">
        <f>Sludge!W66</f>
        <v>0</v>
      </c>
      <c r="AA64" s="299" t="str">
        <f>IF(Select2=2,MSW!$W66,"")</f>
        <v/>
      </c>
      <c r="AB64" s="302">
        <f>Industry!$W66</f>
        <v>0</v>
      </c>
      <c r="AC64" s="335">
        <f t="shared" si="4"/>
        <v>0</v>
      </c>
      <c r="AD64" s="303">
        <f>Recovery_OX!R59</f>
        <v>0</v>
      </c>
      <c r="AE64" s="426"/>
      <c r="AF64" s="240">
        <f>(AC64-AD64)*(1-Recovery_OX!U59)</f>
        <v>0</v>
      </c>
    </row>
    <row r="65" spans="2:32">
      <c r="B65" s="313">
        <f t="shared" si="1"/>
        <v>2048</v>
      </c>
      <c r="C65" s="310">
        <f>IF(Select2=1,Food!$K67,"")</f>
        <v>0</v>
      </c>
      <c r="D65" s="301">
        <f>IF(Select2=1,Paper!$K67,"")</f>
        <v>0</v>
      </c>
      <c r="E65" s="297">
        <f>IF(Select2=1,Nappies!$K67,"")</f>
        <v>0</v>
      </c>
      <c r="F65" s="301">
        <f>IF(Select2=1,Garden!$K67,"")</f>
        <v>0</v>
      </c>
      <c r="G65" s="297">
        <f>IF(Select2=1,Wood!$K67,"")</f>
        <v>0</v>
      </c>
      <c r="H65" s="301">
        <f>IF(Select2=1,Textiles!$K67,"")</f>
        <v>0</v>
      </c>
      <c r="I65" s="302">
        <f>Sludge!K67</f>
        <v>0</v>
      </c>
      <c r="J65" s="302" t="str">
        <f>IF(Select2=2,MSW!$K67,"")</f>
        <v/>
      </c>
      <c r="K65" s="302">
        <f>Industry!$K67</f>
        <v>0</v>
      </c>
      <c r="L65" s="335">
        <f t="shared" si="3"/>
        <v>0</v>
      </c>
      <c r="M65" s="303">
        <f>Recovery_OX!C60</f>
        <v>0</v>
      </c>
      <c r="N65" s="426"/>
      <c r="O65" s="659">
        <f>(L65-M65)*(1-Recovery_OX!F60)</f>
        <v>0</v>
      </c>
      <c r="P65" s="148"/>
      <c r="Q65" s="455"/>
      <c r="S65" s="313">
        <f t="shared" si="2"/>
        <v>2048</v>
      </c>
      <c r="T65" s="310">
        <f>IF(Select2=1,Food!$W67,"")</f>
        <v>0</v>
      </c>
      <c r="U65" s="301">
        <f>IF(Select2=1,Paper!$W67,"")</f>
        <v>0</v>
      </c>
      <c r="V65" s="297">
        <f>IF(Select2=1,Nappies!$W67,"")</f>
        <v>0</v>
      </c>
      <c r="W65" s="301">
        <f>IF(Select2=1,Garden!$W67,"")</f>
        <v>0</v>
      </c>
      <c r="X65" s="297">
        <f>IF(Select2=1,Wood!$W67,"")</f>
        <v>0</v>
      </c>
      <c r="Y65" s="301">
        <f>IF(Select2=1,Textiles!$W67,"")</f>
        <v>0</v>
      </c>
      <c r="Z65" s="299">
        <f>Sludge!W67</f>
        <v>0</v>
      </c>
      <c r="AA65" s="299" t="str">
        <f>IF(Select2=2,MSW!$W67,"")</f>
        <v/>
      </c>
      <c r="AB65" s="302">
        <f>Industry!$W67</f>
        <v>0</v>
      </c>
      <c r="AC65" s="335">
        <f t="shared" si="4"/>
        <v>0</v>
      </c>
      <c r="AD65" s="303">
        <f>Recovery_OX!R60</f>
        <v>0</v>
      </c>
      <c r="AE65" s="426"/>
      <c r="AF65" s="240">
        <f>(AC65-AD65)*(1-Recovery_OX!U60)</f>
        <v>0</v>
      </c>
    </row>
    <row r="66" spans="2:32">
      <c r="B66" s="313">
        <f t="shared" si="1"/>
        <v>2049</v>
      </c>
      <c r="C66" s="310">
        <f>IF(Select2=1,Food!$K68,"")</f>
        <v>0</v>
      </c>
      <c r="D66" s="301">
        <f>IF(Select2=1,Paper!$K68,"")</f>
        <v>0</v>
      </c>
      <c r="E66" s="297">
        <f>IF(Select2=1,Nappies!$K68,"")</f>
        <v>0</v>
      </c>
      <c r="F66" s="301">
        <f>IF(Select2=1,Garden!$K68,"")</f>
        <v>0</v>
      </c>
      <c r="G66" s="297">
        <f>IF(Select2=1,Wood!$K68,"")</f>
        <v>0</v>
      </c>
      <c r="H66" s="301">
        <f>IF(Select2=1,Textiles!$K68,"")</f>
        <v>0</v>
      </c>
      <c r="I66" s="302">
        <f>Sludge!K68</f>
        <v>0</v>
      </c>
      <c r="J66" s="302" t="str">
        <f>IF(Select2=2,MSW!$K68,"")</f>
        <v/>
      </c>
      <c r="K66" s="302">
        <f>Industry!$K68</f>
        <v>0</v>
      </c>
      <c r="L66" s="335">
        <f t="shared" si="3"/>
        <v>0</v>
      </c>
      <c r="M66" s="303">
        <f>Recovery_OX!C61</f>
        <v>0</v>
      </c>
      <c r="N66" s="426"/>
      <c r="O66" s="659">
        <f>(L66-M66)*(1-Recovery_OX!F61)</f>
        <v>0</v>
      </c>
      <c r="P66" s="148"/>
      <c r="Q66" s="455"/>
      <c r="S66" s="313">
        <f t="shared" si="2"/>
        <v>2049</v>
      </c>
      <c r="T66" s="310">
        <f>IF(Select2=1,Food!$W68,"")</f>
        <v>0</v>
      </c>
      <c r="U66" s="301">
        <f>IF(Select2=1,Paper!$W68,"")</f>
        <v>0</v>
      </c>
      <c r="V66" s="297">
        <f>IF(Select2=1,Nappies!$W68,"")</f>
        <v>0</v>
      </c>
      <c r="W66" s="301">
        <f>IF(Select2=1,Garden!$W68,"")</f>
        <v>0</v>
      </c>
      <c r="X66" s="297">
        <f>IF(Select2=1,Wood!$W68,"")</f>
        <v>0</v>
      </c>
      <c r="Y66" s="301">
        <f>IF(Select2=1,Textiles!$W68,"")</f>
        <v>0</v>
      </c>
      <c r="Z66" s="299">
        <f>Sludge!W68</f>
        <v>0</v>
      </c>
      <c r="AA66" s="299" t="str">
        <f>IF(Select2=2,MSW!$W68,"")</f>
        <v/>
      </c>
      <c r="AB66" s="302">
        <f>Industry!$W68</f>
        <v>0</v>
      </c>
      <c r="AC66" s="335">
        <f t="shared" si="4"/>
        <v>0</v>
      </c>
      <c r="AD66" s="303">
        <f>Recovery_OX!R61</f>
        <v>0</v>
      </c>
      <c r="AE66" s="426"/>
      <c r="AF66" s="240">
        <f>(AC66-AD66)*(1-Recovery_OX!U61)</f>
        <v>0</v>
      </c>
    </row>
    <row r="67" spans="2:32">
      <c r="B67" s="313">
        <f t="shared" si="1"/>
        <v>2050</v>
      </c>
      <c r="C67" s="310">
        <f>IF(Select2=1,Food!$K69,"")</f>
        <v>0</v>
      </c>
      <c r="D67" s="301">
        <f>IF(Select2=1,Paper!$K69,"")</f>
        <v>0</v>
      </c>
      <c r="E67" s="297">
        <f>IF(Select2=1,Nappies!$K69,"")</f>
        <v>0</v>
      </c>
      <c r="F67" s="301">
        <f>IF(Select2=1,Garden!$K69,"")</f>
        <v>0</v>
      </c>
      <c r="G67" s="297">
        <f>IF(Select2=1,Wood!$K69,"")</f>
        <v>0</v>
      </c>
      <c r="H67" s="301">
        <f>IF(Select2=1,Textiles!$K69,"")</f>
        <v>0</v>
      </c>
      <c r="I67" s="302">
        <f>Sludge!K69</f>
        <v>0</v>
      </c>
      <c r="J67" s="302" t="str">
        <f>IF(Select2=2,MSW!$K69,"")</f>
        <v/>
      </c>
      <c r="K67" s="302">
        <f>Industry!$K69</f>
        <v>0</v>
      </c>
      <c r="L67" s="335">
        <f t="shared" si="3"/>
        <v>0</v>
      </c>
      <c r="M67" s="303">
        <f>Recovery_OX!C62</f>
        <v>0</v>
      </c>
      <c r="N67" s="426"/>
      <c r="O67" s="659">
        <f>(L67-M67)*(1-Recovery_OX!F62)</f>
        <v>0</v>
      </c>
      <c r="P67" s="148"/>
      <c r="Q67" s="455"/>
      <c r="S67" s="313">
        <f t="shared" si="2"/>
        <v>2050</v>
      </c>
      <c r="T67" s="310">
        <f>IF(Select2=1,Food!$W69,"")</f>
        <v>0</v>
      </c>
      <c r="U67" s="301">
        <f>IF(Select2=1,Paper!$W69,"")</f>
        <v>0</v>
      </c>
      <c r="V67" s="297">
        <f>IF(Select2=1,Nappies!$W69,"")</f>
        <v>0</v>
      </c>
      <c r="W67" s="301">
        <f>IF(Select2=1,Garden!$W69,"")</f>
        <v>0</v>
      </c>
      <c r="X67" s="297">
        <f>IF(Select2=1,Wood!$W69,"")</f>
        <v>0</v>
      </c>
      <c r="Y67" s="301">
        <f>IF(Select2=1,Textiles!$W69,"")</f>
        <v>0</v>
      </c>
      <c r="Z67" s="299">
        <f>Sludge!W69</f>
        <v>0</v>
      </c>
      <c r="AA67" s="299" t="str">
        <f>IF(Select2=2,MSW!$W69,"")</f>
        <v/>
      </c>
      <c r="AB67" s="302">
        <f>Industry!$W69</f>
        <v>0</v>
      </c>
      <c r="AC67" s="335">
        <f t="shared" si="4"/>
        <v>0</v>
      </c>
      <c r="AD67" s="303">
        <f>Recovery_OX!R62</f>
        <v>0</v>
      </c>
      <c r="AE67" s="426"/>
      <c r="AF67" s="240">
        <f>(AC67-AD67)*(1-Recovery_OX!U62)</f>
        <v>0</v>
      </c>
    </row>
    <row r="68" spans="2:32">
      <c r="B68" s="313">
        <f t="shared" si="1"/>
        <v>2051</v>
      </c>
      <c r="C68" s="310">
        <f>IF(Select2=1,Food!$K70,"")</f>
        <v>0</v>
      </c>
      <c r="D68" s="301">
        <f>IF(Select2=1,Paper!$K70,"")</f>
        <v>0</v>
      </c>
      <c r="E68" s="297">
        <f>IF(Select2=1,Nappies!$K70,"")</f>
        <v>0</v>
      </c>
      <c r="F68" s="301">
        <f>IF(Select2=1,Garden!$K70,"")</f>
        <v>0</v>
      </c>
      <c r="G68" s="297">
        <f>IF(Select2=1,Wood!$K70,"")</f>
        <v>0</v>
      </c>
      <c r="H68" s="301">
        <f>IF(Select2=1,Textiles!$K70,"")</f>
        <v>0</v>
      </c>
      <c r="I68" s="302">
        <f>Sludge!K70</f>
        <v>0</v>
      </c>
      <c r="J68" s="302" t="str">
        <f>IF(Select2=2,MSW!$K70,"")</f>
        <v/>
      </c>
      <c r="K68" s="302">
        <f>Industry!$K70</f>
        <v>0</v>
      </c>
      <c r="L68" s="335">
        <f t="shared" si="3"/>
        <v>0</v>
      </c>
      <c r="M68" s="303">
        <f>Recovery_OX!C63</f>
        <v>0</v>
      </c>
      <c r="N68" s="426"/>
      <c r="O68" s="659">
        <f>(L68-M68)*(1-Recovery_OX!F63)</f>
        <v>0</v>
      </c>
      <c r="P68" s="148"/>
      <c r="Q68" s="455"/>
      <c r="S68" s="313">
        <f t="shared" si="2"/>
        <v>2051</v>
      </c>
      <c r="T68" s="310">
        <f>IF(Select2=1,Food!$W70,"")</f>
        <v>0</v>
      </c>
      <c r="U68" s="301">
        <f>IF(Select2=1,Paper!$W70,"")</f>
        <v>0</v>
      </c>
      <c r="V68" s="297">
        <f>IF(Select2=1,Nappies!$W70,"")</f>
        <v>0</v>
      </c>
      <c r="W68" s="301">
        <f>IF(Select2=1,Garden!$W70,"")</f>
        <v>0</v>
      </c>
      <c r="X68" s="297">
        <f>IF(Select2=1,Wood!$W70,"")</f>
        <v>0</v>
      </c>
      <c r="Y68" s="301">
        <f>IF(Select2=1,Textiles!$W70,"")</f>
        <v>0</v>
      </c>
      <c r="Z68" s="299">
        <f>Sludge!W70</f>
        <v>0</v>
      </c>
      <c r="AA68" s="299" t="str">
        <f>IF(Select2=2,MSW!$W70,"")</f>
        <v/>
      </c>
      <c r="AB68" s="302">
        <f>Industry!$W70</f>
        <v>0</v>
      </c>
      <c r="AC68" s="335">
        <f t="shared" si="4"/>
        <v>0</v>
      </c>
      <c r="AD68" s="303">
        <f>Recovery_OX!R63</f>
        <v>0</v>
      </c>
      <c r="AE68" s="426"/>
      <c r="AF68" s="240">
        <f>(AC68-AD68)*(1-Recovery_OX!U63)</f>
        <v>0</v>
      </c>
    </row>
    <row r="69" spans="2:32">
      <c r="B69" s="313">
        <f t="shared" si="1"/>
        <v>2052</v>
      </c>
      <c r="C69" s="310">
        <f>IF(Select2=1,Food!$K71,"")</f>
        <v>0</v>
      </c>
      <c r="D69" s="301">
        <f>IF(Select2=1,Paper!$K71,"")</f>
        <v>0</v>
      </c>
      <c r="E69" s="297">
        <f>IF(Select2=1,Nappies!$K71,"")</f>
        <v>0</v>
      </c>
      <c r="F69" s="301">
        <f>IF(Select2=1,Garden!$K71,"")</f>
        <v>0</v>
      </c>
      <c r="G69" s="297">
        <f>IF(Select2=1,Wood!$K71,"")</f>
        <v>0</v>
      </c>
      <c r="H69" s="301">
        <f>IF(Select2=1,Textiles!$K71,"")</f>
        <v>0</v>
      </c>
      <c r="I69" s="302">
        <f>Sludge!K71</f>
        <v>0</v>
      </c>
      <c r="J69" s="302" t="str">
        <f>IF(Select2=2,MSW!$K71,"")</f>
        <v/>
      </c>
      <c r="K69" s="302">
        <f>Industry!$K71</f>
        <v>0</v>
      </c>
      <c r="L69" s="335">
        <f t="shared" si="3"/>
        <v>0</v>
      </c>
      <c r="M69" s="303">
        <f>Recovery_OX!C64</f>
        <v>0</v>
      </c>
      <c r="N69" s="426"/>
      <c r="O69" s="659">
        <f>(L69-M69)*(1-Recovery_OX!F64)</f>
        <v>0</v>
      </c>
      <c r="P69" s="148"/>
      <c r="Q69" s="455"/>
      <c r="S69" s="313">
        <f t="shared" si="2"/>
        <v>2052</v>
      </c>
      <c r="T69" s="310">
        <f>IF(Select2=1,Food!$W71,"")</f>
        <v>0</v>
      </c>
      <c r="U69" s="301">
        <f>IF(Select2=1,Paper!$W71,"")</f>
        <v>0</v>
      </c>
      <c r="V69" s="297">
        <f>IF(Select2=1,Nappies!$W71,"")</f>
        <v>0</v>
      </c>
      <c r="W69" s="301">
        <f>IF(Select2=1,Garden!$W71,"")</f>
        <v>0</v>
      </c>
      <c r="X69" s="297">
        <f>IF(Select2=1,Wood!$W71,"")</f>
        <v>0</v>
      </c>
      <c r="Y69" s="301">
        <f>IF(Select2=1,Textiles!$W71,"")</f>
        <v>0</v>
      </c>
      <c r="Z69" s="299">
        <f>Sludge!W71</f>
        <v>0</v>
      </c>
      <c r="AA69" s="299" t="str">
        <f>IF(Select2=2,MSW!$W71,"")</f>
        <v/>
      </c>
      <c r="AB69" s="302">
        <f>Industry!$W71</f>
        <v>0</v>
      </c>
      <c r="AC69" s="335">
        <f t="shared" si="4"/>
        <v>0</v>
      </c>
      <c r="AD69" s="303">
        <f>Recovery_OX!R64</f>
        <v>0</v>
      </c>
      <c r="AE69" s="426"/>
      <c r="AF69" s="240">
        <f>(AC69-AD69)*(1-Recovery_OX!U64)</f>
        <v>0</v>
      </c>
    </row>
    <row r="70" spans="2:32">
      <c r="B70" s="313">
        <f t="shared" si="1"/>
        <v>2053</v>
      </c>
      <c r="C70" s="310">
        <f>IF(Select2=1,Food!$K72,"")</f>
        <v>0</v>
      </c>
      <c r="D70" s="301">
        <f>IF(Select2=1,Paper!$K72,"")</f>
        <v>0</v>
      </c>
      <c r="E70" s="297">
        <f>IF(Select2=1,Nappies!$K72,"")</f>
        <v>0</v>
      </c>
      <c r="F70" s="301">
        <f>IF(Select2=1,Garden!$K72,"")</f>
        <v>0</v>
      </c>
      <c r="G70" s="297">
        <f>IF(Select2=1,Wood!$K72,"")</f>
        <v>0</v>
      </c>
      <c r="H70" s="301">
        <f>IF(Select2=1,Textiles!$K72,"")</f>
        <v>0</v>
      </c>
      <c r="I70" s="302">
        <f>Sludge!K72</f>
        <v>0</v>
      </c>
      <c r="J70" s="302" t="str">
        <f>IF(Select2=2,MSW!$K72,"")</f>
        <v/>
      </c>
      <c r="K70" s="302">
        <f>Industry!$K72</f>
        <v>0</v>
      </c>
      <c r="L70" s="335">
        <f t="shared" si="3"/>
        <v>0</v>
      </c>
      <c r="M70" s="303">
        <f>Recovery_OX!C65</f>
        <v>0</v>
      </c>
      <c r="N70" s="426"/>
      <c r="O70" s="659">
        <f>(L70-M70)*(1-Recovery_OX!F65)</f>
        <v>0</v>
      </c>
      <c r="P70" s="148"/>
      <c r="Q70" s="455"/>
      <c r="S70" s="313">
        <f t="shared" si="2"/>
        <v>2053</v>
      </c>
      <c r="T70" s="310">
        <f>IF(Select2=1,Food!$W72,"")</f>
        <v>0</v>
      </c>
      <c r="U70" s="301">
        <f>IF(Select2=1,Paper!$W72,"")</f>
        <v>0</v>
      </c>
      <c r="V70" s="297">
        <f>IF(Select2=1,Nappies!$W72,"")</f>
        <v>0</v>
      </c>
      <c r="W70" s="301">
        <f>IF(Select2=1,Garden!$W72,"")</f>
        <v>0</v>
      </c>
      <c r="X70" s="297">
        <f>IF(Select2=1,Wood!$W72,"")</f>
        <v>0</v>
      </c>
      <c r="Y70" s="301">
        <f>IF(Select2=1,Textiles!$W72,"")</f>
        <v>0</v>
      </c>
      <c r="Z70" s="299">
        <f>Sludge!W72</f>
        <v>0</v>
      </c>
      <c r="AA70" s="299" t="str">
        <f>IF(Select2=2,MSW!$W72,"")</f>
        <v/>
      </c>
      <c r="AB70" s="302">
        <f>Industry!$W72</f>
        <v>0</v>
      </c>
      <c r="AC70" s="335">
        <f t="shared" si="4"/>
        <v>0</v>
      </c>
      <c r="AD70" s="303">
        <f>Recovery_OX!R65</f>
        <v>0</v>
      </c>
      <c r="AE70" s="426"/>
      <c r="AF70" s="240">
        <f>(AC70-AD70)*(1-Recovery_OX!U65)</f>
        <v>0</v>
      </c>
    </row>
    <row r="71" spans="2:32">
      <c r="B71" s="313">
        <f t="shared" si="1"/>
        <v>2054</v>
      </c>
      <c r="C71" s="310">
        <f>IF(Select2=1,Food!$K73,"")</f>
        <v>0</v>
      </c>
      <c r="D71" s="301">
        <f>IF(Select2=1,Paper!$K73,"")</f>
        <v>0</v>
      </c>
      <c r="E71" s="297">
        <f>IF(Select2=1,Nappies!$K73,"")</f>
        <v>0</v>
      </c>
      <c r="F71" s="301">
        <f>IF(Select2=1,Garden!$K73,"")</f>
        <v>0</v>
      </c>
      <c r="G71" s="297">
        <f>IF(Select2=1,Wood!$K73,"")</f>
        <v>0</v>
      </c>
      <c r="H71" s="301">
        <f>IF(Select2=1,Textiles!$K73,"")</f>
        <v>0</v>
      </c>
      <c r="I71" s="302">
        <f>Sludge!K73</f>
        <v>0</v>
      </c>
      <c r="J71" s="302" t="str">
        <f>IF(Select2=2,MSW!$K73,"")</f>
        <v/>
      </c>
      <c r="K71" s="302">
        <f>Industry!$K73</f>
        <v>0</v>
      </c>
      <c r="L71" s="335">
        <f t="shared" si="3"/>
        <v>0</v>
      </c>
      <c r="M71" s="303">
        <f>Recovery_OX!C66</f>
        <v>0</v>
      </c>
      <c r="N71" s="426"/>
      <c r="O71" s="659">
        <f>(L71-M71)*(1-Recovery_OX!F66)</f>
        <v>0</v>
      </c>
      <c r="P71" s="148"/>
      <c r="Q71" s="455"/>
      <c r="S71" s="313">
        <f t="shared" si="2"/>
        <v>2054</v>
      </c>
      <c r="T71" s="310">
        <f>IF(Select2=1,Food!$W73,"")</f>
        <v>0</v>
      </c>
      <c r="U71" s="301">
        <f>IF(Select2=1,Paper!$W73,"")</f>
        <v>0</v>
      </c>
      <c r="V71" s="297">
        <f>IF(Select2=1,Nappies!$W73,"")</f>
        <v>0</v>
      </c>
      <c r="W71" s="301">
        <f>IF(Select2=1,Garden!$W73,"")</f>
        <v>0</v>
      </c>
      <c r="X71" s="297">
        <f>IF(Select2=1,Wood!$W73,"")</f>
        <v>0</v>
      </c>
      <c r="Y71" s="301">
        <f>IF(Select2=1,Textiles!$W73,"")</f>
        <v>0</v>
      </c>
      <c r="Z71" s="299">
        <f>Sludge!W73</f>
        <v>0</v>
      </c>
      <c r="AA71" s="299" t="str">
        <f>IF(Select2=2,MSW!$W73,"")</f>
        <v/>
      </c>
      <c r="AB71" s="302">
        <f>Industry!$W73</f>
        <v>0</v>
      </c>
      <c r="AC71" s="335">
        <f t="shared" si="4"/>
        <v>0</v>
      </c>
      <c r="AD71" s="303">
        <f>Recovery_OX!R66</f>
        <v>0</v>
      </c>
      <c r="AE71" s="426"/>
      <c r="AF71" s="240">
        <f>(AC71-AD71)*(1-Recovery_OX!U66)</f>
        <v>0</v>
      </c>
    </row>
    <row r="72" spans="2:32">
      <c r="B72" s="313">
        <f t="shared" si="1"/>
        <v>2055</v>
      </c>
      <c r="C72" s="310">
        <f>IF(Select2=1,Food!$K74,"")</f>
        <v>0</v>
      </c>
      <c r="D72" s="301">
        <f>IF(Select2=1,Paper!$K74,"")</f>
        <v>0</v>
      </c>
      <c r="E72" s="297">
        <f>IF(Select2=1,Nappies!$K74,"")</f>
        <v>0</v>
      </c>
      <c r="F72" s="301">
        <f>IF(Select2=1,Garden!$K74,"")</f>
        <v>0</v>
      </c>
      <c r="G72" s="297">
        <f>IF(Select2=1,Wood!$K74,"")</f>
        <v>0</v>
      </c>
      <c r="H72" s="301">
        <f>IF(Select2=1,Textiles!$K74,"")</f>
        <v>0</v>
      </c>
      <c r="I72" s="302">
        <f>Sludge!K74</f>
        <v>0</v>
      </c>
      <c r="J72" s="302" t="str">
        <f>IF(Select2=2,MSW!$K74,"")</f>
        <v/>
      </c>
      <c r="K72" s="302">
        <f>Industry!$K74</f>
        <v>0</v>
      </c>
      <c r="L72" s="335">
        <f t="shared" si="3"/>
        <v>0</v>
      </c>
      <c r="M72" s="303">
        <f>Recovery_OX!C67</f>
        <v>0</v>
      </c>
      <c r="N72" s="426"/>
      <c r="O72" s="659">
        <f>(L72-M72)*(1-Recovery_OX!F67)</f>
        <v>0</v>
      </c>
      <c r="P72" s="148"/>
      <c r="Q72" s="455"/>
      <c r="S72" s="313">
        <f t="shared" si="2"/>
        <v>2055</v>
      </c>
      <c r="T72" s="310">
        <f>IF(Select2=1,Food!$W74,"")</f>
        <v>0</v>
      </c>
      <c r="U72" s="301">
        <f>IF(Select2=1,Paper!$W74,"")</f>
        <v>0</v>
      </c>
      <c r="V72" s="297">
        <f>IF(Select2=1,Nappies!$W74,"")</f>
        <v>0</v>
      </c>
      <c r="W72" s="301">
        <f>IF(Select2=1,Garden!$W74,"")</f>
        <v>0</v>
      </c>
      <c r="X72" s="297">
        <f>IF(Select2=1,Wood!$W74,"")</f>
        <v>0</v>
      </c>
      <c r="Y72" s="301">
        <f>IF(Select2=1,Textiles!$W74,"")</f>
        <v>0</v>
      </c>
      <c r="Z72" s="299">
        <f>Sludge!W74</f>
        <v>0</v>
      </c>
      <c r="AA72" s="299" t="str">
        <f>IF(Select2=2,MSW!$W74,"")</f>
        <v/>
      </c>
      <c r="AB72" s="302">
        <f>Industry!$W74</f>
        <v>0</v>
      </c>
      <c r="AC72" s="335">
        <f t="shared" si="4"/>
        <v>0</v>
      </c>
      <c r="AD72" s="303">
        <f>Recovery_OX!R67</f>
        <v>0</v>
      </c>
      <c r="AE72" s="426"/>
      <c r="AF72" s="240">
        <f>(AC72-AD72)*(1-Recovery_OX!U67)</f>
        <v>0</v>
      </c>
    </row>
    <row r="73" spans="2:32">
      <c r="B73" s="313">
        <f t="shared" si="1"/>
        <v>2056</v>
      </c>
      <c r="C73" s="310">
        <f>IF(Select2=1,Food!$K75,"")</f>
        <v>0</v>
      </c>
      <c r="D73" s="301">
        <f>IF(Select2=1,Paper!$K75,"")</f>
        <v>0</v>
      </c>
      <c r="E73" s="297">
        <f>IF(Select2=1,Nappies!$K75,"")</f>
        <v>0</v>
      </c>
      <c r="F73" s="301">
        <f>IF(Select2=1,Garden!$K75,"")</f>
        <v>0</v>
      </c>
      <c r="G73" s="297">
        <f>IF(Select2=1,Wood!$K75,"")</f>
        <v>0</v>
      </c>
      <c r="H73" s="301">
        <f>IF(Select2=1,Textiles!$K75,"")</f>
        <v>0</v>
      </c>
      <c r="I73" s="302">
        <f>Sludge!K75</f>
        <v>0</v>
      </c>
      <c r="J73" s="302" t="str">
        <f>IF(Select2=2,MSW!$K75,"")</f>
        <v/>
      </c>
      <c r="K73" s="302">
        <f>Industry!$K75</f>
        <v>0</v>
      </c>
      <c r="L73" s="335">
        <f t="shared" si="3"/>
        <v>0</v>
      </c>
      <c r="M73" s="303">
        <f>Recovery_OX!C68</f>
        <v>0</v>
      </c>
      <c r="N73" s="426"/>
      <c r="O73" s="659">
        <f>(L73-M73)*(1-Recovery_OX!F68)</f>
        <v>0</v>
      </c>
      <c r="P73" s="148"/>
      <c r="Q73" s="455"/>
      <c r="S73" s="313">
        <f t="shared" si="2"/>
        <v>2056</v>
      </c>
      <c r="T73" s="310">
        <f>IF(Select2=1,Food!$W75,"")</f>
        <v>0</v>
      </c>
      <c r="U73" s="301">
        <f>IF(Select2=1,Paper!$W75,"")</f>
        <v>0</v>
      </c>
      <c r="V73" s="297">
        <f>IF(Select2=1,Nappies!$W75,"")</f>
        <v>0</v>
      </c>
      <c r="W73" s="301">
        <f>IF(Select2=1,Garden!$W75,"")</f>
        <v>0</v>
      </c>
      <c r="X73" s="297">
        <f>IF(Select2=1,Wood!$W75,"")</f>
        <v>0</v>
      </c>
      <c r="Y73" s="301">
        <f>IF(Select2=1,Textiles!$W75,"")</f>
        <v>0</v>
      </c>
      <c r="Z73" s="299">
        <f>Sludge!W75</f>
        <v>0</v>
      </c>
      <c r="AA73" s="299" t="str">
        <f>IF(Select2=2,MSW!$W75,"")</f>
        <v/>
      </c>
      <c r="AB73" s="302">
        <f>Industry!$W75</f>
        <v>0</v>
      </c>
      <c r="AC73" s="335">
        <f t="shared" si="4"/>
        <v>0</v>
      </c>
      <c r="AD73" s="303">
        <f>Recovery_OX!R68</f>
        <v>0</v>
      </c>
      <c r="AE73" s="426"/>
      <c r="AF73" s="240">
        <f>(AC73-AD73)*(1-Recovery_OX!U68)</f>
        <v>0</v>
      </c>
    </row>
    <row r="74" spans="2:32">
      <c r="B74" s="313">
        <f t="shared" si="1"/>
        <v>2057</v>
      </c>
      <c r="C74" s="310">
        <f>IF(Select2=1,Food!$K76,"")</f>
        <v>0</v>
      </c>
      <c r="D74" s="301">
        <f>IF(Select2=1,Paper!$K76,"")</f>
        <v>0</v>
      </c>
      <c r="E74" s="297">
        <f>IF(Select2=1,Nappies!$K76,"")</f>
        <v>0</v>
      </c>
      <c r="F74" s="301">
        <f>IF(Select2=1,Garden!$K76,"")</f>
        <v>0</v>
      </c>
      <c r="G74" s="297">
        <f>IF(Select2=1,Wood!$K76,"")</f>
        <v>0</v>
      </c>
      <c r="H74" s="301">
        <f>IF(Select2=1,Textiles!$K76,"")</f>
        <v>0</v>
      </c>
      <c r="I74" s="302">
        <f>Sludge!K76</f>
        <v>0</v>
      </c>
      <c r="J74" s="302" t="str">
        <f>IF(Select2=2,MSW!$K76,"")</f>
        <v/>
      </c>
      <c r="K74" s="302">
        <f>Industry!$K76</f>
        <v>0</v>
      </c>
      <c r="L74" s="335">
        <f t="shared" si="3"/>
        <v>0</v>
      </c>
      <c r="M74" s="303">
        <f>Recovery_OX!C69</f>
        <v>0</v>
      </c>
      <c r="N74" s="426"/>
      <c r="O74" s="659">
        <f>(L74-M74)*(1-Recovery_OX!F69)</f>
        <v>0</v>
      </c>
      <c r="P74" s="148"/>
      <c r="Q74" s="455"/>
      <c r="S74" s="313">
        <f t="shared" si="2"/>
        <v>2057</v>
      </c>
      <c r="T74" s="310">
        <f>IF(Select2=1,Food!$W76,"")</f>
        <v>0</v>
      </c>
      <c r="U74" s="301">
        <f>IF(Select2=1,Paper!$W76,"")</f>
        <v>0</v>
      </c>
      <c r="V74" s="297">
        <f>IF(Select2=1,Nappies!$W76,"")</f>
        <v>0</v>
      </c>
      <c r="W74" s="301">
        <f>IF(Select2=1,Garden!$W76,"")</f>
        <v>0</v>
      </c>
      <c r="X74" s="297">
        <f>IF(Select2=1,Wood!$W76,"")</f>
        <v>0</v>
      </c>
      <c r="Y74" s="301">
        <f>IF(Select2=1,Textiles!$W76,"")</f>
        <v>0</v>
      </c>
      <c r="Z74" s="299">
        <f>Sludge!W76</f>
        <v>0</v>
      </c>
      <c r="AA74" s="299" t="str">
        <f>IF(Select2=2,MSW!$W76,"")</f>
        <v/>
      </c>
      <c r="AB74" s="302">
        <f>Industry!$W76</f>
        <v>0</v>
      </c>
      <c r="AC74" s="335">
        <f t="shared" si="4"/>
        <v>0</v>
      </c>
      <c r="AD74" s="303">
        <f>Recovery_OX!R69</f>
        <v>0</v>
      </c>
      <c r="AE74" s="426"/>
      <c r="AF74" s="240">
        <f>(AC74-AD74)*(1-Recovery_OX!U69)</f>
        <v>0</v>
      </c>
    </row>
    <row r="75" spans="2:32">
      <c r="B75" s="313">
        <f t="shared" si="1"/>
        <v>2058</v>
      </c>
      <c r="C75" s="310">
        <f>IF(Select2=1,Food!$K77,"")</f>
        <v>0</v>
      </c>
      <c r="D75" s="301">
        <f>IF(Select2=1,Paper!$K77,"")</f>
        <v>0</v>
      </c>
      <c r="E75" s="297">
        <f>IF(Select2=1,Nappies!$K77,"")</f>
        <v>0</v>
      </c>
      <c r="F75" s="301">
        <f>IF(Select2=1,Garden!$K77,"")</f>
        <v>0</v>
      </c>
      <c r="G75" s="297">
        <f>IF(Select2=1,Wood!$K77,"")</f>
        <v>0</v>
      </c>
      <c r="H75" s="301">
        <f>IF(Select2=1,Textiles!$K77,"")</f>
        <v>0</v>
      </c>
      <c r="I75" s="302">
        <f>Sludge!K77</f>
        <v>0</v>
      </c>
      <c r="J75" s="302" t="str">
        <f>IF(Select2=2,MSW!$K77,"")</f>
        <v/>
      </c>
      <c r="K75" s="302">
        <f>Industry!$K77</f>
        <v>0</v>
      </c>
      <c r="L75" s="335">
        <f t="shared" si="3"/>
        <v>0</v>
      </c>
      <c r="M75" s="303">
        <f>Recovery_OX!C70</f>
        <v>0</v>
      </c>
      <c r="N75" s="426"/>
      <c r="O75" s="659">
        <f>(L75-M75)*(1-Recovery_OX!F70)</f>
        <v>0</v>
      </c>
      <c r="P75" s="148"/>
      <c r="Q75" s="455"/>
      <c r="S75" s="313">
        <f t="shared" si="2"/>
        <v>2058</v>
      </c>
      <c r="T75" s="310">
        <f>IF(Select2=1,Food!$W77,"")</f>
        <v>0</v>
      </c>
      <c r="U75" s="301">
        <f>IF(Select2=1,Paper!$W77,"")</f>
        <v>0</v>
      </c>
      <c r="V75" s="297">
        <f>IF(Select2=1,Nappies!$W77,"")</f>
        <v>0</v>
      </c>
      <c r="W75" s="301">
        <f>IF(Select2=1,Garden!$W77,"")</f>
        <v>0</v>
      </c>
      <c r="X75" s="297">
        <f>IF(Select2=1,Wood!$W77,"")</f>
        <v>0</v>
      </c>
      <c r="Y75" s="301">
        <f>IF(Select2=1,Textiles!$W77,"")</f>
        <v>0</v>
      </c>
      <c r="Z75" s="299">
        <f>Sludge!W77</f>
        <v>0</v>
      </c>
      <c r="AA75" s="299" t="str">
        <f>IF(Select2=2,MSW!$W77,"")</f>
        <v/>
      </c>
      <c r="AB75" s="302">
        <f>Industry!$W77</f>
        <v>0</v>
      </c>
      <c r="AC75" s="335">
        <f t="shared" si="4"/>
        <v>0</v>
      </c>
      <c r="AD75" s="303">
        <f>Recovery_OX!R70</f>
        <v>0</v>
      </c>
      <c r="AE75" s="426"/>
      <c r="AF75" s="240">
        <f>(AC75-AD75)*(1-Recovery_OX!U70)</f>
        <v>0</v>
      </c>
    </row>
    <row r="76" spans="2:32">
      <c r="B76" s="313">
        <f t="shared" si="1"/>
        <v>2059</v>
      </c>
      <c r="C76" s="310">
        <f>IF(Select2=1,Food!$K78,"")</f>
        <v>0</v>
      </c>
      <c r="D76" s="301">
        <f>IF(Select2=1,Paper!$K78,"")</f>
        <v>0</v>
      </c>
      <c r="E76" s="297">
        <f>IF(Select2=1,Nappies!$K78,"")</f>
        <v>0</v>
      </c>
      <c r="F76" s="301">
        <f>IF(Select2=1,Garden!$K78,"")</f>
        <v>0</v>
      </c>
      <c r="G76" s="297">
        <f>IF(Select2=1,Wood!$K78,"")</f>
        <v>0</v>
      </c>
      <c r="H76" s="301">
        <f>IF(Select2=1,Textiles!$K78,"")</f>
        <v>0</v>
      </c>
      <c r="I76" s="302">
        <f>Sludge!K78</f>
        <v>0</v>
      </c>
      <c r="J76" s="302" t="str">
        <f>IF(Select2=2,MSW!$K78,"")</f>
        <v/>
      </c>
      <c r="K76" s="302">
        <f>Industry!$K78</f>
        <v>0</v>
      </c>
      <c r="L76" s="335">
        <f t="shared" si="3"/>
        <v>0</v>
      </c>
      <c r="M76" s="303">
        <f>Recovery_OX!C71</f>
        <v>0</v>
      </c>
      <c r="N76" s="426"/>
      <c r="O76" s="659">
        <f>(L76-M76)*(1-Recovery_OX!F71)</f>
        <v>0</v>
      </c>
      <c r="P76" s="148"/>
      <c r="Q76" s="455"/>
      <c r="S76" s="313">
        <f t="shared" si="2"/>
        <v>2059</v>
      </c>
      <c r="T76" s="310">
        <f>IF(Select2=1,Food!$W78,"")</f>
        <v>0</v>
      </c>
      <c r="U76" s="301">
        <f>IF(Select2=1,Paper!$W78,"")</f>
        <v>0</v>
      </c>
      <c r="V76" s="297">
        <f>IF(Select2=1,Nappies!$W78,"")</f>
        <v>0</v>
      </c>
      <c r="W76" s="301">
        <f>IF(Select2=1,Garden!$W78,"")</f>
        <v>0</v>
      </c>
      <c r="X76" s="297">
        <f>IF(Select2=1,Wood!$W78,"")</f>
        <v>0</v>
      </c>
      <c r="Y76" s="301">
        <f>IF(Select2=1,Textiles!$W78,"")</f>
        <v>0</v>
      </c>
      <c r="Z76" s="299">
        <f>Sludge!W78</f>
        <v>0</v>
      </c>
      <c r="AA76" s="299" t="str">
        <f>IF(Select2=2,MSW!$W78,"")</f>
        <v/>
      </c>
      <c r="AB76" s="302">
        <f>Industry!$W78</f>
        <v>0</v>
      </c>
      <c r="AC76" s="335">
        <f t="shared" si="4"/>
        <v>0</v>
      </c>
      <c r="AD76" s="303">
        <f>Recovery_OX!R71</f>
        <v>0</v>
      </c>
      <c r="AE76" s="426"/>
      <c r="AF76" s="240">
        <f>(AC76-AD76)*(1-Recovery_OX!U71)</f>
        <v>0</v>
      </c>
    </row>
    <row r="77" spans="2:32">
      <c r="B77" s="313">
        <f t="shared" si="1"/>
        <v>2060</v>
      </c>
      <c r="C77" s="310">
        <f>IF(Select2=1,Food!$K79,"")</f>
        <v>0</v>
      </c>
      <c r="D77" s="301">
        <f>IF(Select2=1,Paper!$K79,"")</f>
        <v>0</v>
      </c>
      <c r="E77" s="297">
        <f>IF(Select2=1,Nappies!$K79,"")</f>
        <v>0</v>
      </c>
      <c r="F77" s="301">
        <f>IF(Select2=1,Garden!$K79,"")</f>
        <v>0</v>
      </c>
      <c r="G77" s="297">
        <f>IF(Select2=1,Wood!$K79,"")</f>
        <v>0</v>
      </c>
      <c r="H77" s="301">
        <f>IF(Select2=1,Textiles!$K79,"")</f>
        <v>0</v>
      </c>
      <c r="I77" s="302">
        <f>Sludge!K79</f>
        <v>0</v>
      </c>
      <c r="J77" s="302" t="str">
        <f>IF(Select2=2,MSW!$K79,"")</f>
        <v/>
      </c>
      <c r="K77" s="302">
        <f>Industry!$K79</f>
        <v>0</v>
      </c>
      <c r="L77" s="335">
        <f t="shared" si="3"/>
        <v>0</v>
      </c>
      <c r="M77" s="303">
        <f>Recovery_OX!C72</f>
        <v>0</v>
      </c>
      <c r="N77" s="426"/>
      <c r="O77" s="659">
        <f>(L77-M77)*(1-Recovery_OX!F72)</f>
        <v>0</v>
      </c>
      <c r="P77" s="148"/>
      <c r="Q77" s="455"/>
      <c r="S77" s="313">
        <f t="shared" si="2"/>
        <v>2060</v>
      </c>
      <c r="T77" s="310">
        <f>IF(Select2=1,Food!$W79,"")</f>
        <v>0</v>
      </c>
      <c r="U77" s="301">
        <f>IF(Select2=1,Paper!$W79,"")</f>
        <v>0</v>
      </c>
      <c r="V77" s="297">
        <f>IF(Select2=1,Nappies!$W79,"")</f>
        <v>0</v>
      </c>
      <c r="W77" s="301">
        <f>IF(Select2=1,Garden!$W79,"")</f>
        <v>0</v>
      </c>
      <c r="X77" s="297">
        <f>IF(Select2=1,Wood!$W79,"")</f>
        <v>0</v>
      </c>
      <c r="Y77" s="301">
        <f>IF(Select2=1,Textiles!$W79,"")</f>
        <v>0</v>
      </c>
      <c r="Z77" s="299">
        <f>Sludge!W79</f>
        <v>0</v>
      </c>
      <c r="AA77" s="299" t="str">
        <f>IF(Select2=2,MSW!$W79,"")</f>
        <v/>
      </c>
      <c r="AB77" s="302">
        <f>Industry!$W79</f>
        <v>0</v>
      </c>
      <c r="AC77" s="335">
        <f t="shared" si="4"/>
        <v>0</v>
      </c>
      <c r="AD77" s="303">
        <f>Recovery_OX!R72</f>
        <v>0</v>
      </c>
      <c r="AE77" s="426"/>
      <c r="AF77" s="240">
        <f>(AC77-AD77)*(1-Recovery_OX!U72)</f>
        <v>0</v>
      </c>
    </row>
    <row r="78" spans="2:32">
      <c r="B78" s="313">
        <f t="shared" si="1"/>
        <v>2061</v>
      </c>
      <c r="C78" s="310">
        <f>IF(Select2=1,Food!$K80,"")</f>
        <v>0</v>
      </c>
      <c r="D78" s="301">
        <f>IF(Select2=1,Paper!$K80,"")</f>
        <v>0</v>
      </c>
      <c r="E78" s="297">
        <f>IF(Select2=1,Nappies!$K80,"")</f>
        <v>0</v>
      </c>
      <c r="F78" s="301">
        <f>IF(Select2=1,Garden!$K80,"")</f>
        <v>0</v>
      </c>
      <c r="G78" s="297">
        <f>IF(Select2=1,Wood!$K80,"")</f>
        <v>0</v>
      </c>
      <c r="H78" s="301">
        <f>IF(Select2=1,Textiles!$K80,"")</f>
        <v>0</v>
      </c>
      <c r="I78" s="302">
        <f>Sludge!K80</f>
        <v>0</v>
      </c>
      <c r="J78" s="302" t="str">
        <f>IF(Select2=2,MSW!$K80,"")</f>
        <v/>
      </c>
      <c r="K78" s="302">
        <f>Industry!$K80</f>
        <v>0</v>
      </c>
      <c r="L78" s="335">
        <f t="shared" si="3"/>
        <v>0</v>
      </c>
      <c r="M78" s="303">
        <f>Recovery_OX!C73</f>
        <v>0</v>
      </c>
      <c r="N78" s="426"/>
      <c r="O78" s="659">
        <f>(L78-M78)*(1-Recovery_OX!F73)</f>
        <v>0</v>
      </c>
      <c r="P78" s="148"/>
      <c r="Q78" s="455"/>
      <c r="S78" s="313">
        <f t="shared" si="2"/>
        <v>2061</v>
      </c>
      <c r="T78" s="310">
        <f>IF(Select2=1,Food!$W80,"")</f>
        <v>0</v>
      </c>
      <c r="U78" s="301">
        <f>IF(Select2=1,Paper!$W80,"")</f>
        <v>0</v>
      </c>
      <c r="V78" s="297">
        <f>IF(Select2=1,Nappies!$W80,"")</f>
        <v>0</v>
      </c>
      <c r="W78" s="301">
        <f>IF(Select2=1,Garden!$W80,"")</f>
        <v>0</v>
      </c>
      <c r="X78" s="297">
        <f>IF(Select2=1,Wood!$W80,"")</f>
        <v>0</v>
      </c>
      <c r="Y78" s="301">
        <f>IF(Select2=1,Textiles!$W80,"")</f>
        <v>0</v>
      </c>
      <c r="Z78" s="299">
        <f>Sludge!W80</f>
        <v>0</v>
      </c>
      <c r="AA78" s="299" t="str">
        <f>IF(Select2=2,MSW!$W80,"")</f>
        <v/>
      </c>
      <c r="AB78" s="302">
        <f>Industry!$W80</f>
        <v>0</v>
      </c>
      <c r="AC78" s="335">
        <f t="shared" si="4"/>
        <v>0</v>
      </c>
      <c r="AD78" s="303">
        <f>Recovery_OX!R73</f>
        <v>0</v>
      </c>
      <c r="AE78" s="426"/>
      <c r="AF78" s="240">
        <f>(AC78-AD78)*(1-Recovery_OX!U73)</f>
        <v>0</v>
      </c>
    </row>
    <row r="79" spans="2:32">
      <c r="B79" s="313">
        <f t="shared" si="1"/>
        <v>2062</v>
      </c>
      <c r="C79" s="310">
        <f>IF(Select2=1,Food!$K81,"")</f>
        <v>0</v>
      </c>
      <c r="D79" s="301">
        <f>IF(Select2=1,Paper!$K81,"")</f>
        <v>0</v>
      </c>
      <c r="E79" s="297">
        <f>IF(Select2=1,Nappies!$K81,"")</f>
        <v>0</v>
      </c>
      <c r="F79" s="301">
        <f>IF(Select2=1,Garden!$K81,"")</f>
        <v>0</v>
      </c>
      <c r="G79" s="297">
        <f>IF(Select2=1,Wood!$K81,"")</f>
        <v>0</v>
      </c>
      <c r="H79" s="301">
        <f>IF(Select2=1,Textiles!$K81,"")</f>
        <v>0</v>
      </c>
      <c r="I79" s="302">
        <f>Sludge!K81</f>
        <v>0</v>
      </c>
      <c r="J79" s="302" t="str">
        <f>IF(Select2=2,MSW!$K81,"")</f>
        <v/>
      </c>
      <c r="K79" s="302">
        <f>Industry!$K81</f>
        <v>0</v>
      </c>
      <c r="L79" s="335">
        <f t="shared" si="3"/>
        <v>0</v>
      </c>
      <c r="M79" s="303">
        <f>Recovery_OX!C74</f>
        <v>0</v>
      </c>
      <c r="N79" s="426"/>
      <c r="O79" s="659">
        <f>(L79-M79)*(1-Recovery_OX!F74)</f>
        <v>0</v>
      </c>
      <c r="P79" s="148"/>
      <c r="Q79" s="455"/>
      <c r="S79" s="313">
        <f t="shared" si="2"/>
        <v>2062</v>
      </c>
      <c r="T79" s="310">
        <f>IF(Select2=1,Food!$W81,"")</f>
        <v>0</v>
      </c>
      <c r="U79" s="301">
        <f>IF(Select2=1,Paper!$W81,"")</f>
        <v>0</v>
      </c>
      <c r="V79" s="297">
        <f>IF(Select2=1,Nappies!$W81,"")</f>
        <v>0</v>
      </c>
      <c r="W79" s="301">
        <f>IF(Select2=1,Garden!$W81,"")</f>
        <v>0</v>
      </c>
      <c r="X79" s="297">
        <f>IF(Select2=1,Wood!$W81,"")</f>
        <v>0</v>
      </c>
      <c r="Y79" s="301">
        <f>IF(Select2=1,Textiles!$W81,"")</f>
        <v>0</v>
      </c>
      <c r="Z79" s="299">
        <f>Sludge!W81</f>
        <v>0</v>
      </c>
      <c r="AA79" s="299" t="str">
        <f>IF(Select2=2,MSW!$W81,"")</f>
        <v/>
      </c>
      <c r="AB79" s="302">
        <f>Industry!$W81</f>
        <v>0</v>
      </c>
      <c r="AC79" s="335">
        <f t="shared" si="4"/>
        <v>0</v>
      </c>
      <c r="AD79" s="303">
        <f>Recovery_OX!R74</f>
        <v>0</v>
      </c>
      <c r="AE79" s="426"/>
      <c r="AF79" s="240">
        <f>(AC79-AD79)*(1-Recovery_OX!U74)</f>
        <v>0</v>
      </c>
    </row>
    <row r="80" spans="2:32">
      <c r="B80" s="313">
        <f t="shared" si="1"/>
        <v>2063</v>
      </c>
      <c r="C80" s="310">
        <f>IF(Select2=1,Food!$K82,"")</f>
        <v>0</v>
      </c>
      <c r="D80" s="301">
        <f>IF(Select2=1,Paper!$K82,"")</f>
        <v>0</v>
      </c>
      <c r="E80" s="297">
        <f>IF(Select2=1,Nappies!$K82,"")</f>
        <v>0</v>
      </c>
      <c r="F80" s="301">
        <f>IF(Select2=1,Garden!$K82,"")</f>
        <v>0</v>
      </c>
      <c r="G80" s="297">
        <f>IF(Select2=1,Wood!$K82,"")</f>
        <v>0</v>
      </c>
      <c r="H80" s="301">
        <f>IF(Select2=1,Textiles!$K82,"")</f>
        <v>0</v>
      </c>
      <c r="I80" s="302">
        <f>Sludge!K82</f>
        <v>0</v>
      </c>
      <c r="J80" s="302" t="str">
        <f>IF(Select2=2,MSW!$K82,"")</f>
        <v/>
      </c>
      <c r="K80" s="302">
        <f>Industry!$K82</f>
        <v>0</v>
      </c>
      <c r="L80" s="335">
        <f t="shared" si="3"/>
        <v>0</v>
      </c>
      <c r="M80" s="303">
        <f>Recovery_OX!C75</f>
        <v>0</v>
      </c>
      <c r="N80" s="426"/>
      <c r="O80" s="659">
        <f>(L80-M80)*(1-Recovery_OX!F75)</f>
        <v>0</v>
      </c>
      <c r="P80" s="148"/>
      <c r="Q80" s="455"/>
      <c r="S80" s="313">
        <f t="shared" si="2"/>
        <v>2063</v>
      </c>
      <c r="T80" s="310">
        <f>IF(Select2=1,Food!$W82,"")</f>
        <v>0</v>
      </c>
      <c r="U80" s="301">
        <f>IF(Select2=1,Paper!$W82,"")</f>
        <v>0</v>
      </c>
      <c r="V80" s="297">
        <f>IF(Select2=1,Nappies!$W82,"")</f>
        <v>0</v>
      </c>
      <c r="W80" s="301">
        <f>IF(Select2=1,Garden!$W82,"")</f>
        <v>0</v>
      </c>
      <c r="X80" s="297">
        <f>IF(Select2=1,Wood!$W82,"")</f>
        <v>0</v>
      </c>
      <c r="Y80" s="301">
        <f>IF(Select2=1,Textiles!$W82,"")</f>
        <v>0</v>
      </c>
      <c r="Z80" s="299">
        <f>Sludge!W82</f>
        <v>0</v>
      </c>
      <c r="AA80" s="299" t="str">
        <f>IF(Select2=2,MSW!$W82,"")</f>
        <v/>
      </c>
      <c r="AB80" s="302">
        <f>Industry!$W82</f>
        <v>0</v>
      </c>
      <c r="AC80" s="335">
        <f t="shared" si="4"/>
        <v>0</v>
      </c>
      <c r="AD80" s="303">
        <f>Recovery_OX!R75</f>
        <v>0</v>
      </c>
      <c r="AE80" s="426"/>
      <c r="AF80" s="240">
        <f>(AC80-AD80)*(1-Recovery_OX!U75)</f>
        <v>0</v>
      </c>
    </row>
    <row r="81" spans="2:32">
      <c r="B81" s="313">
        <f t="shared" si="1"/>
        <v>2064</v>
      </c>
      <c r="C81" s="310">
        <f>IF(Select2=1,Food!$K83,"")</f>
        <v>0</v>
      </c>
      <c r="D81" s="301">
        <f>IF(Select2=1,Paper!$K83,"")</f>
        <v>0</v>
      </c>
      <c r="E81" s="297">
        <f>IF(Select2=1,Nappies!$K83,"")</f>
        <v>0</v>
      </c>
      <c r="F81" s="301">
        <f>IF(Select2=1,Garden!$K83,"")</f>
        <v>0</v>
      </c>
      <c r="G81" s="297">
        <f>IF(Select2=1,Wood!$K83,"")</f>
        <v>0</v>
      </c>
      <c r="H81" s="301">
        <f>IF(Select2=1,Textiles!$K83,"")</f>
        <v>0</v>
      </c>
      <c r="I81" s="302">
        <f>Sludge!K83</f>
        <v>0</v>
      </c>
      <c r="J81" s="302" t="str">
        <f>IF(Select2=2,MSW!$K83,"")</f>
        <v/>
      </c>
      <c r="K81" s="302">
        <f>Industry!$K83</f>
        <v>0</v>
      </c>
      <c r="L81" s="335">
        <f t="shared" si="3"/>
        <v>0</v>
      </c>
      <c r="M81" s="303">
        <f>Recovery_OX!C76</f>
        <v>0</v>
      </c>
      <c r="N81" s="426"/>
      <c r="O81" s="659">
        <f>(L81-M81)*(1-Recovery_OX!F76)</f>
        <v>0</v>
      </c>
      <c r="P81" s="148"/>
      <c r="Q81" s="455"/>
      <c r="S81" s="313">
        <f t="shared" si="2"/>
        <v>2064</v>
      </c>
      <c r="T81" s="310">
        <f>IF(Select2=1,Food!$W83,"")</f>
        <v>0</v>
      </c>
      <c r="U81" s="301">
        <f>IF(Select2=1,Paper!$W83,"")</f>
        <v>0</v>
      </c>
      <c r="V81" s="297">
        <f>IF(Select2=1,Nappies!$W83,"")</f>
        <v>0</v>
      </c>
      <c r="W81" s="301">
        <f>IF(Select2=1,Garden!$W83,"")</f>
        <v>0</v>
      </c>
      <c r="X81" s="297">
        <f>IF(Select2=1,Wood!$W83,"")</f>
        <v>0</v>
      </c>
      <c r="Y81" s="301">
        <f>IF(Select2=1,Textiles!$W83,"")</f>
        <v>0</v>
      </c>
      <c r="Z81" s="299">
        <f>Sludge!W83</f>
        <v>0</v>
      </c>
      <c r="AA81" s="299" t="str">
        <f>IF(Select2=2,MSW!$W83,"")</f>
        <v/>
      </c>
      <c r="AB81" s="302">
        <f>Industry!$W83</f>
        <v>0</v>
      </c>
      <c r="AC81" s="335">
        <f t="shared" ref="AC81:AC97" si="5">SUM(T81:AA81)</f>
        <v>0</v>
      </c>
      <c r="AD81" s="303">
        <f>Recovery_OX!R76</f>
        <v>0</v>
      </c>
      <c r="AE81" s="426"/>
      <c r="AF81" s="240">
        <f>(AC81-AD81)*(1-Recovery_OX!U76)</f>
        <v>0</v>
      </c>
    </row>
    <row r="82" spans="2:32">
      <c r="B82" s="313">
        <f t="shared" ref="B82:B97" si="6">B81+1</f>
        <v>2065</v>
      </c>
      <c r="C82" s="310">
        <f>IF(Select2=1,Food!$K84,"")</f>
        <v>0</v>
      </c>
      <c r="D82" s="301">
        <f>IF(Select2=1,Paper!$K84,"")</f>
        <v>0</v>
      </c>
      <c r="E82" s="297">
        <f>IF(Select2=1,Nappies!$K84,"")</f>
        <v>0</v>
      </c>
      <c r="F82" s="301">
        <f>IF(Select2=1,Garden!$K84,"")</f>
        <v>0</v>
      </c>
      <c r="G82" s="297">
        <f>IF(Select2=1,Wood!$K84,"")</f>
        <v>0</v>
      </c>
      <c r="H82" s="301">
        <f>IF(Select2=1,Textiles!$K84,"")</f>
        <v>0</v>
      </c>
      <c r="I82" s="302">
        <f>Sludge!K84</f>
        <v>0</v>
      </c>
      <c r="J82" s="302" t="str">
        <f>IF(Select2=2,MSW!$K84,"")</f>
        <v/>
      </c>
      <c r="K82" s="302">
        <f>Industry!$K84</f>
        <v>0</v>
      </c>
      <c r="L82" s="335">
        <f t="shared" si="3"/>
        <v>0</v>
      </c>
      <c r="M82" s="303">
        <f>Recovery_OX!C77</f>
        <v>0</v>
      </c>
      <c r="N82" s="426"/>
      <c r="O82" s="659">
        <f>(L82-M82)*(1-Recovery_OX!F77)</f>
        <v>0</v>
      </c>
      <c r="P82" s="148"/>
      <c r="Q82" s="455"/>
      <c r="S82" s="313">
        <f t="shared" ref="S82:S97" si="7">S81+1</f>
        <v>2065</v>
      </c>
      <c r="T82" s="310">
        <f>IF(Select2=1,Food!$W84,"")</f>
        <v>0</v>
      </c>
      <c r="U82" s="301">
        <f>IF(Select2=1,Paper!$W84,"")</f>
        <v>0</v>
      </c>
      <c r="V82" s="297">
        <f>IF(Select2=1,Nappies!$W84,"")</f>
        <v>0</v>
      </c>
      <c r="W82" s="301">
        <f>IF(Select2=1,Garden!$W84,"")</f>
        <v>0</v>
      </c>
      <c r="X82" s="297">
        <f>IF(Select2=1,Wood!$W84,"")</f>
        <v>0</v>
      </c>
      <c r="Y82" s="301">
        <f>IF(Select2=1,Textiles!$W84,"")</f>
        <v>0</v>
      </c>
      <c r="Z82" s="299">
        <f>Sludge!W84</f>
        <v>0</v>
      </c>
      <c r="AA82" s="299" t="str">
        <f>IF(Select2=2,MSW!$W84,"")</f>
        <v/>
      </c>
      <c r="AB82" s="302">
        <f>Industry!$W84</f>
        <v>0</v>
      </c>
      <c r="AC82" s="335">
        <f t="shared" si="5"/>
        <v>0</v>
      </c>
      <c r="AD82" s="303">
        <f>Recovery_OX!R77</f>
        <v>0</v>
      </c>
      <c r="AE82" s="426"/>
      <c r="AF82" s="240">
        <f>(AC82-AD82)*(1-Recovery_OX!U77)</f>
        <v>0</v>
      </c>
    </row>
    <row r="83" spans="2:32">
      <c r="B83" s="313">
        <f t="shared" si="6"/>
        <v>2066</v>
      </c>
      <c r="C83" s="310">
        <f>IF(Select2=1,Food!$K85,"")</f>
        <v>0</v>
      </c>
      <c r="D83" s="301">
        <f>IF(Select2=1,Paper!$K85,"")</f>
        <v>0</v>
      </c>
      <c r="E83" s="297">
        <f>IF(Select2=1,Nappies!$K85,"")</f>
        <v>0</v>
      </c>
      <c r="F83" s="301">
        <f>IF(Select2=1,Garden!$K85,"")</f>
        <v>0</v>
      </c>
      <c r="G83" s="297">
        <f>IF(Select2=1,Wood!$K85,"")</f>
        <v>0</v>
      </c>
      <c r="H83" s="301">
        <f>IF(Select2=1,Textiles!$K85,"")</f>
        <v>0</v>
      </c>
      <c r="I83" s="302">
        <f>Sludge!K85</f>
        <v>0</v>
      </c>
      <c r="J83" s="302" t="str">
        <f>IF(Select2=2,MSW!$K85,"")</f>
        <v/>
      </c>
      <c r="K83" s="302">
        <f>Industry!$K85</f>
        <v>0</v>
      </c>
      <c r="L83" s="335">
        <f t="shared" ref="L83:L97" si="8">SUM(C83:K83)</f>
        <v>0</v>
      </c>
      <c r="M83" s="303">
        <f>Recovery_OX!C78</f>
        <v>0</v>
      </c>
      <c r="N83" s="426"/>
      <c r="O83" s="659">
        <f>(L83-M83)*(1-Recovery_OX!F78)</f>
        <v>0</v>
      </c>
      <c r="P83" s="148"/>
      <c r="Q83" s="455"/>
      <c r="S83" s="313">
        <f t="shared" si="7"/>
        <v>2066</v>
      </c>
      <c r="T83" s="310">
        <f>IF(Select2=1,Food!$W85,"")</f>
        <v>0</v>
      </c>
      <c r="U83" s="301">
        <f>IF(Select2=1,Paper!$W85,"")</f>
        <v>0</v>
      </c>
      <c r="V83" s="297">
        <f>IF(Select2=1,Nappies!$W85,"")</f>
        <v>0</v>
      </c>
      <c r="W83" s="301">
        <f>IF(Select2=1,Garden!$W85,"")</f>
        <v>0</v>
      </c>
      <c r="X83" s="297">
        <f>IF(Select2=1,Wood!$W85,"")</f>
        <v>0</v>
      </c>
      <c r="Y83" s="301">
        <f>IF(Select2=1,Textiles!$W85,"")</f>
        <v>0</v>
      </c>
      <c r="Z83" s="299">
        <f>Sludge!W85</f>
        <v>0</v>
      </c>
      <c r="AA83" s="299" t="str">
        <f>IF(Select2=2,MSW!$W85,"")</f>
        <v/>
      </c>
      <c r="AB83" s="302">
        <f>Industry!$W85</f>
        <v>0</v>
      </c>
      <c r="AC83" s="335">
        <f t="shared" si="5"/>
        <v>0</v>
      </c>
      <c r="AD83" s="303">
        <f>Recovery_OX!R78</f>
        <v>0</v>
      </c>
      <c r="AE83" s="426"/>
      <c r="AF83" s="240">
        <f>(AC83-AD83)*(1-Recovery_OX!U78)</f>
        <v>0</v>
      </c>
    </row>
    <row r="84" spans="2:32">
      <c r="B84" s="313">
        <f t="shared" si="6"/>
        <v>2067</v>
      </c>
      <c r="C84" s="310">
        <f>IF(Select2=1,Food!$K86,"")</f>
        <v>0</v>
      </c>
      <c r="D84" s="301">
        <f>IF(Select2=1,Paper!$K86,"")</f>
        <v>0</v>
      </c>
      <c r="E84" s="297">
        <f>IF(Select2=1,Nappies!$K86,"")</f>
        <v>0</v>
      </c>
      <c r="F84" s="301">
        <f>IF(Select2=1,Garden!$K86,"")</f>
        <v>0</v>
      </c>
      <c r="G84" s="297">
        <f>IF(Select2=1,Wood!$K86,"")</f>
        <v>0</v>
      </c>
      <c r="H84" s="301">
        <f>IF(Select2=1,Textiles!$K86,"")</f>
        <v>0</v>
      </c>
      <c r="I84" s="302">
        <f>Sludge!K86</f>
        <v>0</v>
      </c>
      <c r="J84" s="302" t="str">
        <f>IF(Select2=2,MSW!$K86,"")</f>
        <v/>
      </c>
      <c r="K84" s="302">
        <f>Industry!$K86</f>
        <v>0</v>
      </c>
      <c r="L84" s="335">
        <f t="shared" si="8"/>
        <v>0</v>
      </c>
      <c r="M84" s="303">
        <f>Recovery_OX!C79</f>
        <v>0</v>
      </c>
      <c r="N84" s="426"/>
      <c r="O84" s="659">
        <f>(L84-M84)*(1-Recovery_OX!F79)</f>
        <v>0</v>
      </c>
      <c r="P84" s="148"/>
      <c r="Q84" s="455"/>
      <c r="S84" s="313">
        <f t="shared" si="7"/>
        <v>2067</v>
      </c>
      <c r="T84" s="310">
        <f>IF(Select2=1,Food!$W86,"")</f>
        <v>0</v>
      </c>
      <c r="U84" s="301">
        <f>IF(Select2=1,Paper!$W86,"")</f>
        <v>0</v>
      </c>
      <c r="V84" s="297">
        <f>IF(Select2=1,Nappies!$W86,"")</f>
        <v>0</v>
      </c>
      <c r="W84" s="301">
        <f>IF(Select2=1,Garden!$W86,"")</f>
        <v>0</v>
      </c>
      <c r="X84" s="297">
        <f>IF(Select2=1,Wood!$W86,"")</f>
        <v>0</v>
      </c>
      <c r="Y84" s="301">
        <f>IF(Select2=1,Textiles!$W86,"")</f>
        <v>0</v>
      </c>
      <c r="Z84" s="299">
        <f>Sludge!W86</f>
        <v>0</v>
      </c>
      <c r="AA84" s="299" t="str">
        <f>IF(Select2=2,MSW!$W86,"")</f>
        <v/>
      </c>
      <c r="AB84" s="302">
        <f>Industry!$W86</f>
        <v>0</v>
      </c>
      <c r="AC84" s="335">
        <f t="shared" si="5"/>
        <v>0</v>
      </c>
      <c r="AD84" s="303">
        <f>Recovery_OX!R79</f>
        <v>0</v>
      </c>
      <c r="AE84" s="426"/>
      <c r="AF84" s="240">
        <f>(AC84-AD84)*(1-Recovery_OX!U79)</f>
        <v>0</v>
      </c>
    </row>
    <row r="85" spans="2:32">
      <c r="B85" s="313">
        <f t="shared" si="6"/>
        <v>2068</v>
      </c>
      <c r="C85" s="310">
        <f>IF(Select2=1,Food!$K87,"")</f>
        <v>0</v>
      </c>
      <c r="D85" s="301">
        <f>IF(Select2=1,Paper!$K87,"")</f>
        <v>0</v>
      </c>
      <c r="E85" s="297">
        <f>IF(Select2=1,Nappies!$K87,"")</f>
        <v>0</v>
      </c>
      <c r="F85" s="301">
        <f>IF(Select2=1,Garden!$K87,"")</f>
        <v>0</v>
      </c>
      <c r="G85" s="297">
        <f>IF(Select2=1,Wood!$K87,"")</f>
        <v>0</v>
      </c>
      <c r="H85" s="301">
        <f>IF(Select2=1,Textiles!$K87,"")</f>
        <v>0</v>
      </c>
      <c r="I85" s="302">
        <f>Sludge!K87</f>
        <v>0</v>
      </c>
      <c r="J85" s="302" t="str">
        <f>IF(Select2=2,MSW!$K87,"")</f>
        <v/>
      </c>
      <c r="K85" s="302">
        <f>Industry!$K87</f>
        <v>0</v>
      </c>
      <c r="L85" s="335">
        <f t="shared" si="8"/>
        <v>0</v>
      </c>
      <c r="M85" s="303">
        <f>Recovery_OX!C80</f>
        <v>0</v>
      </c>
      <c r="N85" s="426"/>
      <c r="O85" s="659">
        <f>(L85-M85)*(1-Recovery_OX!F80)</f>
        <v>0</v>
      </c>
      <c r="P85" s="148"/>
      <c r="Q85" s="455"/>
      <c r="S85" s="313">
        <f t="shared" si="7"/>
        <v>2068</v>
      </c>
      <c r="T85" s="310">
        <f>IF(Select2=1,Food!$W87,"")</f>
        <v>0</v>
      </c>
      <c r="U85" s="301">
        <f>IF(Select2=1,Paper!$W87,"")</f>
        <v>0</v>
      </c>
      <c r="V85" s="297">
        <f>IF(Select2=1,Nappies!$W87,"")</f>
        <v>0</v>
      </c>
      <c r="W85" s="301">
        <f>IF(Select2=1,Garden!$W87,"")</f>
        <v>0</v>
      </c>
      <c r="X85" s="297">
        <f>IF(Select2=1,Wood!$W87,"")</f>
        <v>0</v>
      </c>
      <c r="Y85" s="301">
        <f>IF(Select2=1,Textiles!$W87,"")</f>
        <v>0</v>
      </c>
      <c r="Z85" s="299">
        <f>Sludge!W87</f>
        <v>0</v>
      </c>
      <c r="AA85" s="299" t="str">
        <f>IF(Select2=2,MSW!$W87,"")</f>
        <v/>
      </c>
      <c r="AB85" s="302">
        <f>Industry!$W87</f>
        <v>0</v>
      </c>
      <c r="AC85" s="335">
        <f t="shared" si="5"/>
        <v>0</v>
      </c>
      <c r="AD85" s="303">
        <f>Recovery_OX!R80</f>
        <v>0</v>
      </c>
      <c r="AE85" s="426"/>
      <c r="AF85" s="240">
        <f>(AC85-AD85)*(1-Recovery_OX!U80)</f>
        <v>0</v>
      </c>
    </row>
    <row r="86" spans="2:32">
      <c r="B86" s="313">
        <f t="shared" si="6"/>
        <v>2069</v>
      </c>
      <c r="C86" s="310">
        <f>IF(Select2=1,Food!$K88,"")</f>
        <v>0</v>
      </c>
      <c r="D86" s="301">
        <f>IF(Select2=1,Paper!$K88,"")</f>
        <v>0</v>
      </c>
      <c r="E86" s="297">
        <f>IF(Select2=1,Nappies!$K88,"")</f>
        <v>0</v>
      </c>
      <c r="F86" s="301">
        <f>IF(Select2=1,Garden!$K88,"")</f>
        <v>0</v>
      </c>
      <c r="G86" s="297">
        <f>IF(Select2=1,Wood!$K88,"")</f>
        <v>0</v>
      </c>
      <c r="H86" s="301">
        <f>IF(Select2=1,Textiles!$K88,"")</f>
        <v>0</v>
      </c>
      <c r="I86" s="302">
        <f>Sludge!K88</f>
        <v>0</v>
      </c>
      <c r="J86" s="302" t="str">
        <f>IF(Select2=2,MSW!$K88,"")</f>
        <v/>
      </c>
      <c r="K86" s="302">
        <f>Industry!$K88</f>
        <v>0</v>
      </c>
      <c r="L86" s="335">
        <f t="shared" si="8"/>
        <v>0</v>
      </c>
      <c r="M86" s="303">
        <f>Recovery_OX!C81</f>
        <v>0</v>
      </c>
      <c r="N86" s="426"/>
      <c r="O86" s="659">
        <f>(L86-M86)*(1-Recovery_OX!F81)</f>
        <v>0</v>
      </c>
      <c r="P86" s="148"/>
      <c r="Q86" s="455"/>
      <c r="S86" s="313">
        <f t="shared" si="7"/>
        <v>2069</v>
      </c>
      <c r="T86" s="310">
        <f>IF(Select2=1,Food!$W88,"")</f>
        <v>0</v>
      </c>
      <c r="U86" s="301">
        <f>IF(Select2=1,Paper!$W88,"")</f>
        <v>0</v>
      </c>
      <c r="V86" s="297">
        <f>IF(Select2=1,Nappies!$W88,"")</f>
        <v>0</v>
      </c>
      <c r="W86" s="301">
        <f>IF(Select2=1,Garden!$W88,"")</f>
        <v>0</v>
      </c>
      <c r="X86" s="297">
        <f>IF(Select2=1,Wood!$W88,"")</f>
        <v>0</v>
      </c>
      <c r="Y86" s="301">
        <f>IF(Select2=1,Textiles!$W88,"")</f>
        <v>0</v>
      </c>
      <c r="Z86" s="299">
        <f>Sludge!W88</f>
        <v>0</v>
      </c>
      <c r="AA86" s="299" t="str">
        <f>IF(Select2=2,MSW!$W88,"")</f>
        <v/>
      </c>
      <c r="AB86" s="302">
        <f>Industry!$W88</f>
        <v>0</v>
      </c>
      <c r="AC86" s="335">
        <f t="shared" si="5"/>
        <v>0</v>
      </c>
      <c r="AD86" s="303">
        <f>Recovery_OX!R81</f>
        <v>0</v>
      </c>
      <c r="AE86" s="426"/>
      <c r="AF86" s="240">
        <f>(AC86-AD86)*(1-Recovery_OX!U81)</f>
        <v>0</v>
      </c>
    </row>
    <row r="87" spans="2:32">
      <c r="B87" s="313">
        <f t="shared" si="6"/>
        <v>2070</v>
      </c>
      <c r="C87" s="310">
        <f>IF(Select2=1,Food!$K89,"")</f>
        <v>0</v>
      </c>
      <c r="D87" s="301">
        <f>IF(Select2=1,Paper!$K89,"")</f>
        <v>0</v>
      </c>
      <c r="E87" s="297">
        <f>IF(Select2=1,Nappies!$K89,"")</f>
        <v>0</v>
      </c>
      <c r="F87" s="301">
        <f>IF(Select2=1,Garden!$K89,"")</f>
        <v>0</v>
      </c>
      <c r="G87" s="297">
        <f>IF(Select2=1,Wood!$K89,"")</f>
        <v>0</v>
      </c>
      <c r="H87" s="301">
        <f>IF(Select2=1,Textiles!$K89,"")</f>
        <v>0</v>
      </c>
      <c r="I87" s="302">
        <f>Sludge!K89</f>
        <v>0</v>
      </c>
      <c r="J87" s="302" t="str">
        <f>IF(Select2=2,MSW!$K89,"")</f>
        <v/>
      </c>
      <c r="K87" s="302">
        <f>Industry!$K89</f>
        <v>0</v>
      </c>
      <c r="L87" s="335">
        <f t="shared" si="8"/>
        <v>0</v>
      </c>
      <c r="M87" s="303">
        <f>Recovery_OX!C82</f>
        <v>0</v>
      </c>
      <c r="N87" s="426"/>
      <c r="O87" s="659">
        <f>(L87-M87)*(1-Recovery_OX!F82)</f>
        <v>0</v>
      </c>
      <c r="P87" s="148"/>
      <c r="Q87" s="455"/>
      <c r="S87" s="313">
        <f t="shared" si="7"/>
        <v>2070</v>
      </c>
      <c r="T87" s="310">
        <f>IF(Select2=1,Food!$W89,"")</f>
        <v>0</v>
      </c>
      <c r="U87" s="301">
        <f>IF(Select2=1,Paper!$W89,"")</f>
        <v>0</v>
      </c>
      <c r="V87" s="297">
        <f>IF(Select2=1,Nappies!$W89,"")</f>
        <v>0</v>
      </c>
      <c r="W87" s="301">
        <f>IF(Select2=1,Garden!$W89,"")</f>
        <v>0</v>
      </c>
      <c r="X87" s="297">
        <f>IF(Select2=1,Wood!$W89,"")</f>
        <v>0</v>
      </c>
      <c r="Y87" s="301">
        <f>IF(Select2=1,Textiles!$W89,"")</f>
        <v>0</v>
      </c>
      <c r="Z87" s="299">
        <f>Sludge!W89</f>
        <v>0</v>
      </c>
      <c r="AA87" s="299" t="str">
        <f>IF(Select2=2,MSW!$W89,"")</f>
        <v/>
      </c>
      <c r="AB87" s="302">
        <f>Industry!$W89</f>
        <v>0</v>
      </c>
      <c r="AC87" s="335">
        <f t="shared" si="5"/>
        <v>0</v>
      </c>
      <c r="AD87" s="303">
        <f>Recovery_OX!R82</f>
        <v>0</v>
      </c>
      <c r="AE87" s="426"/>
      <c r="AF87" s="240">
        <f>(AC87-AD87)*(1-Recovery_OX!U82)</f>
        <v>0</v>
      </c>
    </row>
    <row r="88" spans="2:32">
      <c r="B88" s="313">
        <f t="shared" si="6"/>
        <v>2071</v>
      </c>
      <c r="C88" s="310">
        <f>IF(Select2=1,Food!$K90,"")</f>
        <v>0</v>
      </c>
      <c r="D88" s="301">
        <f>IF(Select2=1,Paper!$K90,"")</f>
        <v>0</v>
      </c>
      <c r="E88" s="297">
        <f>IF(Select2=1,Nappies!$K90,"")</f>
        <v>0</v>
      </c>
      <c r="F88" s="301">
        <f>IF(Select2=1,Garden!$K90,"")</f>
        <v>0</v>
      </c>
      <c r="G88" s="297">
        <f>IF(Select2=1,Wood!$K90,"")</f>
        <v>0</v>
      </c>
      <c r="H88" s="301">
        <f>IF(Select2=1,Textiles!$K90,"")</f>
        <v>0</v>
      </c>
      <c r="I88" s="302">
        <f>Sludge!K90</f>
        <v>0</v>
      </c>
      <c r="J88" s="302" t="str">
        <f>IF(Select2=2,MSW!$K90,"")</f>
        <v/>
      </c>
      <c r="K88" s="302">
        <f>Industry!$K90</f>
        <v>0</v>
      </c>
      <c r="L88" s="335">
        <f t="shared" si="8"/>
        <v>0</v>
      </c>
      <c r="M88" s="303">
        <f>Recovery_OX!C83</f>
        <v>0</v>
      </c>
      <c r="N88" s="426"/>
      <c r="O88" s="659">
        <f>(L88-M88)*(1-Recovery_OX!F83)</f>
        <v>0</v>
      </c>
      <c r="P88" s="148"/>
      <c r="Q88" s="455"/>
      <c r="S88" s="313">
        <f t="shared" si="7"/>
        <v>2071</v>
      </c>
      <c r="T88" s="310">
        <f>IF(Select2=1,Food!$W90,"")</f>
        <v>0</v>
      </c>
      <c r="U88" s="301">
        <f>IF(Select2=1,Paper!$W90,"")</f>
        <v>0</v>
      </c>
      <c r="V88" s="297">
        <f>IF(Select2=1,Nappies!$W90,"")</f>
        <v>0</v>
      </c>
      <c r="W88" s="301">
        <f>IF(Select2=1,Garden!$W90,"")</f>
        <v>0</v>
      </c>
      <c r="X88" s="297">
        <f>IF(Select2=1,Wood!$W90,"")</f>
        <v>0</v>
      </c>
      <c r="Y88" s="301">
        <f>IF(Select2=1,Textiles!$W90,"")</f>
        <v>0</v>
      </c>
      <c r="Z88" s="299">
        <f>Sludge!W90</f>
        <v>0</v>
      </c>
      <c r="AA88" s="299" t="str">
        <f>IF(Select2=2,MSW!$W90,"")</f>
        <v/>
      </c>
      <c r="AB88" s="302">
        <f>Industry!$W90</f>
        <v>0</v>
      </c>
      <c r="AC88" s="335">
        <f t="shared" si="5"/>
        <v>0</v>
      </c>
      <c r="AD88" s="303">
        <f>Recovery_OX!R83</f>
        <v>0</v>
      </c>
      <c r="AE88" s="426"/>
      <c r="AF88" s="240">
        <f>(AC88-AD88)*(1-Recovery_OX!U83)</f>
        <v>0</v>
      </c>
    </row>
    <row r="89" spans="2:32">
      <c r="B89" s="313">
        <f t="shared" si="6"/>
        <v>2072</v>
      </c>
      <c r="C89" s="310">
        <f>IF(Select2=1,Food!$K91,"")</f>
        <v>0</v>
      </c>
      <c r="D89" s="301">
        <f>IF(Select2=1,Paper!$K91,"")</f>
        <v>0</v>
      </c>
      <c r="E89" s="297">
        <f>IF(Select2=1,Nappies!$K91,"")</f>
        <v>0</v>
      </c>
      <c r="F89" s="301">
        <f>IF(Select2=1,Garden!$K91,"")</f>
        <v>0</v>
      </c>
      <c r="G89" s="297">
        <f>IF(Select2=1,Wood!$K91,"")</f>
        <v>0</v>
      </c>
      <c r="H89" s="301">
        <f>IF(Select2=1,Textiles!$K91,"")</f>
        <v>0</v>
      </c>
      <c r="I89" s="302">
        <f>Sludge!K91</f>
        <v>0</v>
      </c>
      <c r="J89" s="302" t="str">
        <f>IF(Select2=2,MSW!$K91,"")</f>
        <v/>
      </c>
      <c r="K89" s="302">
        <f>Industry!$K91</f>
        <v>0</v>
      </c>
      <c r="L89" s="335">
        <f t="shared" si="8"/>
        <v>0</v>
      </c>
      <c r="M89" s="303">
        <f>Recovery_OX!C84</f>
        <v>0</v>
      </c>
      <c r="N89" s="426"/>
      <c r="O89" s="659">
        <f>(L89-M89)*(1-Recovery_OX!F84)</f>
        <v>0</v>
      </c>
      <c r="P89" s="148"/>
      <c r="Q89" s="455"/>
      <c r="S89" s="313">
        <f t="shared" si="7"/>
        <v>2072</v>
      </c>
      <c r="T89" s="310">
        <f>IF(Select2=1,Food!$W91,"")</f>
        <v>0</v>
      </c>
      <c r="U89" s="301">
        <f>IF(Select2=1,Paper!$W91,"")</f>
        <v>0</v>
      </c>
      <c r="V89" s="297">
        <f>IF(Select2=1,Nappies!$W91,"")</f>
        <v>0</v>
      </c>
      <c r="W89" s="301">
        <f>IF(Select2=1,Garden!$W91,"")</f>
        <v>0</v>
      </c>
      <c r="X89" s="297">
        <f>IF(Select2=1,Wood!$W91,"")</f>
        <v>0</v>
      </c>
      <c r="Y89" s="301">
        <f>IF(Select2=1,Textiles!$W91,"")</f>
        <v>0</v>
      </c>
      <c r="Z89" s="299">
        <f>Sludge!W91</f>
        <v>0</v>
      </c>
      <c r="AA89" s="299" t="str">
        <f>IF(Select2=2,MSW!$W91,"")</f>
        <v/>
      </c>
      <c r="AB89" s="302">
        <f>Industry!$W91</f>
        <v>0</v>
      </c>
      <c r="AC89" s="335">
        <f t="shared" si="5"/>
        <v>0</v>
      </c>
      <c r="AD89" s="303">
        <f>Recovery_OX!R84</f>
        <v>0</v>
      </c>
      <c r="AE89" s="426"/>
      <c r="AF89" s="240">
        <f>(AC89-AD89)*(1-Recovery_OX!U84)</f>
        <v>0</v>
      </c>
    </row>
    <row r="90" spans="2:32">
      <c r="B90" s="313">
        <f t="shared" si="6"/>
        <v>2073</v>
      </c>
      <c r="C90" s="310">
        <f>IF(Select2=1,Food!$K92,"")</f>
        <v>0</v>
      </c>
      <c r="D90" s="301">
        <f>IF(Select2=1,Paper!$K92,"")</f>
        <v>0</v>
      </c>
      <c r="E90" s="297">
        <f>IF(Select2=1,Nappies!$K92,"")</f>
        <v>0</v>
      </c>
      <c r="F90" s="301">
        <f>IF(Select2=1,Garden!$K92,"")</f>
        <v>0</v>
      </c>
      <c r="G90" s="297">
        <f>IF(Select2=1,Wood!$K92,"")</f>
        <v>0</v>
      </c>
      <c r="H90" s="301">
        <f>IF(Select2=1,Textiles!$K92,"")</f>
        <v>0</v>
      </c>
      <c r="I90" s="302">
        <f>Sludge!K92</f>
        <v>0</v>
      </c>
      <c r="J90" s="302" t="str">
        <f>IF(Select2=2,MSW!$K92,"")</f>
        <v/>
      </c>
      <c r="K90" s="302">
        <f>Industry!$K92</f>
        <v>0</v>
      </c>
      <c r="L90" s="335">
        <f t="shared" si="8"/>
        <v>0</v>
      </c>
      <c r="M90" s="303">
        <f>Recovery_OX!C85</f>
        <v>0</v>
      </c>
      <c r="N90" s="426"/>
      <c r="O90" s="659">
        <f>(L90-M90)*(1-Recovery_OX!F85)</f>
        <v>0</v>
      </c>
      <c r="P90" s="148"/>
      <c r="Q90" s="455"/>
      <c r="S90" s="313">
        <f t="shared" si="7"/>
        <v>2073</v>
      </c>
      <c r="T90" s="310">
        <f>IF(Select2=1,Food!$W92,"")</f>
        <v>0</v>
      </c>
      <c r="U90" s="301">
        <f>IF(Select2=1,Paper!$W92,"")</f>
        <v>0</v>
      </c>
      <c r="V90" s="297">
        <f>IF(Select2=1,Nappies!$W92,"")</f>
        <v>0</v>
      </c>
      <c r="W90" s="301">
        <f>IF(Select2=1,Garden!$W92,"")</f>
        <v>0</v>
      </c>
      <c r="X90" s="297">
        <f>IF(Select2=1,Wood!$W92,"")</f>
        <v>0</v>
      </c>
      <c r="Y90" s="301">
        <f>IF(Select2=1,Textiles!$W92,"")</f>
        <v>0</v>
      </c>
      <c r="Z90" s="299">
        <f>Sludge!W92</f>
        <v>0</v>
      </c>
      <c r="AA90" s="299" t="str">
        <f>IF(Select2=2,MSW!$W92,"")</f>
        <v/>
      </c>
      <c r="AB90" s="302">
        <f>Industry!$W92</f>
        <v>0</v>
      </c>
      <c r="AC90" s="335">
        <f t="shared" si="5"/>
        <v>0</v>
      </c>
      <c r="AD90" s="303">
        <f>Recovery_OX!R85</f>
        <v>0</v>
      </c>
      <c r="AE90" s="426"/>
      <c r="AF90" s="240">
        <f>(AC90-AD90)*(1-Recovery_OX!U85)</f>
        <v>0</v>
      </c>
    </row>
    <row r="91" spans="2:32">
      <c r="B91" s="313">
        <f t="shared" si="6"/>
        <v>2074</v>
      </c>
      <c r="C91" s="310">
        <f>IF(Select2=1,Food!$K93,"")</f>
        <v>0</v>
      </c>
      <c r="D91" s="301">
        <f>IF(Select2=1,Paper!$K93,"")</f>
        <v>0</v>
      </c>
      <c r="E91" s="297">
        <f>IF(Select2=1,Nappies!$K93,"")</f>
        <v>0</v>
      </c>
      <c r="F91" s="301">
        <f>IF(Select2=1,Garden!$K93,"")</f>
        <v>0</v>
      </c>
      <c r="G91" s="297">
        <f>IF(Select2=1,Wood!$K93,"")</f>
        <v>0</v>
      </c>
      <c r="H91" s="301">
        <f>IF(Select2=1,Textiles!$K93,"")</f>
        <v>0</v>
      </c>
      <c r="I91" s="302">
        <f>Sludge!K93</f>
        <v>0</v>
      </c>
      <c r="J91" s="302" t="str">
        <f>IF(Select2=2,MSW!$K93,"")</f>
        <v/>
      </c>
      <c r="K91" s="302">
        <f>Industry!$K93</f>
        <v>0</v>
      </c>
      <c r="L91" s="335">
        <f t="shared" si="8"/>
        <v>0</v>
      </c>
      <c r="M91" s="303">
        <f>Recovery_OX!C86</f>
        <v>0</v>
      </c>
      <c r="N91" s="426"/>
      <c r="O91" s="659">
        <f>(L91-M91)*(1-Recovery_OX!F86)</f>
        <v>0</v>
      </c>
      <c r="P91" s="148"/>
      <c r="Q91" s="455"/>
      <c r="S91" s="313">
        <f t="shared" si="7"/>
        <v>2074</v>
      </c>
      <c r="T91" s="310">
        <f>IF(Select2=1,Food!$W93,"")</f>
        <v>0</v>
      </c>
      <c r="U91" s="301">
        <f>IF(Select2=1,Paper!$W93,"")</f>
        <v>0</v>
      </c>
      <c r="V91" s="297">
        <f>IF(Select2=1,Nappies!$W93,"")</f>
        <v>0</v>
      </c>
      <c r="W91" s="301">
        <f>IF(Select2=1,Garden!$W93,"")</f>
        <v>0</v>
      </c>
      <c r="X91" s="297">
        <f>IF(Select2=1,Wood!$W93,"")</f>
        <v>0</v>
      </c>
      <c r="Y91" s="301">
        <f>IF(Select2=1,Textiles!$W93,"")</f>
        <v>0</v>
      </c>
      <c r="Z91" s="299">
        <f>Sludge!W93</f>
        <v>0</v>
      </c>
      <c r="AA91" s="299" t="str">
        <f>IF(Select2=2,MSW!$W93,"")</f>
        <v/>
      </c>
      <c r="AB91" s="302">
        <f>Industry!$W93</f>
        <v>0</v>
      </c>
      <c r="AC91" s="335">
        <f t="shared" si="5"/>
        <v>0</v>
      </c>
      <c r="AD91" s="303">
        <f>Recovery_OX!R86</f>
        <v>0</v>
      </c>
      <c r="AE91" s="426"/>
      <c r="AF91" s="240">
        <f>(AC91-AD91)*(1-Recovery_OX!U86)</f>
        <v>0</v>
      </c>
    </row>
    <row r="92" spans="2:32">
      <c r="B92" s="313">
        <f t="shared" si="6"/>
        <v>2075</v>
      </c>
      <c r="C92" s="310">
        <f>IF(Select2=1,Food!$K94,"")</f>
        <v>0</v>
      </c>
      <c r="D92" s="301">
        <f>IF(Select2=1,Paper!$K94,"")</f>
        <v>0</v>
      </c>
      <c r="E92" s="297">
        <f>IF(Select2=1,Nappies!$K94,"")</f>
        <v>0</v>
      </c>
      <c r="F92" s="301">
        <f>IF(Select2=1,Garden!$K94,"")</f>
        <v>0</v>
      </c>
      <c r="G92" s="297">
        <f>IF(Select2=1,Wood!$K94,"")</f>
        <v>0</v>
      </c>
      <c r="H92" s="301">
        <f>IF(Select2=1,Textiles!$K94,"")</f>
        <v>0</v>
      </c>
      <c r="I92" s="302">
        <f>Sludge!K94</f>
        <v>0</v>
      </c>
      <c r="J92" s="302" t="str">
        <f>IF(Select2=2,MSW!$K94,"")</f>
        <v/>
      </c>
      <c r="K92" s="302">
        <f>Industry!$K94</f>
        <v>0</v>
      </c>
      <c r="L92" s="335">
        <f t="shared" si="8"/>
        <v>0</v>
      </c>
      <c r="M92" s="303">
        <f>Recovery_OX!C87</f>
        <v>0</v>
      </c>
      <c r="N92" s="426"/>
      <c r="O92" s="659">
        <f>(L92-M92)*(1-Recovery_OX!F87)</f>
        <v>0</v>
      </c>
      <c r="P92" s="148"/>
      <c r="Q92" s="455"/>
      <c r="S92" s="313">
        <f t="shared" si="7"/>
        <v>2075</v>
      </c>
      <c r="T92" s="310">
        <f>IF(Select2=1,Food!$W94,"")</f>
        <v>0</v>
      </c>
      <c r="U92" s="301">
        <f>IF(Select2=1,Paper!$W94,"")</f>
        <v>0</v>
      </c>
      <c r="V92" s="297">
        <f>IF(Select2=1,Nappies!$W94,"")</f>
        <v>0</v>
      </c>
      <c r="W92" s="301">
        <f>IF(Select2=1,Garden!$W94,"")</f>
        <v>0</v>
      </c>
      <c r="X92" s="297">
        <f>IF(Select2=1,Wood!$W94,"")</f>
        <v>0</v>
      </c>
      <c r="Y92" s="301">
        <f>IF(Select2=1,Textiles!$W94,"")</f>
        <v>0</v>
      </c>
      <c r="Z92" s="299">
        <f>Sludge!W94</f>
        <v>0</v>
      </c>
      <c r="AA92" s="299" t="str">
        <f>IF(Select2=2,MSW!$W94,"")</f>
        <v/>
      </c>
      <c r="AB92" s="302">
        <f>Industry!$W94</f>
        <v>0</v>
      </c>
      <c r="AC92" s="335">
        <f t="shared" si="5"/>
        <v>0</v>
      </c>
      <c r="AD92" s="303">
        <f>Recovery_OX!R87</f>
        <v>0</v>
      </c>
      <c r="AE92" s="426"/>
      <c r="AF92" s="240">
        <f>(AC92-AD92)*(1-Recovery_OX!U87)</f>
        <v>0</v>
      </c>
    </row>
    <row r="93" spans="2:32">
      <c r="B93" s="313">
        <f t="shared" si="6"/>
        <v>2076</v>
      </c>
      <c r="C93" s="310">
        <f>IF(Select2=1,Food!$K95,"")</f>
        <v>0</v>
      </c>
      <c r="D93" s="301">
        <f>IF(Select2=1,Paper!$K95,"")</f>
        <v>0</v>
      </c>
      <c r="E93" s="297">
        <f>IF(Select2=1,Nappies!$K95,"")</f>
        <v>0</v>
      </c>
      <c r="F93" s="301">
        <f>IF(Select2=1,Garden!$K95,"")</f>
        <v>0</v>
      </c>
      <c r="G93" s="297">
        <f>IF(Select2=1,Wood!$K95,"")</f>
        <v>0</v>
      </c>
      <c r="H93" s="301">
        <f>IF(Select2=1,Textiles!$K95,"")</f>
        <v>0</v>
      </c>
      <c r="I93" s="302">
        <f>Sludge!K95</f>
        <v>0</v>
      </c>
      <c r="J93" s="302" t="str">
        <f>IF(Select2=2,MSW!$K95,"")</f>
        <v/>
      </c>
      <c r="K93" s="302">
        <f>Industry!$K95</f>
        <v>0</v>
      </c>
      <c r="L93" s="335">
        <f t="shared" si="8"/>
        <v>0</v>
      </c>
      <c r="M93" s="303">
        <f>Recovery_OX!C88</f>
        <v>0</v>
      </c>
      <c r="N93" s="426"/>
      <c r="O93" s="659">
        <f>(L93-M93)*(1-Recovery_OX!F88)</f>
        <v>0</v>
      </c>
      <c r="P93" s="148"/>
      <c r="Q93" s="455"/>
      <c r="S93" s="313">
        <f t="shared" si="7"/>
        <v>2076</v>
      </c>
      <c r="T93" s="310">
        <f>IF(Select2=1,Food!$W95,"")</f>
        <v>0</v>
      </c>
      <c r="U93" s="301">
        <f>IF(Select2=1,Paper!$W95,"")</f>
        <v>0</v>
      </c>
      <c r="V93" s="297">
        <f>IF(Select2=1,Nappies!$W95,"")</f>
        <v>0</v>
      </c>
      <c r="W93" s="301">
        <f>IF(Select2=1,Garden!$W95,"")</f>
        <v>0</v>
      </c>
      <c r="X93" s="297">
        <f>IF(Select2=1,Wood!$W95,"")</f>
        <v>0</v>
      </c>
      <c r="Y93" s="301">
        <f>IF(Select2=1,Textiles!$W95,"")</f>
        <v>0</v>
      </c>
      <c r="Z93" s="299">
        <f>Sludge!W95</f>
        <v>0</v>
      </c>
      <c r="AA93" s="299" t="str">
        <f>IF(Select2=2,MSW!$W95,"")</f>
        <v/>
      </c>
      <c r="AB93" s="302">
        <f>Industry!$W95</f>
        <v>0</v>
      </c>
      <c r="AC93" s="335">
        <f t="shared" si="5"/>
        <v>0</v>
      </c>
      <c r="AD93" s="303">
        <f>Recovery_OX!R88</f>
        <v>0</v>
      </c>
      <c r="AE93" s="426"/>
      <c r="AF93" s="240">
        <f>(AC93-AD93)*(1-Recovery_OX!U88)</f>
        <v>0</v>
      </c>
    </row>
    <row r="94" spans="2:32">
      <c r="B94" s="313">
        <f t="shared" si="6"/>
        <v>2077</v>
      </c>
      <c r="C94" s="310">
        <f>IF(Select2=1,Food!$K96,"")</f>
        <v>0</v>
      </c>
      <c r="D94" s="301">
        <f>IF(Select2=1,Paper!$K96,"")</f>
        <v>0</v>
      </c>
      <c r="E94" s="297">
        <f>IF(Select2=1,Nappies!$K96,"")</f>
        <v>0</v>
      </c>
      <c r="F94" s="301">
        <f>IF(Select2=1,Garden!$K96,"")</f>
        <v>0</v>
      </c>
      <c r="G94" s="297">
        <f>IF(Select2=1,Wood!$K96,"")</f>
        <v>0</v>
      </c>
      <c r="H94" s="301">
        <f>IF(Select2=1,Textiles!$K96,"")</f>
        <v>0</v>
      </c>
      <c r="I94" s="302">
        <f>Sludge!K96</f>
        <v>0</v>
      </c>
      <c r="J94" s="302" t="str">
        <f>IF(Select2=2,MSW!$K96,"")</f>
        <v/>
      </c>
      <c r="K94" s="302">
        <f>Industry!$K96</f>
        <v>0</v>
      </c>
      <c r="L94" s="335">
        <f t="shared" si="8"/>
        <v>0</v>
      </c>
      <c r="M94" s="303">
        <f>Recovery_OX!C89</f>
        <v>0</v>
      </c>
      <c r="N94" s="426"/>
      <c r="O94" s="659">
        <f>(L94-M94)*(1-Recovery_OX!F89)</f>
        <v>0</v>
      </c>
      <c r="P94" s="148"/>
      <c r="Q94" s="455"/>
      <c r="S94" s="313">
        <f t="shared" si="7"/>
        <v>2077</v>
      </c>
      <c r="T94" s="310">
        <f>IF(Select2=1,Food!$W96,"")</f>
        <v>0</v>
      </c>
      <c r="U94" s="301">
        <f>IF(Select2=1,Paper!$W96,"")</f>
        <v>0</v>
      </c>
      <c r="V94" s="297">
        <f>IF(Select2=1,Nappies!$W96,"")</f>
        <v>0</v>
      </c>
      <c r="W94" s="301">
        <f>IF(Select2=1,Garden!$W96,"")</f>
        <v>0</v>
      </c>
      <c r="X94" s="297">
        <f>IF(Select2=1,Wood!$W96,"")</f>
        <v>0</v>
      </c>
      <c r="Y94" s="301">
        <f>IF(Select2=1,Textiles!$W96,"")</f>
        <v>0</v>
      </c>
      <c r="Z94" s="299">
        <f>Sludge!W96</f>
        <v>0</v>
      </c>
      <c r="AA94" s="299" t="str">
        <f>IF(Select2=2,MSW!$W96,"")</f>
        <v/>
      </c>
      <c r="AB94" s="302">
        <f>Industry!$W96</f>
        <v>0</v>
      </c>
      <c r="AC94" s="335">
        <f t="shared" si="5"/>
        <v>0</v>
      </c>
      <c r="AD94" s="303">
        <f>Recovery_OX!R89</f>
        <v>0</v>
      </c>
      <c r="AE94" s="426"/>
      <c r="AF94" s="240">
        <f>(AC94-AD94)*(1-Recovery_OX!U89)</f>
        <v>0</v>
      </c>
    </row>
    <row r="95" spans="2:32">
      <c r="B95" s="313">
        <f t="shared" si="6"/>
        <v>2078</v>
      </c>
      <c r="C95" s="310">
        <f>IF(Select2=1,Food!$K97,"")</f>
        <v>0</v>
      </c>
      <c r="D95" s="301">
        <f>IF(Select2=1,Paper!$K97,"")</f>
        <v>0</v>
      </c>
      <c r="E95" s="297">
        <f>IF(Select2=1,Nappies!$K97,"")</f>
        <v>0</v>
      </c>
      <c r="F95" s="301">
        <f>IF(Select2=1,Garden!$K97,"")</f>
        <v>0</v>
      </c>
      <c r="G95" s="297">
        <f>IF(Select2=1,Wood!$K97,"")</f>
        <v>0</v>
      </c>
      <c r="H95" s="301">
        <f>IF(Select2=1,Textiles!$K97,"")</f>
        <v>0</v>
      </c>
      <c r="I95" s="302">
        <f>Sludge!K97</f>
        <v>0</v>
      </c>
      <c r="J95" s="302" t="str">
        <f>IF(Select2=2,MSW!$K97,"")</f>
        <v/>
      </c>
      <c r="K95" s="302">
        <f>Industry!$K97</f>
        <v>0</v>
      </c>
      <c r="L95" s="335">
        <f t="shared" si="8"/>
        <v>0</v>
      </c>
      <c r="M95" s="303">
        <f>Recovery_OX!C90</f>
        <v>0</v>
      </c>
      <c r="N95" s="426"/>
      <c r="O95" s="659">
        <f>(L95-M95)*(1-Recovery_OX!F90)</f>
        <v>0</v>
      </c>
      <c r="P95" s="148"/>
      <c r="Q95" s="455"/>
      <c r="S95" s="313">
        <f t="shared" si="7"/>
        <v>2078</v>
      </c>
      <c r="T95" s="310">
        <f>IF(Select2=1,Food!$W97,"")</f>
        <v>0</v>
      </c>
      <c r="U95" s="301">
        <f>IF(Select2=1,Paper!$W97,"")</f>
        <v>0</v>
      </c>
      <c r="V95" s="297">
        <f>IF(Select2=1,Nappies!$W97,"")</f>
        <v>0</v>
      </c>
      <c r="W95" s="301">
        <f>IF(Select2=1,Garden!$W97,"")</f>
        <v>0</v>
      </c>
      <c r="X95" s="297">
        <f>IF(Select2=1,Wood!$W97,"")</f>
        <v>0</v>
      </c>
      <c r="Y95" s="301">
        <f>IF(Select2=1,Textiles!$W97,"")</f>
        <v>0</v>
      </c>
      <c r="Z95" s="299">
        <f>Sludge!W97</f>
        <v>0</v>
      </c>
      <c r="AA95" s="299" t="str">
        <f>IF(Select2=2,MSW!$W97,"")</f>
        <v/>
      </c>
      <c r="AB95" s="302">
        <f>Industry!$W97</f>
        <v>0</v>
      </c>
      <c r="AC95" s="335">
        <f t="shared" si="5"/>
        <v>0</v>
      </c>
      <c r="AD95" s="303">
        <f>Recovery_OX!R90</f>
        <v>0</v>
      </c>
      <c r="AE95" s="426"/>
      <c r="AF95" s="240">
        <f>(AC95-AD95)*(1-Recovery_OX!U90)</f>
        <v>0</v>
      </c>
    </row>
    <row r="96" spans="2:32">
      <c r="B96" s="313">
        <f t="shared" si="6"/>
        <v>2079</v>
      </c>
      <c r="C96" s="310">
        <f>IF(Select2=1,Food!$K98,"")</f>
        <v>0</v>
      </c>
      <c r="D96" s="301">
        <f>IF(Select2=1,Paper!$K98,"")</f>
        <v>0</v>
      </c>
      <c r="E96" s="297">
        <f>IF(Select2=1,Nappies!$K98,"")</f>
        <v>0</v>
      </c>
      <c r="F96" s="301">
        <f>IF(Select2=1,Garden!$K98,"")</f>
        <v>0</v>
      </c>
      <c r="G96" s="297">
        <f>IF(Select2=1,Wood!$K98,"")</f>
        <v>0</v>
      </c>
      <c r="H96" s="301">
        <f>IF(Select2=1,Textiles!$K98,"")</f>
        <v>0</v>
      </c>
      <c r="I96" s="302">
        <f>Sludge!K98</f>
        <v>0</v>
      </c>
      <c r="J96" s="302" t="str">
        <f>IF(Select2=2,MSW!$K98,"")</f>
        <v/>
      </c>
      <c r="K96" s="302">
        <f>Industry!$K98</f>
        <v>0</v>
      </c>
      <c r="L96" s="335">
        <f t="shared" si="8"/>
        <v>0</v>
      </c>
      <c r="M96" s="303">
        <f>Recovery_OX!C91</f>
        <v>0</v>
      </c>
      <c r="N96" s="426"/>
      <c r="O96" s="659">
        <f>(L96-M96)*(1-Recovery_OX!F91)</f>
        <v>0</v>
      </c>
      <c r="P96" s="276"/>
      <c r="S96" s="313">
        <f t="shared" si="7"/>
        <v>2079</v>
      </c>
      <c r="T96" s="310">
        <f>IF(Select2=1,Food!$W98,"")</f>
        <v>0</v>
      </c>
      <c r="U96" s="301">
        <f>IF(Select2=1,Paper!$W98,"")</f>
        <v>0</v>
      </c>
      <c r="V96" s="297">
        <f>IF(Select2=1,Nappies!$W98,"")</f>
        <v>0</v>
      </c>
      <c r="W96" s="301">
        <f>IF(Select2=1,Garden!$W98,"")</f>
        <v>0</v>
      </c>
      <c r="X96" s="297">
        <f>IF(Select2=1,Wood!$W98,"")</f>
        <v>0</v>
      </c>
      <c r="Y96" s="301">
        <f>IF(Select2=1,Textiles!$W98,"")</f>
        <v>0</v>
      </c>
      <c r="Z96" s="299">
        <f>Sludge!W98</f>
        <v>0</v>
      </c>
      <c r="AA96" s="299" t="str">
        <f>IF(Select2=2,MSW!$W98,"")</f>
        <v/>
      </c>
      <c r="AB96" s="302">
        <f>Industry!$W98</f>
        <v>0</v>
      </c>
      <c r="AC96" s="335">
        <f t="shared" si="5"/>
        <v>0</v>
      </c>
      <c r="AD96" s="303">
        <f>Recovery_OX!R91</f>
        <v>0</v>
      </c>
      <c r="AE96" s="426"/>
      <c r="AF96" s="240">
        <f>(AC96-AD96)*(1-Recovery_OX!U91)</f>
        <v>0</v>
      </c>
    </row>
    <row r="97" spans="2:32" ht="13.5" thickBot="1">
      <c r="B97" s="314">
        <f t="shared" si="6"/>
        <v>2080</v>
      </c>
      <c r="C97" s="311">
        <f>IF(Select2=1,Food!$K99,"")</f>
        <v>0</v>
      </c>
      <c r="D97" s="304">
        <f>IF(Select2=1,Paper!$K99,"")</f>
        <v>0</v>
      </c>
      <c r="E97" s="304">
        <f>IF(Select2=1,Nappies!$K99,"")</f>
        <v>0</v>
      </c>
      <c r="F97" s="304">
        <f>IF(Select2=1,Garden!$K99,"")</f>
        <v>0</v>
      </c>
      <c r="G97" s="304">
        <f>IF(Select2=1,Wood!$K99,"")</f>
        <v>0</v>
      </c>
      <c r="H97" s="304">
        <f>IF(Select2=1,Textiles!$K99,"")</f>
        <v>0</v>
      </c>
      <c r="I97" s="305">
        <f>Sludge!K99</f>
        <v>0</v>
      </c>
      <c r="J97" s="305" t="str">
        <f>IF(Select2=2,MSW!$K99,"")</f>
        <v/>
      </c>
      <c r="K97" s="302">
        <f>Industry!$K99</f>
        <v>0</v>
      </c>
      <c r="L97" s="335">
        <f t="shared" si="8"/>
        <v>0</v>
      </c>
      <c r="M97" s="306">
        <f>Recovery_OX!C92</f>
        <v>0</v>
      </c>
      <c r="N97" s="426"/>
      <c r="O97" s="660">
        <f>(L97-M97)*(1-Recovery_OX!F92)</f>
        <v>0</v>
      </c>
      <c r="S97" s="314">
        <f t="shared" si="7"/>
        <v>2080</v>
      </c>
      <c r="T97" s="311">
        <f>IF(Select2=1,Food!$W99,"")</f>
        <v>0</v>
      </c>
      <c r="U97" s="304">
        <f>IF(Select2=1,Paper!$W99,"")</f>
        <v>0</v>
      </c>
      <c r="V97" s="304">
        <f>IF(Select2=1,Nappies!$W99,"")</f>
        <v>0</v>
      </c>
      <c r="W97" s="304">
        <f>IF(Select2=1,Garden!$W99,"")</f>
        <v>0</v>
      </c>
      <c r="X97" s="304">
        <f>IF(Select2=1,Wood!$W99,"")</f>
        <v>0</v>
      </c>
      <c r="Y97" s="304">
        <f>IF(Select2=1,Textiles!$W99,"")</f>
        <v>0</v>
      </c>
      <c r="Z97" s="305">
        <f>Sludge!W99</f>
        <v>0</v>
      </c>
      <c r="AA97" s="305" t="str">
        <f>IF(Select2=2,MSW!$W99,"")</f>
        <v/>
      </c>
      <c r="AB97" s="302">
        <f>Industry!$W99</f>
        <v>0</v>
      </c>
      <c r="AC97" s="336">
        <f t="shared" si="5"/>
        <v>0</v>
      </c>
      <c r="AD97" s="306">
        <f>Recovery_OX!R92</f>
        <v>0</v>
      </c>
      <c r="AE97" s="426"/>
      <c r="AF97" s="241">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98" customWidth="1"/>
    <col min="14" max="14" width="9.85546875" style="498" customWidth="1"/>
    <col min="15" max="15" width="8.7109375" style="498" customWidth="1"/>
    <col min="16" max="16384" width="11.42578125" style="6"/>
  </cols>
  <sheetData>
    <row r="2" spans="2:15" s="496" customFormat="1">
      <c r="B2" s="496" t="s">
        <v>282</v>
      </c>
      <c r="M2" s="497"/>
      <c r="N2" s="497"/>
      <c r="O2" s="497"/>
    </row>
    <row r="4" spans="2:15">
      <c r="B4" s="6" t="s">
        <v>283</v>
      </c>
    </row>
    <row r="7" spans="2:15" ht="13.5" thickBot="1"/>
    <row r="8" spans="2:15" ht="13.5" thickBot="1">
      <c r="B8" s="499"/>
      <c r="C8" s="839" t="s">
        <v>284</v>
      </c>
      <c r="D8" s="840"/>
      <c r="E8" s="841"/>
      <c r="F8" s="839" t="s">
        <v>285</v>
      </c>
      <c r="G8" s="840"/>
      <c r="H8" s="842"/>
      <c r="I8" s="500"/>
      <c r="J8" s="839" t="s">
        <v>286</v>
      </c>
      <c r="K8" s="840"/>
      <c r="L8" s="842"/>
      <c r="M8" s="843" t="s">
        <v>287</v>
      </c>
      <c r="N8" s="844"/>
      <c r="O8" s="845"/>
    </row>
    <row r="9" spans="2:15" ht="26.25" thickBot="1">
      <c r="B9" s="152" t="s">
        <v>1</v>
      </c>
      <c r="C9" s="501" t="s">
        <v>288</v>
      </c>
      <c r="D9" s="502" t="s">
        <v>289</v>
      </c>
      <c r="E9" s="503" t="s">
        <v>290</v>
      </c>
      <c r="F9" s="504" t="s">
        <v>288</v>
      </c>
      <c r="G9" s="505" t="s">
        <v>289</v>
      </c>
      <c r="H9" s="506" t="s">
        <v>290</v>
      </c>
      <c r="I9" s="500"/>
      <c r="J9" s="504" t="s">
        <v>261</v>
      </c>
      <c r="K9" s="505" t="s">
        <v>262</v>
      </c>
      <c r="L9" s="506" t="s">
        <v>2</v>
      </c>
      <c r="M9" s="507" t="s">
        <v>261</v>
      </c>
      <c r="N9" s="508" t="s">
        <v>262</v>
      </c>
      <c r="O9" s="509" t="s">
        <v>2</v>
      </c>
    </row>
    <row r="10" spans="2:15" ht="13.5" thickBot="1">
      <c r="B10" s="123"/>
      <c r="C10" s="510" t="s">
        <v>15</v>
      </c>
      <c r="D10" s="511" t="s">
        <v>15</v>
      </c>
      <c r="E10" s="512" t="s">
        <v>15</v>
      </c>
      <c r="F10" s="513" t="s">
        <v>15</v>
      </c>
      <c r="G10" s="511" t="s">
        <v>15</v>
      </c>
      <c r="H10" s="512" t="s">
        <v>15</v>
      </c>
      <c r="I10" s="514"/>
      <c r="J10" s="513" t="s">
        <v>15</v>
      </c>
      <c r="K10" s="511" t="s">
        <v>15</v>
      </c>
      <c r="L10" s="512" t="s">
        <v>15</v>
      </c>
      <c r="M10" s="513" t="s">
        <v>15</v>
      </c>
      <c r="N10" s="511" t="s">
        <v>15</v>
      </c>
      <c r="O10" s="512" t="s">
        <v>15</v>
      </c>
    </row>
    <row r="11" spans="2:15" ht="13.5" thickBot="1">
      <c r="B11" s="515"/>
      <c r="C11" s="516"/>
      <c r="D11" s="517"/>
      <c r="E11" s="518"/>
      <c r="F11" s="519"/>
      <c r="G11" s="520"/>
      <c r="H11" s="28"/>
      <c r="I11" s="521"/>
      <c r="J11" s="522"/>
      <c r="K11" s="523"/>
      <c r="L11" s="524"/>
      <c r="M11" s="525"/>
      <c r="N11" s="517"/>
      <c r="O11" s="518"/>
    </row>
    <row r="12" spans="2:15">
      <c r="B12" s="526">
        <v>1950</v>
      </c>
      <c r="C12" s="527">
        <f>Stored_C!E18</f>
        <v>0</v>
      </c>
      <c r="D12" s="528">
        <f>Stored_C!F18+Stored_C!L18</f>
        <v>8.6363485639199988E-2</v>
      </c>
      <c r="E12" s="529">
        <f>Stored_C!G18+Stored_C!M18</f>
        <v>7.1249875652340006E-2</v>
      </c>
      <c r="F12" s="530">
        <f>F11+HWP!C12</f>
        <v>0</v>
      </c>
      <c r="G12" s="528">
        <f>G11+HWP!D12</f>
        <v>8.6363485639199988E-2</v>
      </c>
      <c r="H12" s="529">
        <f>H11+HWP!E12</f>
        <v>7.1249875652340006E-2</v>
      </c>
      <c r="I12" s="521"/>
      <c r="J12" s="531">
        <f>Garden!J19</f>
        <v>0</v>
      </c>
      <c r="K12" s="532">
        <f>Paper!J19</f>
        <v>0</v>
      </c>
      <c r="L12" s="533">
        <f>Wood!J19</f>
        <v>0</v>
      </c>
      <c r="M12" s="534">
        <f>J12*(1-Recovery_OX!E12)*(1-Recovery_OX!F12)</f>
        <v>0</v>
      </c>
      <c r="N12" s="532">
        <f>K12*(1-Recovery_OX!E12)*(1-Recovery_OX!F12)</f>
        <v>0</v>
      </c>
      <c r="O12" s="533">
        <f>L12*(1-Recovery_OX!E12)*(1-Recovery_OX!F12)</f>
        <v>0</v>
      </c>
    </row>
    <row r="13" spans="2:15">
      <c r="B13" s="535">
        <f>B12+1</f>
        <v>1951</v>
      </c>
      <c r="C13" s="536">
        <f>Stored_C!E19</f>
        <v>0</v>
      </c>
      <c r="D13" s="537">
        <f>Stored_C!F19+Stored_C!L19</f>
        <v>8.7469901508000006E-2</v>
      </c>
      <c r="E13" s="538">
        <f>Stored_C!G19+Stored_C!M19</f>
        <v>7.2162668744100003E-2</v>
      </c>
      <c r="F13" s="539">
        <f>F12+HWP!C13</f>
        <v>0</v>
      </c>
      <c r="G13" s="537">
        <f>G12+HWP!D13</f>
        <v>0.17383338714719998</v>
      </c>
      <c r="H13" s="538">
        <f>H12+HWP!E13</f>
        <v>0.14341254439644002</v>
      </c>
      <c r="I13" s="521"/>
      <c r="J13" s="540">
        <f>Garden!J20</f>
        <v>0</v>
      </c>
      <c r="K13" s="541">
        <f>Paper!J20</f>
        <v>0</v>
      </c>
      <c r="L13" s="542">
        <f>Wood!J20</f>
        <v>0</v>
      </c>
      <c r="M13" s="543">
        <f>J13*(1-Recovery_OX!E13)*(1-Recovery_OX!F13)</f>
        <v>0</v>
      </c>
      <c r="N13" s="541">
        <f>K13*(1-Recovery_OX!E13)*(1-Recovery_OX!F13)</f>
        <v>0</v>
      </c>
      <c r="O13" s="542">
        <f>L13*(1-Recovery_OX!E13)*(1-Recovery_OX!F13)</f>
        <v>0</v>
      </c>
    </row>
    <row r="14" spans="2:15">
      <c r="B14" s="535">
        <f t="shared" ref="B14:B77" si="0">B13+1</f>
        <v>1952</v>
      </c>
      <c r="C14" s="536">
        <f>Stored_C!E20</f>
        <v>0</v>
      </c>
      <c r="D14" s="537">
        <f>Stored_C!F20+Stored_C!L20</f>
        <v>8.9440943592E-2</v>
      </c>
      <c r="E14" s="538">
        <f>Stored_C!G20+Stored_C!M20</f>
        <v>7.3788778463399998E-2</v>
      </c>
      <c r="F14" s="539">
        <f>F13+HWP!C14</f>
        <v>0</v>
      </c>
      <c r="G14" s="537">
        <f>G13+HWP!D14</f>
        <v>0.26327433073919998</v>
      </c>
      <c r="H14" s="538">
        <f>H13+HWP!E14</f>
        <v>0.21720132285984001</v>
      </c>
      <c r="I14" s="521"/>
      <c r="J14" s="540">
        <f>Garden!J21</f>
        <v>0</v>
      </c>
      <c r="K14" s="541">
        <f>Paper!J21</f>
        <v>0</v>
      </c>
      <c r="L14" s="542">
        <f>Wood!J21</f>
        <v>0</v>
      </c>
      <c r="M14" s="543">
        <f>J14*(1-Recovery_OX!E14)*(1-Recovery_OX!F14)</f>
        <v>0</v>
      </c>
      <c r="N14" s="541">
        <f>K14*(1-Recovery_OX!E14)*(1-Recovery_OX!F14)</f>
        <v>0</v>
      </c>
      <c r="O14" s="542">
        <f>L14*(1-Recovery_OX!E14)*(1-Recovery_OX!F14)</f>
        <v>0</v>
      </c>
    </row>
    <row r="15" spans="2:15">
      <c r="B15" s="535">
        <f t="shared" si="0"/>
        <v>1953</v>
      </c>
      <c r="C15" s="536">
        <f>Stored_C!E21</f>
        <v>0</v>
      </c>
      <c r="D15" s="537">
        <f>Stored_C!F21+Stored_C!L21</f>
        <v>9.1030726485600025E-2</v>
      </c>
      <c r="E15" s="538">
        <f>Stored_C!G21+Stored_C!M21</f>
        <v>7.5100349350620016E-2</v>
      </c>
      <c r="F15" s="539">
        <f>F14+HWP!C15</f>
        <v>0</v>
      </c>
      <c r="G15" s="537">
        <f>G14+HWP!D15</f>
        <v>0.35430505722479999</v>
      </c>
      <c r="H15" s="538">
        <f>H14+HWP!E15</f>
        <v>0.29230167221046</v>
      </c>
      <c r="I15" s="521"/>
      <c r="J15" s="540">
        <f>Garden!J22</f>
        <v>0</v>
      </c>
      <c r="K15" s="541">
        <f>Paper!J22</f>
        <v>0</v>
      </c>
      <c r="L15" s="542">
        <f>Wood!J22</f>
        <v>0</v>
      </c>
      <c r="M15" s="543">
        <f>J15*(1-Recovery_OX!E15)*(1-Recovery_OX!F15)</f>
        <v>0</v>
      </c>
      <c r="N15" s="541">
        <f>K15*(1-Recovery_OX!E15)*(1-Recovery_OX!F15)</f>
        <v>0</v>
      </c>
      <c r="O15" s="542">
        <f>L15*(1-Recovery_OX!E15)*(1-Recovery_OX!F15)</f>
        <v>0</v>
      </c>
    </row>
    <row r="16" spans="2:15">
      <c r="B16" s="535">
        <f t="shared" si="0"/>
        <v>1954</v>
      </c>
      <c r="C16" s="536">
        <f>Stored_C!E22</f>
        <v>0</v>
      </c>
      <c r="D16" s="537">
        <f>Stored_C!F22+Stored_C!L22</f>
        <v>9.1517702311200017E-2</v>
      </c>
      <c r="E16" s="538">
        <f>Stored_C!G22+Stored_C!M22</f>
        <v>7.5502104406740003E-2</v>
      </c>
      <c r="F16" s="539">
        <f>F15+HWP!C16</f>
        <v>0</v>
      </c>
      <c r="G16" s="537">
        <f>G15+HWP!D16</f>
        <v>0.44582275953600004</v>
      </c>
      <c r="H16" s="538">
        <f>H15+HWP!E16</f>
        <v>0.36780377661719998</v>
      </c>
      <c r="I16" s="521"/>
      <c r="J16" s="540">
        <f>Garden!J23</f>
        <v>0</v>
      </c>
      <c r="K16" s="541">
        <f>Paper!J23</f>
        <v>0</v>
      </c>
      <c r="L16" s="542">
        <f>Wood!J23</f>
        <v>0</v>
      </c>
      <c r="M16" s="543">
        <f>J16*(1-Recovery_OX!E16)*(1-Recovery_OX!F16)</f>
        <v>0</v>
      </c>
      <c r="N16" s="541">
        <f>K16*(1-Recovery_OX!E16)*(1-Recovery_OX!F16)</f>
        <v>0</v>
      </c>
      <c r="O16" s="542">
        <f>L16*(1-Recovery_OX!E16)*(1-Recovery_OX!F16)</f>
        <v>0</v>
      </c>
    </row>
    <row r="17" spans="2:15">
      <c r="B17" s="535">
        <f t="shared" si="0"/>
        <v>1955</v>
      </c>
      <c r="C17" s="536">
        <f>Stored_C!E23</f>
        <v>0</v>
      </c>
      <c r="D17" s="537">
        <f>Stored_C!F23+Stored_C!L23</f>
        <v>0.10137121447200002</v>
      </c>
      <c r="E17" s="538">
        <f>Stored_C!G23+Stored_C!M23</f>
        <v>8.363125193940002E-2</v>
      </c>
      <c r="F17" s="539">
        <f>F16+HWP!C17</f>
        <v>0</v>
      </c>
      <c r="G17" s="537">
        <f>G16+HWP!D17</f>
        <v>0.54719397400800007</v>
      </c>
      <c r="H17" s="538">
        <f>H16+HWP!E17</f>
        <v>0.4514350285566</v>
      </c>
      <c r="I17" s="521"/>
      <c r="J17" s="540">
        <f>Garden!J24</f>
        <v>0</v>
      </c>
      <c r="K17" s="541">
        <f>Paper!J24</f>
        <v>0</v>
      </c>
      <c r="L17" s="542">
        <f>Wood!J24</f>
        <v>0</v>
      </c>
      <c r="M17" s="543">
        <f>J17*(1-Recovery_OX!E17)*(1-Recovery_OX!F17)</f>
        <v>0</v>
      </c>
      <c r="N17" s="541">
        <f>K17*(1-Recovery_OX!E17)*(1-Recovery_OX!F17)</f>
        <v>0</v>
      </c>
      <c r="O17" s="542">
        <f>L17*(1-Recovery_OX!E17)*(1-Recovery_OX!F17)</f>
        <v>0</v>
      </c>
    </row>
    <row r="18" spans="2:15">
      <c r="B18" s="535">
        <f t="shared" si="0"/>
        <v>1956</v>
      </c>
      <c r="C18" s="536">
        <f>Stored_C!E24</f>
        <v>0</v>
      </c>
      <c r="D18" s="537">
        <f>Stored_C!F24+Stored_C!L24</f>
        <v>0.10345646448720003</v>
      </c>
      <c r="E18" s="538">
        <f>Stored_C!G24+Stored_C!M24</f>
        <v>8.5351583201940015E-2</v>
      </c>
      <c r="F18" s="539">
        <f>F17+HWP!C18</f>
        <v>0</v>
      </c>
      <c r="G18" s="537">
        <f>G17+HWP!D18</f>
        <v>0.6506504384952001</v>
      </c>
      <c r="H18" s="538">
        <f>H17+HWP!E18</f>
        <v>0.53678661175854003</v>
      </c>
      <c r="I18" s="521"/>
      <c r="J18" s="540">
        <f>Garden!J25</f>
        <v>0</v>
      </c>
      <c r="K18" s="541">
        <f>Paper!J25</f>
        <v>0</v>
      </c>
      <c r="L18" s="542">
        <f>Wood!J25</f>
        <v>0</v>
      </c>
      <c r="M18" s="543">
        <f>J18*(1-Recovery_OX!E18)*(1-Recovery_OX!F18)</f>
        <v>0</v>
      </c>
      <c r="N18" s="541">
        <f>K18*(1-Recovery_OX!E18)*(1-Recovery_OX!F18)</f>
        <v>0</v>
      </c>
      <c r="O18" s="542">
        <f>L18*(1-Recovery_OX!E18)*(1-Recovery_OX!F18)</f>
        <v>0</v>
      </c>
    </row>
    <row r="19" spans="2:15">
      <c r="B19" s="535">
        <f t="shared" si="0"/>
        <v>1957</v>
      </c>
      <c r="C19" s="536">
        <f>Stored_C!E25</f>
        <v>0</v>
      </c>
      <c r="D19" s="537">
        <f>Stored_C!F25+Stored_C!L25</f>
        <v>0.10554001624320003</v>
      </c>
      <c r="E19" s="538">
        <f>Stored_C!G25+Stored_C!M25</f>
        <v>8.7070513400640023E-2</v>
      </c>
      <c r="F19" s="539">
        <f>F18+HWP!C19</f>
        <v>0</v>
      </c>
      <c r="G19" s="537">
        <f>G18+HWP!D19</f>
        <v>0.75619045473840019</v>
      </c>
      <c r="H19" s="538">
        <f>H18+HWP!E19</f>
        <v>0.62385712515918001</v>
      </c>
      <c r="I19" s="521"/>
      <c r="J19" s="540">
        <f>Garden!J26</f>
        <v>0</v>
      </c>
      <c r="K19" s="541">
        <f>Paper!J26</f>
        <v>0</v>
      </c>
      <c r="L19" s="542">
        <f>Wood!J26</f>
        <v>0</v>
      </c>
      <c r="M19" s="543">
        <f>J19*(1-Recovery_OX!E19)*(1-Recovery_OX!F19)</f>
        <v>0</v>
      </c>
      <c r="N19" s="541">
        <f>K19*(1-Recovery_OX!E19)*(1-Recovery_OX!F19)</f>
        <v>0</v>
      </c>
      <c r="O19" s="542">
        <f>L19*(1-Recovery_OX!E19)*(1-Recovery_OX!F19)</f>
        <v>0</v>
      </c>
    </row>
    <row r="20" spans="2:15">
      <c r="B20" s="535">
        <f t="shared" si="0"/>
        <v>1958</v>
      </c>
      <c r="C20" s="536">
        <f>Stored_C!E26</f>
        <v>0</v>
      </c>
      <c r="D20" s="537">
        <f>Stored_C!F26+Stored_C!L26</f>
        <v>0.10760913279600003</v>
      </c>
      <c r="E20" s="538">
        <f>Stored_C!G26+Stored_C!M26</f>
        <v>8.8777534556700011E-2</v>
      </c>
      <c r="F20" s="539">
        <f>F19+HWP!C20</f>
        <v>0</v>
      </c>
      <c r="G20" s="537">
        <f>G19+HWP!D20</f>
        <v>0.86379958753440023</v>
      </c>
      <c r="H20" s="538">
        <f>H19+HWP!E20</f>
        <v>0.71263465971588003</v>
      </c>
      <c r="I20" s="521"/>
      <c r="J20" s="540">
        <f>Garden!J27</f>
        <v>0</v>
      </c>
      <c r="K20" s="541">
        <f>Paper!J27</f>
        <v>0</v>
      </c>
      <c r="L20" s="542">
        <f>Wood!J27</f>
        <v>0</v>
      </c>
      <c r="M20" s="543">
        <f>J20*(1-Recovery_OX!E20)*(1-Recovery_OX!F20)</f>
        <v>0</v>
      </c>
      <c r="N20" s="541">
        <f>K20*(1-Recovery_OX!E20)*(1-Recovery_OX!F20)</f>
        <v>0</v>
      </c>
      <c r="O20" s="542">
        <f>L20*(1-Recovery_OX!E20)*(1-Recovery_OX!F20)</f>
        <v>0</v>
      </c>
    </row>
    <row r="21" spans="2:15">
      <c r="B21" s="535">
        <f t="shared" si="0"/>
        <v>1959</v>
      </c>
      <c r="C21" s="536">
        <f>Stored_C!E27</f>
        <v>0</v>
      </c>
      <c r="D21" s="537">
        <f>Stored_C!F27+Stored_C!L27</f>
        <v>0.1096485298128</v>
      </c>
      <c r="E21" s="538">
        <f>Stored_C!G27+Stored_C!M27</f>
        <v>9.0460037095559997E-2</v>
      </c>
      <c r="F21" s="539">
        <f>F20+HWP!C21</f>
        <v>0</v>
      </c>
      <c r="G21" s="537">
        <f>G20+HWP!D21</f>
        <v>0.97344811734720027</v>
      </c>
      <c r="H21" s="538">
        <f>H20+HWP!E21</f>
        <v>0.80309469681144008</v>
      </c>
      <c r="I21" s="521"/>
      <c r="J21" s="540">
        <f>Garden!J28</f>
        <v>0</v>
      </c>
      <c r="K21" s="541">
        <f>Paper!J28</f>
        <v>0</v>
      </c>
      <c r="L21" s="542">
        <f>Wood!J28</f>
        <v>0</v>
      </c>
      <c r="M21" s="543">
        <f>J21*(1-Recovery_OX!E21)*(1-Recovery_OX!F21)</f>
        <v>0</v>
      </c>
      <c r="N21" s="541">
        <f>K21*(1-Recovery_OX!E21)*(1-Recovery_OX!F21)</f>
        <v>0</v>
      </c>
      <c r="O21" s="542">
        <f>L21*(1-Recovery_OX!E21)*(1-Recovery_OX!F21)</f>
        <v>0</v>
      </c>
    </row>
    <row r="22" spans="2:15">
      <c r="B22" s="535">
        <f t="shared" si="0"/>
        <v>1960</v>
      </c>
      <c r="C22" s="536">
        <f>Stored_C!E28</f>
        <v>0</v>
      </c>
      <c r="D22" s="537">
        <f>Stored_C!F28+Stored_C!L28</f>
        <v>0.11836420830960002</v>
      </c>
      <c r="E22" s="538">
        <f>Stored_C!G28+Stored_C!M28</f>
        <v>9.7650471855420015E-2</v>
      </c>
      <c r="F22" s="539">
        <f>F21+HWP!C22</f>
        <v>0</v>
      </c>
      <c r="G22" s="537">
        <f>G21+HWP!D22</f>
        <v>1.0918123256568002</v>
      </c>
      <c r="H22" s="538">
        <f>H21+HWP!E22</f>
        <v>0.90074516866686005</v>
      </c>
      <c r="I22" s="521"/>
      <c r="J22" s="540">
        <f>Garden!J29</f>
        <v>0</v>
      </c>
      <c r="K22" s="541">
        <f>Paper!J29</f>
        <v>0</v>
      </c>
      <c r="L22" s="542">
        <f>Wood!J29</f>
        <v>0</v>
      </c>
      <c r="M22" s="543">
        <f>J22*(1-Recovery_OX!E22)*(1-Recovery_OX!F22)</f>
        <v>0</v>
      </c>
      <c r="N22" s="541">
        <f>K22*(1-Recovery_OX!E22)*(1-Recovery_OX!F22)</f>
        <v>0</v>
      </c>
      <c r="O22" s="542">
        <f>L22*(1-Recovery_OX!E22)*(1-Recovery_OX!F22)</f>
        <v>0</v>
      </c>
    </row>
    <row r="23" spans="2:15">
      <c r="B23" s="535">
        <f t="shared" si="0"/>
        <v>1961</v>
      </c>
      <c r="C23" s="536">
        <f>Stored_C!E29</f>
        <v>0</v>
      </c>
      <c r="D23" s="537">
        <f>Stored_C!F29+Stored_C!L29</f>
        <v>0.1214645927616</v>
      </c>
      <c r="E23" s="538">
        <f>Stored_C!G29+Stored_C!M29</f>
        <v>0.10020828902832001</v>
      </c>
      <c r="F23" s="539">
        <f>F22+HWP!C23</f>
        <v>0</v>
      </c>
      <c r="G23" s="537">
        <f>G22+HWP!D23</f>
        <v>1.2132769184184002</v>
      </c>
      <c r="H23" s="538">
        <f>H22+HWP!E23</f>
        <v>1.00095345769518</v>
      </c>
      <c r="I23" s="521"/>
      <c r="J23" s="540">
        <f>Garden!J30</f>
        <v>0</v>
      </c>
      <c r="K23" s="541">
        <f>Paper!J30</f>
        <v>0</v>
      </c>
      <c r="L23" s="542">
        <f>Wood!J30</f>
        <v>0</v>
      </c>
      <c r="M23" s="543">
        <f>J23*(1-Recovery_OX!E23)*(1-Recovery_OX!F23)</f>
        <v>0</v>
      </c>
      <c r="N23" s="541">
        <f>K23*(1-Recovery_OX!E23)*(1-Recovery_OX!F23)</f>
        <v>0</v>
      </c>
      <c r="O23" s="542">
        <f>L23*(1-Recovery_OX!E23)*(1-Recovery_OX!F23)</f>
        <v>0</v>
      </c>
    </row>
    <row r="24" spans="2:15">
      <c r="B24" s="535">
        <f t="shared" si="0"/>
        <v>1962</v>
      </c>
      <c r="C24" s="536">
        <f>Stored_C!E30</f>
        <v>0</v>
      </c>
      <c r="D24" s="537">
        <f>Stored_C!F30+Stored_C!L30</f>
        <v>0.12381838001280002</v>
      </c>
      <c r="E24" s="538">
        <f>Stored_C!G30+Stored_C!M30</f>
        <v>0.10215016351056</v>
      </c>
      <c r="F24" s="539">
        <f>F23+HWP!C24</f>
        <v>0</v>
      </c>
      <c r="G24" s="537">
        <f>G23+HWP!D24</f>
        <v>1.3370952984312003</v>
      </c>
      <c r="H24" s="538">
        <f>H23+HWP!E24</f>
        <v>1.1031036212057399</v>
      </c>
      <c r="I24" s="521"/>
      <c r="J24" s="540">
        <f>Garden!J31</f>
        <v>0</v>
      </c>
      <c r="K24" s="541">
        <f>Paper!J31</f>
        <v>0</v>
      </c>
      <c r="L24" s="542">
        <f>Wood!J31</f>
        <v>0</v>
      </c>
      <c r="M24" s="543">
        <f>J24*(1-Recovery_OX!E24)*(1-Recovery_OX!F24)</f>
        <v>0</v>
      </c>
      <c r="N24" s="541">
        <f>K24*(1-Recovery_OX!E24)*(1-Recovery_OX!F24)</f>
        <v>0</v>
      </c>
      <c r="O24" s="542">
        <f>L24*(1-Recovery_OX!E24)*(1-Recovery_OX!F24)</f>
        <v>0</v>
      </c>
    </row>
    <row r="25" spans="2:15">
      <c r="B25" s="535">
        <f t="shared" si="0"/>
        <v>1963</v>
      </c>
      <c r="C25" s="536">
        <f>Stored_C!E31</f>
        <v>0</v>
      </c>
      <c r="D25" s="537">
        <f>Stored_C!F31+Stored_C!L31</f>
        <v>0.1261641005328</v>
      </c>
      <c r="E25" s="538">
        <f>Stored_C!G31+Stored_C!M31</f>
        <v>0.10408538293956</v>
      </c>
      <c r="F25" s="539">
        <f>F24+HWP!C25</f>
        <v>0</v>
      </c>
      <c r="G25" s="537">
        <f>G24+HWP!D25</f>
        <v>1.4632593989640004</v>
      </c>
      <c r="H25" s="538">
        <f>H24+HWP!E25</f>
        <v>1.2071890041452999</v>
      </c>
      <c r="I25" s="521"/>
      <c r="J25" s="540">
        <f>Garden!J32</f>
        <v>0</v>
      </c>
      <c r="K25" s="541">
        <f>Paper!J32</f>
        <v>0</v>
      </c>
      <c r="L25" s="542">
        <f>Wood!J32</f>
        <v>0</v>
      </c>
      <c r="M25" s="543">
        <f>J25*(1-Recovery_OX!E25)*(1-Recovery_OX!F25)</f>
        <v>0</v>
      </c>
      <c r="N25" s="541">
        <f>K25*(1-Recovery_OX!E25)*(1-Recovery_OX!F25)</f>
        <v>0</v>
      </c>
      <c r="O25" s="542">
        <f>L25*(1-Recovery_OX!E25)*(1-Recovery_OX!F25)</f>
        <v>0</v>
      </c>
    </row>
    <row r="26" spans="2:15">
      <c r="B26" s="535">
        <f t="shared" si="0"/>
        <v>1964</v>
      </c>
      <c r="C26" s="536">
        <f>Stored_C!E32</f>
        <v>0</v>
      </c>
      <c r="D26" s="537">
        <f>Stored_C!F32+Stored_C!L32</f>
        <v>0.12845123111039999</v>
      </c>
      <c r="E26" s="538">
        <f>Stored_C!G32+Stored_C!M32</f>
        <v>0.10597226566608001</v>
      </c>
      <c r="F26" s="539">
        <f>F25+HWP!C26</f>
        <v>0</v>
      </c>
      <c r="G26" s="537">
        <f>G25+HWP!D26</f>
        <v>1.5917106300744004</v>
      </c>
      <c r="H26" s="538">
        <f>H25+HWP!E26</f>
        <v>1.3131612698113799</v>
      </c>
      <c r="I26" s="521"/>
      <c r="J26" s="540">
        <f>Garden!J33</f>
        <v>0</v>
      </c>
      <c r="K26" s="541">
        <f>Paper!J33</f>
        <v>0</v>
      </c>
      <c r="L26" s="542">
        <f>Wood!J33</f>
        <v>0</v>
      </c>
      <c r="M26" s="543">
        <f>J26*(1-Recovery_OX!E26)*(1-Recovery_OX!F26)</f>
        <v>0</v>
      </c>
      <c r="N26" s="541">
        <f>K26*(1-Recovery_OX!E26)*(1-Recovery_OX!F26)</f>
        <v>0</v>
      </c>
      <c r="O26" s="542">
        <f>L26*(1-Recovery_OX!E26)*(1-Recovery_OX!F26)</f>
        <v>0</v>
      </c>
    </row>
    <row r="27" spans="2:15">
      <c r="B27" s="535">
        <f t="shared" si="0"/>
        <v>1965</v>
      </c>
      <c r="C27" s="536">
        <f>Stored_C!E33</f>
        <v>0</v>
      </c>
      <c r="D27" s="537">
        <f>Stored_C!F33+Stored_C!L33</f>
        <v>0.1306755260976</v>
      </c>
      <c r="E27" s="538">
        <f>Stored_C!G33+Stored_C!M33</f>
        <v>0.10780730903051999</v>
      </c>
      <c r="F27" s="539">
        <f>F26+HWP!C27</f>
        <v>0</v>
      </c>
      <c r="G27" s="537">
        <f>G26+HWP!D27</f>
        <v>1.7223861561720004</v>
      </c>
      <c r="H27" s="538">
        <f>H26+HWP!E27</f>
        <v>1.4209685788419</v>
      </c>
      <c r="I27" s="521"/>
      <c r="J27" s="540">
        <f>Garden!J34</f>
        <v>0</v>
      </c>
      <c r="K27" s="541">
        <f>Paper!J34</f>
        <v>0</v>
      </c>
      <c r="L27" s="542">
        <f>Wood!J34</f>
        <v>0</v>
      </c>
      <c r="M27" s="543">
        <f>J27*(1-Recovery_OX!E27)*(1-Recovery_OX!F27)</f>
        <v>0</v>
      </c>
      <c r="N27" s="541">
        <f>K27*(1-Recovery_OX!E27)*(1-Recovery_OX!F27)</f>
        <v>0</v>
      </c>
      <c r="O27" s="542">
        <f>L27*(1-Recovery_OX!E27)*(1-Recovery_OX!F27)</f>
        <v>0</v>
      </c>
    </row>
    <row r="28" spans="2:15">
      <c r="B28" s="535">
        <f t="shared" si="0"/>
        <v>1966</v>
      </c>
      <c r="C28" s="536">
        <f>Stored_C!E34</f>
        <v>0</v>
      </c>
      <c r="D28" s="537">
        <f>Stored_C!F34+Stored_C!L34</f>
        <v>0.1328819893632</v>
      </c>
      <c r="E28" s="538">
        <f>Stored_C!G34+Stored_C!M34</f>
        <v>0.10962764122464</v>
      </c>
      <c r="F28" s="539">
        <f>F27+HWP!C28</f>
        <v>0</v>
      </c>
      <c r="G28" s="537">
        <f>G27+HWP!D28</f>
        <v>1.8552681455352005</v>
      </c>
      <c r="H28" s="538">
        <f>H27+HWP!E28</f>
        <v>1.5305962200665399</v>
      </c>
      <c r="I28" s="521"/>
      <c r="J28" s="540">
        <f>Garden!J35</f>
        <v>0</v>
      </c>
      <c r="K28" s="541">
        <f>Paper!J35</f>
        <v>0</v>
      </c>
      <c r="L28" s="542">
        <f>Wood!J35</f>
        <v>0</v>
      </c>
      <c r="M28" s="543">
        <f>J28*(1-Recovery_OX!E28)*(1-Recovery_OX!F28)</f>
        <v>0</v>
      </c>
      <c r="N28" s="541">
        <f>K28*(1-Recovery_OX!E28)*(1-Recovery_OX!F28)</f>
        <v>0</v>
      </c>
      <c r="O28" s="542">
        <f>L28*(1-Recovery_OX!E28)*(1-Recovery_OX!F28)</f>
        <v>0</v>
      </c>
    </row>
    <row r="29" spans="2:15">
      <c r="B29" s="535">
        <f t="shared" si="0"/>
        <v>1967</v>
      </c>
      <c r="C29" s="536">
        <f>Stored_C!E35</f>
        <v>0</v>
      </c>
      <c r="D29" s="537">
        <f>Stored_C!F35+Stored_C!L35</f>
        <v>0.13195144536574974</v>
      </c>
      <c r="E29" s="538">
        <f>Stored_C!G35+Stored_C!M35</f>
        <v>0.10885994242674352</v>
      </c>
      <c r="F29" s="539">
        <f>F28+HWP!C29</f>
        <v>0</v>
      </c>
      <c r="G29" s="537">
        <f>G28+HWP!D29</f>
        <v>1.9872195909009502</v>
      </c>
      <c r="H29" s="538">
        <f>H28+HWP!E29</f>
        <v>1.6394561624932835</v>
      </c>
      <c r="I29" s="521"/>
      <c r="J29" s="540">
        <f>Garden!J36</f>
        <v>0</v>
      </c>
      <c r="K29" s="541">
        <f>Paper!J36</f>
        <v>0</v>
      </c>
      <c r="L29" s="542">
        <f>Wood!J36</f>
        <v>0</v>
      </c>
      <c r="M29" s="543">
        <f>J29*(1-Recovery_OX!E29)*(1-Recovery_OX!F29)</f>
        <v>0</v>
      </c>
      <c r="N29" s="541">
        <f>K29*(1-Recovery_OX!E29)*(1-Recovery_OX!F29)</f>
        <v>0</v>
      </c>
      <c r="O29" s="542">
        <f>L29*(1-Recovery_OX!E29)*(1-Recovery_OX!F29)</f>
        <v>0</v>
      </c>
    </row>
    <row r="30" spans="2:15">
      <c r="B30" s="535">
        <f t="shared" si="0"/>
        <v>1968</v>
      </c>
      <c r="C30" s="536">
        <f>Stored_C!E36</f>
        <v>0</v>
      </c>
      <c r="D30" s="537">
        <f>Stored_C!F36+Stored_C!L36</f>
        <v>0.12911640117738316</v>
      </c>
      <c r="E30" s="538">
        <f>Stored_C!G36+Stored_C!M36</f>
        <v>0.10652103097134108</v>
      </c>
      <c r="F30" s="539">
        <f>F29+HWP!C30</f>
        <v>0</v>
      </c>
      <c r="G30" s="537">
        <f>G29+HWP!D30</f>
        <v>2.1163359920783336</v>
      </c>
      <c r="H30" s="538">
        <f>H29+HWP!E30</f>
        <v>1.7459771934646247</v>
      </c>
      <c r="I30" s="521"/>
      <c r="J30" s="540">
        <f>Garden!J37</f>
        <v>0</v>
      </c>
      <c r="K30" s="541">
        <f>Paper!J37</f>
        <v>0</v>
      </c>
      <c r="L30" s="542">
        <f>Wood!J37</f>
        <v>0</v>
      </c>
      <c r="M30" s="543">
        <f>J30*(1-Recovery_OX!E30)*(1-Recovery_OX!F30)</f>
        <v>0</v>
      </c>
      <c r="N30" s="541">
        <f>K30*(1-Recovery_OX!E30)*(1-Recovery_OX!F30)</f>
        <v>0</v>
      </c>
      <c r="O30" s="542">
        <f>L30*(1-Recovery_OX!E30)*(1-Recovery_OX!F30)</f>
        <v>0</v>
      </c>
    </row>
    <row r="31" spans="2:15">
      <c r="B31" s="535">
        <f t="shared" si="0"/>
        <v>1969</v>
      </c>
      <c r="C31" s="536">
        <f>Stored_C!E37</f>
        <v>0</v>
      </c>
      <c r="D31" s="537">
        <f>Stored_C!F37+Stored_C!L37</f>
        <v>0.12627715349537927</v>
      </c>
      <c r="E31" s="538">
        <f>Stored_C!G37+Stored_C!M37</f>
        <v>0.10417865163368789</v>
      </c>
      <c r="F31" s="539">
        <f>F30+HWP!C31</f>
        <v>0</v>
      </c>
      <c r="G31" s="537">
        <f>G30+HWP!D31</f>
        <v>2.2426131455737126</v>
      </c>
      <c r="H31" s="538">
        <f>H30+HWP!E31</f>
        <v>1.8501558450983127</v>
      </c>
      <c r="I31" s="521"/>
      <c r="J31" s="540">
        <f>Garden!J38</f>
        <v>0</v>
      </c>
      <c r="K31" s="541">
        <f>Paper!J38</f>
        <v>0</v>
      </c>
      <c r="L31" s="542">
        <f>Wood!J38</f>
        <v>0</v>
      </c>
      <c r="M31" s="543">
        <f>J31*(1-Recovery_OX!E31)*(1-Recovery_OX!F31)</f>
        <v>0</v>
      </c>
      <c r="N31" s="541">
        <f>K31*(1-Recovery_OX!E31)*(1-Recovery_OX!F31)</f>
        <v>0</v>
      </c>
      <c r="O31" s="542">
        <f>L31*(1-Recovery_OX!E31)*(1-Recovery_OX!F31)</f>
        <v>0</v>
      </c>
    </row>
    <row r="32" spans="2:15">
      <c r="B32" s="535">
        <f t="shared" si="0"/>
        <v>1970</v>
      </c>
      <c r="C32" s="536">
        <f>Stored_C!E38</f>
        <v>0</v>
      </c>
      <c r="D32" s="537">
        <f>Stored_C!F38+Stored_C!L38</f>
        <v>0.12343948376061811</v>
      </c>
      <c r="E32" s="538">
        <f>Stored_C!G38+Stored_C!M38</f>
        <v>0.10183757410250993</v>
      </c>
      <c r="F32" s="539">
        <f>F31+HWP!C32</f>
        <v>0</v>
      </c>
      <c r="G32" s="537">
        <f>G31+HWP!D32</f>
        <v>2.3660526293343307</v>
      </c>
      <c r="H32" s="538">
        <f>H31+HWP!E32</f>
        <v>1.9519934192008226</v>
      </c>
      <c r="I32" s="521"/>
      <c r="J32" s="540">
        <f>Garden!J39</f>
        <v>0</v>
      </c>
      <c r="K32" s="541">
        <f>Paper!J39</f>
        <v>0</v>
      </c>
      <c r="L32" s="542">
        <f>Wood!J39</f>
        <v>0</v>
      </c>
      <c r="M32" s="543">
        <f>J32*(1-Recovery_OX!E32)*(1-Recovery_OX!F32)</f>
        <v>0</v>
      </c>
      <c r="N32" s="541">
        <f>K32*(1-Recovery_OX!E32)*(1-Recovery_OX!F32)</f>
        <v>0</v>
      </c>
      <c r="O32" s="542">
        <f>L32*(1-Recovery_OX!E32)*(1-Recovery_OX!F32)</f>
        <v>0</v>
      </c>
    </row>
    <row r="33" spans="2:15">
      <c r="B33" s="535">
        <f t="shared" si="0"/>
        <v>1971</v>
      </c>
      <c r="C33" s="536">
        <f>Stored_C!E39</f>
        <v>0</v>
      </c>
      <c r="D33" s="537">
        <f>Stored_C!F39+Stored_C!L39</f>
        <v>0.12060867614341647</v>
      </c>
      <c r="E33" s="538">
        <f>Stored_C!G39+Stored_C!M39</f>
        <v>9.9502157818318587E-2</v>
      </c>
      <c r="F33" s="539">
        <f>F32+HWP!C33</f>
        <v>0</v>
      </c>
      <c r="G33" s="537">
        <f>G32+HWP!D33</f>
        <v>2.4866613054777473</v>
      </c>
      <c r="H33" s="538">
        <f>H32+HWP!E33</f>
        <v>2.051495577019141</v>
      </c>
      <c r="I33" s="521"/>
      <c r="J33" s="540">
        <f>Garden!J40</f>
        <v>0</v>
      </c>
      <c r="K33" s="541">
        <f>Paper!J40</f>
        <v>0</v>
      </c>
      <c r="L33" s="542">
        <f>Wood!J40</f>
        <v>0</v>
      </c>
      <c r="M33" s="543">
        <f>J33*(1-Recovery_OX!E33)*(1-Recovery_OX!F33)</f>
        <v>0</v>
      </c>
      <c r="N33" s="541">
        <f>K33*(1-Recovery_OX!E33)*(1-Recovery_OX!F33)</f>
        <v>0</v>
      </c>
      <c r="O33" s="542">
        <f>L33*(1-Recovery_OX!E33)*(1-Recovery_OX!F33)</f>
        <v>0</v>
      </c>
    </row>
    <row r="34" spans="2:15">
      <c r="B34" s="535">
        <f t="shared" si="0"/>
        <v>1972</v>
      </c>
      <c r="C34" s="536">
        <f>Stored_C!E40</f>
        <v>0</v>
      </c>
      <c r="D34" s="537">
        <f>Stored_C!F40+Stored_C!L40</f>
        <v>0.11778954996421545</v>
      </c>
      <c r="E34" s="538">
        <f>Stored_C!G40+Stored_C!M40</f>
        <v>9.7176378720477741E-2</v>
      </c>
      <c r="F34" s="539">
        <f>F33+HWP!C34</f>
        <v>0</v>
      </c>
      <c r="G34" s="537">
        <f>G33+HWP!D34</f>
        <v>2.604450855441963</v>
      </c>
      <c r="H34" s="538">
        <f>H33+HWP!E34</f>
        <v>2.1486719557396188</v>
      </c>
      <c r="I34" s="521"/>
      <c r="J34" s="540">
        <f>Garden!J41</f>
        <v>0</v>
      </c>
      <c r="K34" s="541">
        <f>Paper!J41</f>
        <v>0</v>
      </c>
      <c r="L34" s="542">
        <f>Wood!J41</f>
        <v>0</v>
      </c>
      <c r="M34" s="543">
        <f>J34*(1-Recovery_OX!E34)*(1-Recovery_OX!F34)</f>
        <v>0</v>
      </c>
      <c r="N34" s="541">
        <f>K34*(1-Recovery_OX!E34)*(1-Recovery_OX!F34)</f>
        <v>0</v>
      </c>
      <c r="O34" s="542">
        <f>L34*(1-Recovery_OX!E34)*(1-Recovery_OX!F34)</f>
        <v>0</v>
      </c>
    </row>
    <row r="35" spans="2:15">
      <c r="B35" s="535">
        <f t="shared" si="0"/>
        <v>1973</v>
      </c>
      <c r="C35" s="536">
        <f>Stored_C!E41</f>
        <v>0</v>
      </c>
      <c r="D35" s="537">
        <f>Stored_C!F41+Stored_C!L41</f>
        <v>0.11498649023033228</v>
      </c>
      <c r="E35" s="538">
        <f>Stored_C!G41+Stored_C!M41</f>
        <v>9.4863854440024126E-2</v>
      </c>
      <c r="F35" s="539">
        <f>F34+HWP!C35</f>
        <v>0</v>
      </c>
      <c r="G35" s="537">
        <f>G34+HWP!D35</f>
        <v>2.7194373456722953</v>
      </c>
      <c r="H35" s="538">
        <f>H34+HWP!E35</f>
        <v>2.243535810179643</v>
      </c>
      <c r="I35" s="521"/>
      <c r="J35" s="540">
        <f>Garden!J42</f>
        <v>0</v>
      </c>
      <c r="K35" s="541">
        <f>Paper!J42</f>
        <v>0</v>
      </c>
      <c r="L35" s="542">
        <f>Wood!J42</f>
        <v>0</v>
      </c>
      <c r="M35" s="543">
        <f>J35*(1-Recovery_OX!E35)*(1-Recovery_OX!F35)</f>
        <v>0</v>
      </c>
      <c r="N35" s="541">
        <f>K35*(1-Recovery_OX!E35)*(1-Recovery_OX!F35)</f>
        <v>0</v>
      </c>
      <c r="O35" s="542">
        <f>L35*(1-Recovery_OX!E35)*(1-Recovery_OX!F35)</f>
        <v>0</v>
      </c>
    </row>
    <row r="36" spans="2:15">
      <c r="B36" s="535">
        <f t="shared" si="0"/>
        <v>1974</v>
      </c>
      <c r="C36" s="536">
        <f>Stored_C!E42</f>
        <v>0</v>
      </c>
      <c r="D36" s="537">
        <f>Stored_C!F42+Stored_C!L42</f>
        <v>0.11220347639151934</v>
      </c>
      <c r="E36" s="538">
        <f>Stored_C!G42+Stored_C!M42</f>
        <v>9.256786802300343E-2</v>
      </c>
      <c r="F36" s="539">
        <f>F35+HWP!C36</f>
        <v>0</v>
      </c>
      <c r="G36" s="537">
        <f>G35+HWP!D36</f>
        <v>2.8316408220638145</v>
      </c>
      <c r="H36" s="538">
        <f>H35+HWP!E36</f>
        <v>2.3361036782026465</v>
      </c>
      <c r="I36" s="521"/>
      <c r="J36" s="540">
        <f>Garden!J43</f>
        <v>0</v>
      </c>
      <c r="K36" s="541">
        <f>Paper!J43</f>
        <v>0</v>
      </c>
      <c r="L36" s="542">
        <f>Wood!J43</f>
        <v>0</v>
      </c>
      <c r="M36" s="543">
        <f>J36*(1-Recovery_OX!E36)*(1-Recovery_OX!F36)</f>
        <v>0</v>
      </c>
      <c r="N36" s="541">
        <f>K36*(1-Recovery_OX!E36)*(1-Recovery_OX!F36)</f>
        <v>0</v>
      </c>
      <c r="O36" s="542">
        <f>L36*(1-Recovery_OX!E36)*(1-Recovery_OX!F36)</f>
        <v>0</v>
      </c>
    </row>
    <row r="37" spans="2:15">
      <c r="B37" s="535">
        <f t="shared" si="0"/>
        <v>1975</v>
      </c>
      <c r="C37" s="536">
        <f>Stored_C!E43</f>
        <v>0</v>
      </c>
      <c r="D37" s="537">
        <f>Stored_C!F43+Stored_C!L43</f>
        <v>0.10944410941169068</v>
      </c>
      <c r="E37" s="538">
        <f>Stored_C!G43+Stored_C!M43</f>
        <v>9.0291390264644791E-2</v>
      </c>
      <c r="F37" s="539">
        <f>F36+HWP!C37</f>
        <v>0</v>
      </c>
      <c r="G37" s="537">
        <f>G36+HWP!D37</f>
        <v>2.9410849314755052</v>
      </c>
      <c r="H37" s="538">
        <f>H36+HWP!E37</f>
        <v>2.4263950684672912</v>
      </c>
      <c r="I37" s="521"/>
      <c r="J37" s="540">
        <f>Garden!J44</f>
        <v>0</v>
      </c>
      <c r="K37" s="541">
        <f>Paper!J44</f>
        <v>0</v>
      </c>
      <c r="L37" s="542">
        <f>Wood!J44</f>
        <v>0</v>
      </c>
      <c r="M37" s="543">
        <f>J37*(1-Recovery_OX!E37)*(1-Recovery_OX!F37)</f>
        <v>0</v>
      </c>
      <c r="N37" s="541">
        <f>K37*(1-Recovery_OX!E37)*(1-Recovery_OX!F37)</f>
        <v>0</v>
      </c>
      <c r="O37" s="542">
        <f>L37*(1-Recovery_OX!E37)*(1-Recovery_OX!F37)</f>
        <v>0</v>
      </c>
    </row>
    <row r="38" spans="2:15">
      <c r="B38" s="535">
        <f t="shared" si="0"/>
        <v>1976</v>
      </c>
      <c r="C38" s="536">
        <f>Stored_C!E44</f>
        <v>0</v>
      </c>
      <c r="D38" s="537">
        <f>Stored_C!F44+Stored_C!L44</f>
        <v>0.10671163724906892</v>
      </c>
      <c r="E38" s="538">
        <f>Stored_C!G44+Stored_C!M44</f>
        <v>8.8037100730481849E-2</v>
      </c>
      <c r="F38" s="539">
        <f>F37+HWP!C38</f>
        <v>0</v>
      </c>
      <c r="G38" s="537">
        <f>G37+HWP!D38</f>
        <v>3.0477965687245741</v>
      </c>
      <c r="H38" s="538">
        <f>H37+HWP!E38</f>
        <v>2.5144321691977729</v>
      </c>
      <c r="I38" s="521"/>
      <c r="J38" s="540">
        <f>Garden!J45</f>
        <v>0</v>
      </c>
      <c r="K38" s="541">
        <f>Paper!J45</f>
        <v>0</v>
      </c>
      <c r="L38" s="542">
        <f>Wood!J45</f>
        <v>0</v>
      </c>
      <c r="M38" s="543">
        <f>J38*(1-Recovery_OX!E38)*(1-Recovery_OX!F38)</f>
        <v>0</v>
      </c>
      <c r="N38" s="541">
        <f>K38*(1-Recovery_OX!E38)*(1-Recovery_OX!F38)</f>
        <v>0</v>
      </c>
      <c r="O38" s="542">
        <f>L38*(1-Recovery_OX!E38)*(1-Recovery_OX!F38)</f>
        <v>0</v>
      </c>
    </row>
    <row r="39" spans="2:15">
      <c r="B39" s="535">
        <f t="shared" si="0"/>
        <v>1977</v>
      </c>
      <c r="C39" s="536">
        <f>Stored_C!E45</f>
        <v>0</v>
      </c>
      <c r="D39" s="537">
        <f>Stored_C!F45+Stored_C!L45</f>
        <v>0.1040089788321579</v>
      </c>
      <c r="E39" s="538">
        <f>Stored_C!G45+Stored_C!M45</f>
        <v>8.5807407536530267E-2</v>
      </c>
      <c r="F39" s="539">
        <f>F38+HWP!C39</f>
        <v>0</v>
      </c>
      <c r="G39" s="537">
        <f>G38+HWP!D39</f>
        <v>3.1518055475567319</v>
      </c>
      <c r="H39" s="538">
        <f>H38+HWP!E39</f>
        <v>2.6002395767343032</v>
      </c>
      <c r="I39" s="521"/>
      <c r="J39" s="540">
        <f>Garden!J46</f>
        <v>0</v>
      </c>
      <c r="K39" s="541">
        <f>Paper!J46</f>
        <v>0</v>
      </c>
      <c r="L39" s="542">
        <f>Wood!J46</f>
        <v>0</v>
      </c>
      <c r="M39" s="543">
        <f>J39*(1-Recovery_OX!E39)*(1-Recovery_OX!F39)</f>
        <v>0</v>
      </c>
      <c r="N39" s="541">
        <f>K39*(1-Recovery_OX!E39)*(1-Recovery_OX!F39)</f>
        <v>0</v>
      </c>
      <c r="O39" s="542">
        <f>L39*(1-Recovery_OX!E39)*(1-Recovery_OX!F39)</f>
        <v>0</v>
      </c>
    </row>
    <row r="40" spans="2:15">
      <c r="B40" s="535">
        <f t="shared" si="0"/>
        <v>1978</v>
      </c>
      <c r="C40" s="536">
        <f>Stored_C!E46</f>
        <v>0</v>
      </c>
      <c r="D40" s="537">
        <f>Stored_C!F46+Stored_C!L46</f>
        <v>0.10133874661434672</v>
      </c>
      <c r="E40" s="538">
        <f>Stored_C!G46+Stored_C!M46</f>
        <v>8.3604465956836044E-2</v>
      </c>
      <c r="F40" s="539">
        <f>F39+HWP!C40</f>
        <v>0</v>
      </c>
      <c r="G40" s="537">
        <f>G39+HWP!D40</f>
        <v>3.2531442941710784</v>
      </c>
      <c r="H40" s="538">
        <f>H39+HWP!E40</f>
        <v>2.6838440426911392</v>
      </c>
      <c r="I40" s="521"/>
      <c r="J40" s="540">
        <f>Garden!J47</f>
        <v>0</v>
      </c>
      <c r="K40" s="541">
        <f>Paper!J47</f>
        <v>0</v>
      </c>
      <c r="L40" s="542">
        <f>Wood!J47</f>
        <v>0</v>
      </c>
      <c r="M40" s="543">
        <f>J40*(1-Recovery_OX!E40)*(1-Recovery_OX!F40)</f>
        <v>0</v>
      </c>
      <c r="N40" s="541">
        <f>K40*(1-Recovery_OX!E40)*(1-Recovery_OX!F40)</f>
        <v>0</v>
      </c>
      <c r="O40" s="542">
        <f>L40*(1-Recovery_OX!E40)*(1-Recovery_OX!F40)</f>
        <v>0</v>
      </c>
    </row>
    <row r="41" spans="2:15">
      <c r="B41" s="535">
        <f t="shared" si="0"/>
        <v>1979</v>
      </c>
      <c r="C41" s="536">
        <f>Stored_C!E47</f>
        <v>0</v>
      </c>
      <c r="D41" s="537">
        <f>Stored_C!F47+Stored_C!L47</f>
        <v>9.8703267785586246E-2</v>
      </c>
      <c r="E41" s="538">
        <f>Stored_C!G47+Stored_C!M47</f>
        <v>8.1430195923108642E-2</v>
      </c>
      <c r="F41" s="539">
        <f>F40+HWP!C41</f>
        <v>0</v>
      </c>
      <c r="G41" s="537">
        <f>G40+HWP!D41</f>
        <v>3.3518475619566646</v>
      </c>
      <c r="H41" s="538">
        <f>H40+HWP!E41</f>
        <v>2.7652742386142477</v>
      </c>
      <c r="I41" s="521"/>
      <c r="J41" s="540">
        <f>Garden!J48</f>
        <v>0</v>
      </c>
      <c r="K41" s="541">
        <f>Paper!J48</f>
        <v>0</v>
      </c>
      <c r="L41" s="542">
        <f>Wood!J48</f>
        <v>0</v>
      </c>
      <c r="M41" s="543">
        <f>J41*(1-Recovery_OX!E41)*(1-Recovery_OX!F41)</f>
        <v>0</v>
      </c>
      <c r="N41" s="541">
        <f>K41*(1-Recovery_OX!E41)*(1-Recovery_OX!F41)</f>
        <v>0</v>
      </c>
      <c r="O41" s="542">
        <f>L41*(1-Recovery_OX!E41)*(1-Recovery_OX!F41)</f>
        <v>0</v>
      </c>
    </row>
    <row r="42" spans="2:15">
      <c r="B42" s="535">
        <f t="shared" si="0"/>
        <v>1980</v>
      </c>
      <c r="C42" s="536">
        <f>Stored_C!E48</f>
        <v>0</v>
      </c>
      <c r="D42" s="537">
        <f>Stored_C!F48+Stored_C!L48</f>
        <v>9.606925152000001E-2</v>
      </c>
      <c r="E42" s="538">
        <f>Stored_C!G48+Stored_C!M48</f>
        <v>7.9257132504000016E-2</v>
      </c>
      <c r="F42" s="539">
        <f>F41+HWP!C42</f>
        <v>0</v>
      </c>
      <c r="G42" s="537">
        <f>G41+HWP!D42</f>
        <v>3.4479168134766645</v>
      </c>
      <c r="H42" s="538">
        <f>H41+HWP!E42</f>
        <v>2.8445313711182476</v>
      </c>
      <c r="I42" s="521"/>
      <c r="J42" s="540">
        <f>Garden!J49</f>
        <v>0</v>
      </c>
      <c r="K42" s="541">
        <f>Paper!J49</f>
        <v>0</v>
      </c>
      <c r="L42" s="542">
        <f>Wood!J49</f>
        <v>0</v>
      </c>
      <c r="M42" s="543">
        <f>J42*(1-Recovery_OX!E42)*(1-Recovery_OX!F42)</f>
        <v>0</v>
      </c>
      <c r="N42" s="541">
        <f>K42*(1-Recovery_OX!E42)*(1-Recovery_OX!F42)</f>
        <v>0</v>
      </c>
      <c r="O42" s="542">
        <f>L42*(1-Recovery_OX!E42)*(1-Recovery_OX!F42)</f>
        <v>0</v>
      </c>
    </row>
    <row r="43" spans="2:15">
      <c r="B43" s="535">
        <f t="shared" si="0"/>
        <v>1981</v>
      </c>
      <c r="C43" s="536">
        <f>Stored_C!E49</f>
        <v>0</v>
      </c>
      <c r="D43" s="537">
        <f>Stored_C!F49+Stored_C!L49</f>
        <v>0</v>
      </c>
      <c r="E43" s="538">
        <f>Stored_C!G49+Stored_C!M49</f>
        <v>0</v>
      </c>
      <c r="F43" s="539">
        <f>F42+HWP!C43</f>
        <v>0</v>
      </c>
      <c r="G43" s="537">
        <f>G42+HWP!D43</f>
        <v>3.4479168134766645</v>
      </c>
      <c r="H43" s="538">
        <f>H42+HWP!E43</f>
        <v>2.8445313711182476</v>
      </c>
      <c r="I43" s="521"/>
      <c r="J43" s="540">
        <f>Garden!J50</f>
        <v>0</v>
      </c>
      <c r="K43" s="541">
        <f>Paper!J50</f>
        <v>0</v>
      </c>
      <c r="L43" s="542">
        <f>Wood!J50</f>
        <v>0</v>
      </c>
      <c r="M43" s="543">
        <f>J43*(1-Recovery_OX!E43)*(1-Recovery_OX!F43)</f>
        <v>0</v>
      </c>
      <c r="N43" s="541">
        <f>K43*(1-Recovery_OX!E43)*(1-Recovery_OX!F43)</f>
        <v>0</v>
      </c>
      <c r="O43" s="542">
        <f>L43*(1-Recovery_OX!E43)*(1-Recovery_OX!F43)</f>
        <v>0</v>
      </c>
    </row>
    <row r="44" spans="2:15">
      <c r="B44" s="535">
        <f t="shared" si="0"/>
        <v>1982</v>
      </c>
      <c r="C44" s="536">
        <f>Stored_C!E50</f>
        <v>0</v>
      </c>
      <c r="D44" s="537">
        <f>Stored_C!F50+Stored_C!L50</f>
        <v>0</v>
      </c>
      <c r="E44" s="538">
        <f>Stored_C!G50+Stored_C!M50</f>
        <v>0</v>
      </c>
      <c r="F44" s="539">
        <f>F43+HWP!C44</f>
        <v>0</v>
      </c>
      <c r="G44" s="537">
        <f>G43+HWP!D44</f>
        <v>3.4479168134766645</v>
      </c>
      <c r="H44" s="538">
        <f>H43+HWP!E44</f>
        <v>2.8445313711182476</v>
      </c>
      <c r="I44" s="521"/>
      <c r="J44" s="540">
        <f>Garden!J51</f>
        <v>0</v>
      </c>
      <c r="K44" s="541">
        <f>Paper!J51</f>
        <v>0</v>
      </c>
      <c r="L44" s="542">
        <f>Wood!J51</f>
        <v>0</v>
      </c>
      <c r="M44" s="543">
        <f>J44*(1-Recovery_OX!E44)*(1-Recovery_OX!F44)</f>
        <v>0</v>
      </c>
      <c r="N44" s="541">
        <f>K44*(1-Recovery_OX!E44)*(1-Recovery_OX!F44)</f>
        <v>0</v>
      </c>
      <c r="O44" s="542">
        <f>L44*(1-Recovery_OX!E44)*(1-Recovery_OX!F44)</f>
        <v>0</v>
      </c>
    </row>
    <row r="45" spans="2:15">
      <c r="B45" s="535">
        <f t="shared" si="0"/>
        <v>1983</v>
      </c>
      <c r="C45" s="536">
        <f>Stored_C!E51</f>
        <v>0</v>
      </c>
      <c r="D45" s="537">
        <f>Stored_C!F51+Stored_C!L51</f>
        <v>0</v>
      </c>
      <c r="E45" s="538">
        <f>Stored_C!G51+Stored_C!M51</f>
        <v>0</v>
      </c>
      <c r="F45" s="539">
        <f>F44+HWP!C45</f>
        <v>0</v>
      </c>
      <c r="G45" s="537">
        <f>G44+HWP!D45</f>
        <v>3.4479168134766645</v>
      </c>
      <c r="H45" s="538">
        <f>H44+HWP!E45</f>
        <v>2.8445313711182476</v>
      </c>
      <c r="I45" s="521"/>
      <c r="J45" s="540">
        <f>Garden!J52</f>
        <v>0</v>
      </c>
      <c r="K45" s="541">
        <f>Paper!J52</f>
        <v>0</v>
      </c>
      <c r="L45" s="542">
        <f>Wood!J52</f>
        <v>0</v>
      </c>
      <c r="M45" s="543">
        <f>J45*(1-Recovery_OX!E45)*(1-Recovery_OX!F45)</f>
        <v>0</v>
      </c>
      <c r="N45" s="541">
        <f>K45*(1-Recovery_OX!E45)*(1-Recovery_OX!F45)</f>
        <v>0</v>
      </c>
      <c r="O45" s="542">
        <f>L45*(1-Recovery_OX!E45)*(1-Recovery_OX!F45)</f>
        <v>0</v>
      </c>
    </row>
    <row r="46" spans="2:15">
      <c r="B46" s="535">
        <f t="shared" si="0"/>
        <v>1984</v>
      </c>
      <c r="C46" s="536">
        <f>Stored_C!E52</f>
        <v>0</v>
      </c>
      <c r="D46" s="537">
        <f>Stored_C!F52+Stored_C!L52</f>
        <v>0</v>
      </c>
      <c r="E46" s="538">
        <f>Stored_C!G52+Stored_C!M52</f>
        <v>0</v>
      </c>
      <c r="F46" s="539">
        <f>F45+HWP!C46</f>
        <v>0</v>
      </c>
      <c r="G46" s="537">
        <f>G45+HWP!D46</f>
        <v>3.4479168134766645</v>
      </c>
      <c r="H46" s="538">
        <f>H45+HWP!E46</f>
        <v>2.8445313711182476</v>
      </c>
      <c r="I46" s="521"/>
      <c r="J46" s="540">
        <f>Garden!J53</f>
        <v>0</v>
      </c>
      <c r="K46" s="541">
        <f>Paper!J53</f>
        <v>0</v>
      </c>
      <c r="L46" s="542">
        <f>Wood!J53</f>
        <v>0</v>
      </c>
      <c r="M46" s="543">
        <f>J46*(1-Recovery_OX!E46)*(1-Recovery_OX!F46)</f>
        <v>0</v>
      </c>
      <c r="N46" s="541">
        <f>K46*(1-Recovery_OX!E46)*(1-Recovery_OX!F46)</f>
        <v>0</v>
      </c>
      <c r="O46" s="542">
        <f>L46*(1-Recovery_OX!E46)*(1-Recovery_OX!F46)</f>
        <v>0</v>
      </c>
    </row>
    <row r="47" spans="2:15">
      <c r="B47" s="535">
        <f t="shared" si="0"/>
        <v>1985</v>
      </c>
      <c r="C47" s="536">
        <f>Stored_C!E53</f>
        <v>0</v>
      </c>
      <c r="D47" s="537">
        <f>Stored_C!F53+Stored_C!L53</f>
        <v>0</v>
      </c>
      <c r="E47" s="538">
        <f>Stored_C!G53+Stored_C!M53</f>
        <v>0</v>
      </c>
      <c r="F47" s="539">
        <f>F46+HWP!C47</f>
        <v>0</v>
      </c>
      <c r="G47" s="537">
        <f>G46+HWP!D47</f>
        <v>3.4479168134766645</v>
      </c>
      <c r="H47" s="538">
        <f>H46+HWP!E47</f>
        <v>2.8445313711182476</v>
      </c>
      <c r="I47" s="521"/>
      <c r="J47" s="540">
        <f>Garden!J54</f>
        <v>0</v>
      </c>
      <c r="K47" s="541">
        <f>Paper!J54</f>
        <v>0</v>
      </c>
      <c r="L47" s="542">
        <f>Wood!J54</f>
        <v>0</v>
      </c>
      <c r="M47" s="543">
        <f>J47*(1-Recovery_OX!E47)*(1-Recovery_OX!F47)</f>
        <v>0</v>
      </c>
      <c r="N47" s="541">
        <f>K47*(1-Recovery_OX!E47)*(1-Recovery_OX!F47)</f>
        <v>0</v>
      </c>
      <c r="O47" s="542">
        <f>L47*(1-Recovery_OX!E47)*(1-Recovery_OX!F47)</f>
        <v>0</v>
      </c>
    </row>
    <row r="48" spans="2:15">
      <c r="B48" s="535">
        <f t="shared" si="0"/>
        <v>1986</v>
      </c>
      <c r="C48" s="536">
        <f>Stored_C!E54</f>
        <v>0</v>
      </c>
      <c r="D48" s="537">
        <f>Stored_C!F54+Stored_C!L54</f>
        <v>0</v>
      </c>
      <c r="E48" s="538">
        <f>Stored_C!G54+Stored_C!M54</f>
        <v>0</v>
      </c>
      <c r="F48" s="539">
        <f>F47+HWP!C48</f>
        <v>0</v>
      </c>
      <c r="G48" s="537">
        <f>G47+HWP!D48</f>
        <v>3.4479168134766645</v>
      </c>
      <c r="H48" s="538">
        <f>H47+HWP!E48</f>
        <v>2.8445313711182476</v>
      </c>
      <c r="I48" s="521"/>
      <c r="J48" s="540">
        <f>Garden!J55</f>
        <v>0</v>
      </c>
      <c r="K48" s="541">
        <f>Paper!J55</f>
        <v>0</v>
      </c>
      <c r="L48" s="542">
        <f>Wood!J55</f>
        <v>0</v>
      </c>
      <c r="M48" s="543">
        <f>J48*(1-Recovery_OX!E48)*(1-Recovery_OX!F48)</f>
        <v>0</v>
      </c>
      <c r="N48" s="541">
        <f>K48*(1-Recovery_OX!E48)*(1-Recovery_OX!F48)</f>
        <v>0</v>
      </c>
      <c r="O48" s="542">
        <f>L48*(1-Recovery_OX!E48)*(1-Recovery_OX!F48)</f>
        <v>0</v>
      </c>
    </row>
    <row r="49" spans="2:15">
      <c r="B49" s="535">
        <f t="shared" si="0"/>
        <v>1987</v>
      </c>
      <c r="C49" s="536">
        <f>Stored_C!E55</f>
        <v>0</v>
      </c>
      <c r="D49" s="537">
        <f>Stored_C!F55+Stored_C!L55</f>
        <v>0</v>
      </c>
      <c r="E49" s="538">
        <f>Stored_C!G55+Stored_C!M55</f>
        <v>0</v>
      </c>
      <c r="F49" s="539">
        <f>F48+HWP!C49</f>
        <v>0</v>
      </c>
      <c r="G49" s="537">
        <f>G48+HWP!D49</f>
        <v>3.4479168134766645</v>
      </c>
      <c r="H49" s="538">
        <f>H48+HWP!E49</f>
        <v>2.8445313711182476</v>
      </c>
      <c r="I49" s="521"/>
      <c r="J49" s="540">
        <f>Garden!J56</f>
        <v>0</v>
      </c>
      <c r="K49" s="541">
        <f>Paper!J56</f>
        <v>0</v>
      </c>
      <c r="L49" s="542">
        <f>Wood!J56</f>
        <v>0</v>
      </c>
      <c r="M49" s="543">
        <f>J49*(1-Recovery_OX!E49)*(1-Recovery_OX!F49)</f>
        <v>0</v>
      </c>
      <c r="N49" s="541">
        <f>K49*(1-Recovery_OX!E49)*(1-Recovery_OX!F49)</f>
        <v>0</v>
      </c>
      <c r="O49" s="542">
        <f>L49*(1-Recovery_OX!E49)*(1-Recovery_OX!F49)</f>
        <v>0</v>
      </c>
    </row>
    <row r="50" spans="2:15">
      <c r="B50" s="535">
        <f t="shared" si="0"/>
        <v>1988</v>
      </c>
      <c r="C50" s="536">
        <f>Stored_C!E56</f>
        <v>0</v>
      </c>
      <c r="D50" s="537">
        <f>Stored_C!F56+Stored_C!L56</f>
        <v>0</v>
      </c>
      <c r="E50" s="538">
        <f>Stored_C!G56+Stored_C!M56</f>
        <v>0</v>
      </c>
      <c r="F50" s="539">
        <f>F49+HWP!C50</f>
        <v>0</v>
      </c>
      <c r="G50" s="537">
        <f>G49+HWP!D50</f>
        <v>3.4479168134766645</v>
      </c>
      <c r="H50" s="538">
        <f>H49+HWP!E50</f>
        <v>2.8445313711182476</v>
      </c>
      <c r="I50" s="521"/>
      <c r="J50" s="540">
        <f>Garden!J57</f>
        <v>0</v>
      </c>
      <c r="K50" s="541">
        <f>Paper!J57</f>
        <v>0</v>
      </c>
      <c r="L50" s="542">
        <f>Wood!J57</f>
        <v>0</v>
      </c>
      <c r="M50" s="543">
        <f>J50*(1-Recovery_OX!E50)*(1-Recovery_OX!F50)</f>
        <v>0</v>
      </c>
      <c r="N50" s="541">
        <f>K50*(1-Recovery_OX!E50)*(1-Recovery_OX!F50)</f>
        <v>0</v>
      </c>
      <c r="O50" s="542">
        <f>L50*(1-Recovery_OX!E50)*(1-Recovery_OX!F50)</f>
        <v>0</v>
      </c>
    </row>
    <row r="51" spans="2:15">
      <c r="B51" s="535">
        <f t="shared" si="0"/>
        <v>1989</v>
      </c>
      <c r="C51" s="536">
        <f>Stored_C!E57</f>
        <v>0</v>
      </c>
      <c r="D51" s="537">
        <f>Stored_C!F57+Stored_C!L57</f>
        <v>0</v>
      </c>
      <c r="E51" s="538">
        <f>Stored_C!G57+Stored_C!M57</f>
        <v>0</v>
      </c>
      <c r="F51" s="539">
        <f>F50+HWP!C51</f>
        <v>0</v>
      </c>
      <c r="G51" s="537">
        <f>G50+HWP!D51</f>
        <v>3.4479168134766645</v>
      </c>
      <c r="H51" s="538">
        <f>H50+HWP!E51</f>
        <v>2.8445313711182476</v>
      </c>
      <c r="I51" s="521"/>
      <c r="J51" s="540">
        <f>Garden!J58</f>
        <v>0</v>
      </c>
      <c r="K51" s="541">
        <f>Paper!J58</f>
        <v>0</v>
      </c>
      <c r="L51" s="542">
        <f>Wood!J58</f>
        <v>0</v>
      </c>
      <c r="M51" s="543">
        <f>J51*(1-Recovery_OX!E51)*(1-Recovery_OX!F51)</f>
        <v>0</v>
      </c>
      <c r="N51" s="541">
        <f>K51*(1-Recovery_OX!E51)*(1-Recovery_OX!F51)</f>
        <v>0</v>
      </c>
      <c r="O51" s="542">
        <f>L51*(1-Recovery_OX!E51)*(1-Recovery_OX!F51)</f>
        <v>0</v>
      </c>
    </row>
    <row r="52" spans="2:15">
      <c r="B52" s="535">
        <f t="shared" si="0"/>
        <v>1990</v>
      </c>
      <c r="C52" s="536">
        <f>Stored_C!E58</f>
        <v>0</v>
      </c>
      <c r="D52" s="537">
        <f>Stored_C!F58+Stored_C!L58</f>
        <v>0</v>
      </c>
      <c r="E52" s="538">
        <f>Stored_C!G58+Stored_C!M58</f>
        <v>0</v>
      </c>
      <c r="F52" s="539">
        <f>F51+HWP!C52</f>
        <v>0</v>
      </c>
      <c r="G52" s="537">
        <f>G51+HWP!D52</f>
        <v>3.4479168134766645</v>
      </c>
      <c r="H52" s="538">
        <f>H51+HWP!E52</f>
        <v>2.8445313711182476</v>
      </c>
      <c r="I52" s="521"/>
      <c r="J52" s="540">
        <f>Garden!J59</f>
        <v>0</v>
      </c>
      <c r="K52" s="541">
        <f>Paper!J59</f>
        <v>0</v>
      </c>
      <c r="L52" s="542">
        <f>Wood!J59</f>
        <v>0</v>
      </c>
      <c r="M52" s="543">
        <f>J52*(1-Recovery_OX!E52)*(1-Recovery_OX!F52)</f>
        <v>0</v>
      </c>
      <c r="N52" s="541">
        <f>K52*(1-Recovery_OX!E52)*(1-Recovery_OX!F52)</f>
        <v>0</v>
      </c>
      <c r="O52" s="542">
        <f>L52*(1-Recovery_OX!E52)*(1-Recovery_OX!F52)</f>
        <v>0</v>
      </c>
    </row>
    <row r="53" spans="2:15">
      <c r="B53" s="535">
        <f t="shared" si="0"/>
        <v>1991</v>
      </c>
      <c r="C53" s="536">
        <f>Stored_C!E59</f>
        <v>0</v>
      </c>
      <c r="D53" s="537">
        <f>Stored_C!F59+Stored_C!L59</f>
        <v>0</v>
      </c>
      <c r="E53" s="538">
        <f>Stored_C!G59+Stored_C!M59</f>
        <v>0</v>
      </c>
      <c r="F53" s="539">
        <f>F52+HWP!C53</f>
        <v>0</v>
      </c>
      <c r="G53" s="537">
        <f>G52+HWP!D53</f>
        <v>3.4479168134766645</v>
      </c>
      <c r="H53" s="538">
        <f>H52+HWP!E53</f>
        <v>2.8445313711182476</v>
      </c>
      <c r="I53" s="521"/>
      <c r="J53" s="540">
        <f>Garden!J60</f>
        <v>0</v>
      </c>
      <c r="K53" s="541">
        <f>Paper!J60</f>
        <v>0</v>
      </c>
      <c r="L53" s="542">
        <f>Wood!J60</f>
        <v>0</v>
      </c>
      <c r="M53" s="543">
        <f>J53*(1-Recovery_OX!E53)*(1-Recovery_OX!F53)</f>
        <v>0</v>
      </c>
      <c r="N53" s="541">
        <f>K53*(1-Recovery_OX!E53)*(1-Recovery_OX!F53)</f>
        <v>0</v>
      </c>
      <c r="O53" s="542">
        <f>L53*(1-Recovery_OX!E53)*(1-Recovery_OX!F53)</f>
        <v>0</v>
      </c>
    </row>
    <row r="54" spans="2:15">
      <c r="B54" s="535">
        <f t="shared" si="0"/>
        <v>1992</v>
      </c>
      <c r="C54" s="536">
        <f>Stored_C!E60</f>
        <v>0</v>
      </c>
      <c r="D54" s="537">
        <f>Stored_C!F60+Stored_C!L60</f>
        <v>0</v>
      </c>
      <c r="E54" s="538">
        <f>Stored_C!G60+Stored_C!M60</f>
        <v>0</v>
      </c>
      <c r="F54" s="539">
        <f>F53+HWP!C54</f>
        <v>0</v>
      </c>
      <c r="G54" s="537">
        <f>G53+HWP!D54</f>
        <v>3.4479168134766645</v>
      </c>
      <c r="H54" s="538">
        <f>H53+HWP!E54</f>
        <v>2.8445313711182476</v>
      </c>
      <c r="I54" s="521"/>
      <c r="J54" s="540">
        <f>Garden!J61</f>
        <v>0</v>
      </c>
      <c r="K54" s="541">
        <f>Paper!J61</f>
        <v>0</v>
      </c>
      <c r="L54" s="542">
        <f>Wood!J61</f>
        <v>0</v>
      </c>
      <c r="M54" s="543">
        <f>J54*(1-Recovery_OX!E54)*(1-Recovery_OX!F54)</f>
        <v>0</v>
      </c>
      <c r="N54" s="541">
        <f>K54*(1-Recovery_OX!E54)*(1-Recovery_OX!F54)</f>
        <v>0</v>
      </c>
      <c r="O54" s="542">
        <f>L54*(1-Recovery_OX!E54)*(1-Recovery_OX!F54)</f>
        <v>0</v>
      </c>
    </row>
    <row r="55" spans="2:15">
      <c r="B55" s="535">
        <f t="shared" si="0"/>
        <v>1993</v>
      </c>
      <c r="C55" s="536">
        <f>Stored_C!E61</f>
        <v>0</v>
      </c>
      <c r="D55" s="537">
        <f>Stored_C!F61+Stored_C!L61</f>
        <v>0</v>
      </c>
      <c r="E55" s="538">
        <f>Stored_C!G61+Stored_C!M61</f>
        <v>0</v>
      </c>
      <c r="F55" s="539">
        <f>F54+HWP!C55</f>
        <v>0</v>
      </c>
      <c r="G55" s="537">
        <f>G54+HWP!D55</f>
        <v>3.4479168134766645</v>
      </c>
      <c r="H55" s="538">
        <f>H54+HWP!E55</f>
        <v>2.8445313711182476</v>
      </c>
      <c r="I55" s="521"/>
      <c r="J55" s="540">
        <f>Garden!J62</f>
        <v>0</v>
      </c>
      <c r="K55" s="541">
        <f>Paper!J62</f>
        <v>0</v>
      </c>
      <c r="L55" s="542">
        <f>Wood!J62</f>
        <v>0</v>
      </c>
      <c r="M55" s="543">
        <f>J55*(1-Recovery_OX!E55)*(1-Recovery_OX!F55)</f>
        <v>0</v>
      </c>
      <c r="N55" s="541">
        <f>K55*(1-Recovery_OX!E55)*(1-Recovery_OX!F55)</f>
        <v>0</v>
      </c>
      <c r="O55" s="542">
        <f>L55*(1-Recovery_OX!E55)*(1-Recovery_OX!F55)</f>
        <v>0</v>
      </c>
    </row>
    <row r="56" spans="2:15">
      <c r="B56" s="535">
        <f t="shared" si="0"/>
        <v>1994</v>
      </c>
      <c r="C56" s="536">
        <f>Stored_C!E62</f>
        <v>0</v>
      </c>
      <c r="D56" s="537">
        <f>Stored_C!F62+Stored_C!L62</f>
        <v>0</v>
      </c>
      <c r="E56" s="538">
        <f>Stored_C!G62+Stored_C!M62</f>
        <v>0</v>
      </c>
      <c r="F56" s="539">
        <f>F55+HWP!C56</f>
        <v>0</v>
      </c>
      <c r="G56" s="537">
        <f>G55+HWP!D56</f>
        <v>3.4479168134766645</v>
      </c>
      <c r="H56" s="538">
        <f>H55+HWP!E56</f>
        <v>2.8445313711182476</v>
      </c>
      <c r="I56" s="521"/>
      <c r="J56" s="540">
        <f>Garden!J63</f>
        <v>0</v>
      </c>
      <c r="K56" s="541">
        <f>Paper!J63</f>
        <v>0</v>
      </c>
      <c r="L56" s="542">
        <f>Wood!J63</f>
        <v>0</v>
      </c>
      <c r="M56" s="543">
        <f>J56*(1-Recovery_OX!E56)*(1-Recovery_OX!F56)</f>
        <v>0</v>
      </c>
      <c r="N56" s="541">
        <f>K56*(1-Recovery_OX!E56)*(1-Recovery_OX!F56)</f>
        <v>0</v>
      </c>
      <c r="O56" s="542">
        <f>L56*(1-Recovery_OX!E56)*(1-Recovery_OX!F56)</f>
        <v>0</v>
      </c>
    </row>
    <row r="57" spans="2:15">
      <c r="B57" s="535">
        <f t="shared" si="0"/>
        <v>1995</v>
      </c>
      <c r="C57" s="536">
        <f>Stored_C!E63</f>
        <v>0</v>
      </c>
      <c r="D57" s="537">
        <f>Stored_C!F63+Stored_C!L63</f>
        <v>0</v>
      </c>
      <c r="E57" s="538">
        <f>Stored_C!G63+Stored_C!M63</f>
        <v>0</v>
      </c>
      <c r="F57" s="539">
        <f>F56+HWP!C57</f>
        <v>0</v>
      </c>
      <c r="G57" s="537">
        <f>G56+HWP!D57</f>
        <v>3.4479168134766645</v>
      </c>
      <c r="H57" s="538">
        <f>H56+HWP!E57</f>
        <v>2.8445313711182476</v>
      </c>
      <c r="I57" s="521"/>
      <c r="J57" s="540">
        <f>Garden!J64</f>
        <v>0</v>
      </c>
      <c r="K57" s="541">
        <f>Paper!J64</f>
        <v>0</v>
      </c>
      <c r="L57" s="542">
        <f>Wood!J64</f>
        <v>0</v>
      </c>
      <c r="M57" s="543">
        <f>J57*(1-Recovery_OX!E57)*(1-Recovery_OX!F57)</f>
        <v>0</v>
      </c>
      <c r="N57" s="541">
        <f>K57*(1-Recovery_OX!E57)*(1-Recovery_OX!F57)</f>
        <v>0</v>
      </c>
      <c r="O57" s="542">
        <f>L57*(1-Recovery_OX!E57)*(1-Recovery_OX!F57)</f>
        <v>0</v>
      </c>
    </row>
    <row r="58" spans="2:15">
      <c r="B58" s="535">
        <f t="shared" si="0"/>
        <v>1996</v>
      </c>
      <c r="C58" s="536">
        <f>Stored_C!E64</f>
        <v>0</v>
      </c>
      <c r="D58" s="537">
        <f>Stored_C!F64+Stored_C!L64</f>
        <v>0</v>
      </c>
      <c r="E58" s="538">
        <f>Stored_C!G64+Stored_C!M64</f>
        <v>0</v>
      </c>
      <c r="F58" s="539">
        <f>F57+HWP!C58</f>
        <v>0</v>
      </c>
      <c r="G58" s="537">
        <f>G57+HWP!D58</f>
        <v>3.4479168134766645</v>
      </c>
      <c r="H58" s="538">
        <f>H57+HWP!E58</f>
        <v>2.8445313711182476</v>
      </c>
      <c r="I58" s="521"/>
      <c r="J58" s="540">
        <f>Garden!J65</f>
        <v>0</v>
      </c>
      <c r="K58" s="541">
        <f>Paper!J65</f>
        <v>0</v>
      </c>
      <c r="L58" s="542">
        <f>Wood!J65</f>
        <v>0</v>
      </c>
      <c r="M58" s="543">
        <f>J58*(1-Recovery_OX!E58)*(1-Recovery_OX!F58)</f>
        <v>0</v>
      </c>
      <c r="N58" s="541">
        <f>K58*(1-Recovery_OX!E58)*(1-Recovery_OX!F58)</f>
        <v>0</v>
      </c>
      <c r="O58" s="542">
        <f>L58*(1-Recovery_OX!E58)*(1-Recovery_OX!F58)</f>
        <v>0</v>
      </c>
    </row>
    <row r="59" spans="2:15">
      <c r="B59" s="535">
        <f t="shared" si="0"/>
        <v>1997</v>
      </c>
      <c r="C59" s="536">
        <f>Stored_C!E65</f>
        <v>0</v>
      </c>
      <c r="D59" s="537">
        <f>Stored_C!F65+Stored_C!L65</f>
        <v>0</v>
      </c>
      <c r="E59" s="538">
        <f>Stored_C!G65+Stored_C!M65</f>
        <v>0</v>
      </c>
      <c r="F59" s="539">
        <f>F58+HWP!C59</f>
        <v>0</v>
      </c>
      <c r="G59" s="537">
        <f>G58+HWP!D59</f>
        <v>3.4479168134766645</v>
      </c>
      <c r="H59" s="538">
        <f>H58+HWP!E59</f>
        <v>2.8445313711182476</v>
      </c>
      <c r="I59" s="521"/>
      <c r="J59" s="540">
        <f>Garden!J66</f>
        <v>0</v>
      </c>
      <c r="K59" s="541">
        <f>Paper!J66</f>
        <v>0</v>
      </c>
      <c r="L59" s="542">
        <f>Wood!J66</f>
        <v>0</v>
      </c>
      <c r="M59" s="543">
        <f>J59*(1-Recovery_OX!E59)*(1-Recovery_OX!F59)</f>
        <v>0</v>
      </c>
      <c r="N59" s="541">
        <f>K59*(1-Recovery_OX!E59)*(1-Recovery_OX!F59)</f>
        <v>0</v>
      </c>
      <c r="O59" s="542">
        <f>L59*(1-Recovery_OX!E59)*(1-Recovery_OX!F59)</f>
        <v>0</v>
      </c>
    </row>
    <row r="60" spans="2:15">
      <c r="B60" s="535">
        <f t="shared" si="0"/>
        <v>1998</v>
      </c>
      <c r="C60" s="536">
        <f>Stored_C!E66</f>
        <v>0</v>
      </c>
      <c r="D60" s="537">
        <f>Stored_C!F66+Stored_C!L66</f>
        <v>0</v>
      </c>
      <c r="E60" s="538">
        <f>Stored_C!G66+Stored_C!M66</f>
        <v>0</v>
      </c>
      <c r="F60" s="539">
        <f>F59+HWP!C60</f>
        <v>0</v>
      </c>
      <c r="G60" s="537">
        <f>G59+HWP!D60</f>
        <v>3.4479168134766645</v>
      </c>
      <c r="H60" s="538">
        <f>H59+HWP!E60</f>
        <v>2.8445313711182476</v>
      </c>
      <c r="I60" s="521"/>
      <c r="J60" s="540">
        <f>Garden!J67</f>
        <v>0</v>
      </c>
      <c r="K60" s="541">
        <f>Paper!J67</f>
        <v>0</v>
      </c>
      <c r="L60" s="542">
        <f>Wood!J67</f>
        <v>0</v>
      </c>
      <c r="M60" s="543">
        <f>J60*(1-Recovery_OX!E60)*(1-Recovery_OX!F60)</f>
        <v>0</v>
      </c>
      <c r="N60" s="541">
        <f>K60*(1-Recovery_OX!E60)*(1-Recovery_OX!F60)</f>
        <v>0</v>
      </c>
      <c r="O60" s="542">
        <f>L60*(1-Recovery_OX!E60)*(1-Recovery_OX!F60)</f>
        <v>0</v>
      </c>
    </row>
    <row r="61" spans="2:15">
      <c r="B61" s="535">
        <f t="shared" si="0"/>
        <v>1999</v>
      </c>
      <c r="C61" s="536">
        <f>Stored_C!E67</f>
        <v>0</v>
      </c>
      <c r="D61" s="537">
        <f>Stored_C!F67+Stored_C!L67</f>
        <v>0</v>
      </c>
      <c r="E61" s="538">
        <f>Stored_C!G67+Stored_C!M67</f>
        <v>0</v>
      </c>
      <c r="F61" s="539">
        <f>F60+HWP!C61</f>
        <v>0</v>
      </c>
      <c r="G61" s="537">
        <f>G60+HWP!D61</f>
        <v>3.4479168134766645</v>
      </c>
      <c r="H61" s="538">
        <f>H60+HWP!E61</f>
        <v>2.8445313711182476</v>
      </c>
      <c r="I61" s="521"/>
      <c r="J61" s="540">
        <f>Garden!J68</f>
        <v>0</v>
      </c>
      <c r="K61" s="541">
        <f>Paper!J68</f>
        <v>0</v>
      </c>
      <c r="L61" s="542">
        <f>Wood!J68</f>
        <v>0</v>
      </c>
      <c r="M61" s="543">
        <f>J61*(1-Recovery_OX!E61)*(1-Recovery_OX!F61)</f>
        <v>0</v>
      </c>
      <c r="N61" s="541">
        <f>K61*(1-Recovery_OX!E61)*(1-Recovery_OX!F61)</f>
        <v>0</v>
      </c>
      <c r="O61" s="542">
        <f>L61*(1-Recovery_OX!E61)*(1-Recovery_OX!F61)</f>
        <v>0</v>
      </c>
    </row>
    <row r="62" spans="2:15">
      <c r="B62" s="535">
        <f t="shared" si="0"/>
        <v>2000</v>
      </c>
      <c r="C62" s="536">
        <f>Stored_C!E68</f>
        <v>0</v>
      </c>
      <c r="D62" s="537">
        <f>Stored_C!F68+Stored_C!L68</f>
        <v>0</v>
      </c>
      <c r="E62" s="538">
        <f>Stored_C!G68+Stored_C!M68</f>
        <v>0</v>
      </c>
      <c r="F62" s="539">
        <f>F61+HWP!C62</f>
        <v>0</v>
      </c>
      <c r="G62" s="537">
        <f>G61+HWP!D62</f>
        <v>3.4479168134766645</v>
      </c>
      <c r="H62" s="538">
        <f>H61+HWP!E62</f>
        <v>2.8445313711182476</v>
      </c>
      <c r="I62" s="521"/>
      <c r="J62" s="540">
        <f>Garden!J69</f>
        <v>0</v>
      </c>
      <c r="K62" s="541">
        <f>Paper!J69</f>
        <v>0</v>
      </c>
      <c r="L62" s="542">
        <f>Wood!J69</f>
        <v>0</v>
      </c>
      <c r="M62" s="543">
        <f>J62*(1-Recovery_OX!E62)*(1-Recovery_OX!F62)</f>
        <v>0</v>
      </c>
      <c r="N62" s="541">
        <f>K62*(1-Recovery_OX!E62)*(1-Recovery_OX!F62)</f>
        <v>0</v>
      </c>
      <c r="O62" s="542">
        <f>L62*(1-Recovery_OX!E62)*(1-Recovery_OX!F62)</f>
        <v>0</v>
      </c>
    </row>
    <row r="63" spans="2:15">
      <c r="B63" s="535">
        <f t="shared" si="0"/>
        <v>2001</v>
      </c>
      <c r="C63" s="536">
        <f>Stored_C!E69</f>
        <v>0</v>
      </c>
      <c r="D63" s="537">
        <f>Stored_C!F69+Stored_C!L69</f>
        <v>0</v>
      </c>
      <c r="E63" s="538">
        <f>Stored_C!G69+Stored_C!M69</f>
        <v>0</v>
      </c>
      <c r="F63" s="539">
        <f>F62+HWP!C63</f>
        <v>0</v>
      </c>
      <c r="G63" s="537">
        <f>G62+HWP!D63</f>
        <v>3.4479168134766645</v>
      </c>
      <c r="H63" s="538">
        <f>H62+HWP!E63</f>
        <v>2.8445313711182476</v>
      </c>
      <c r="I63" s="521"/>
      <c r="J63" s="540">
        <f>Garden!J70</f>
        <v>0</v>
      </c>
      <c r="K63" s="541">
        <f>Paper!J70</f>
        <v>0</v>
      </c>
      <c r="L63" s="542">
        <f>Wood!J70</f>
        <v>0</v>
      </c>
      <c r="M63" s="543">
        <f>J63*(1-Recovery_OX!E63)*(1-Recovery_OX!F63)</f>
        <v>0</v>
      </c>
      <c r="N63" s="541">
        <f>K63*(1-Recovery_OX!E63)*(1-Recovery_OX!F63)</f>
        <v>0</v>
      </c>
      <c r="O63" s="542">
        <f>L63*(1-Recovery_OX!E63)*(1-Recovery_OX!F63)</f>
        <v>0</v>
      </c>
    </row>
    <row r="64" spans="2:15">
      <c r="B64" s="535">
        <f t="shared" si="0"/>
        <v>2002</v>
      </c>
      <c r="C64" s="536">
        <f>Stored_C!E70</f>
        <v>0</v>
      </c>
      <c r="D64" s="537">
        <f>Stored_C!F70+Stored_C!L70</f>
        <v>0</v>
      </c>
      <c r="E64" s="538">
        <f>Stored_C!G70+Stored_C!M70</f>
        <v>0</v>
      </c>
      <c r="F64" s="539">
        <f>F63+HWP!C64</f>
        <v>0</v>
      </c>
      <c r="G64" s="537">
        <f>G63+HWP!D64</f>
        <v>3.4479168134766645</v>
      </c>
      <c r="H64" s="538">
        <f>H63+HWP!E64</f>
        <v>2.8445313711182476</v>
      </c>
      <c r="I64" s="521"/>
      <c r="J64" s="540">
        <f>Garden!J71</f>
        <v>0</v>
      </c>
      <c r="K64" s="541">
        <f>Paper!J71</f>
        <v>0</v>
      </c>
      <c r="L64" s="542">
        <f>Wood!J71</f>
        <v>0</v>
      </c>
      <c r="M64" s="543">
        <f>J64*(1-Recovery_OX!E64)*(1-Recovery_OX!F64)</f>
        <v>0</v>
      </c>
      <c r="N64" s="541">
        <f>K64*(1-Recovery_OX!E64)*(1-Recovery_OX!F64)</f>
        <v>0</v>
      </c>
      <c r="O64" s="542">
        <f>L64*(1-Recovery_OX!E64)*(1-Recovery_OX!F64)</f>
        <v>0</v>
      </c>
    </row>
    <row r="65" spans="2:15">
      <c r="B65" s="535">
        <f t="shared" si="0"/>
        <v>2003</v>
      </c>
      <c r="C65" s="536">
        <f>Stored_C!E71</f>
        <v>0</v>
      </c>
      <c r="D65" s="537">
        <f>Stored_C!F71+Stored_C!L71</f>
        <v>0</v>
      </c>
      <c r="E65" s="538">
        <f>Stored_C!G71+Stored_C!M71</f>
        <v>0</v>
      </c>
      <c r="F65" s="539">
        <f>F64+HWP!C65</f>
        <v>0</v>
      </c>
      <c r="G65" s="537">
        <f>G64+HWP!D65</f>
        <v>3.4479168134766645</v>
      </c>
      <c r="H65" s="538">
        <f>H64+HWP!E65</f>
        <v>2.8445313711182476</v>
      </c>
      <c r="I65" s="521"/>
      <c r="J65" s="540">
        <f>Garden!J72</f>
        <v>0</v>
      </c>
      <c r="K65" s="541">
        <f>Paper!J72</f>
        <v>0</v>
      </c>
      <c r="L65" s="542">
        <f>Wood!J72</f>
        <v>0</v>
      </c>
      <c r="M65" s="543">
        <f>J65*(1-Recovery_OX!E65)*(1-Recovery_OX!F65)</f>
        <v>0</v>
      </c>
      <c r="N65" s="541">
        <f>K65*(1-Recovery_OX!E65)*(1-Recovery_OX!F65)</f>
        <v>0</v>
      </c>
      <c r="O65" s="542">
        <f>L65*(1-Recovery_OX!E65)*(1-Recovery_OX!F65)</f>
        <v>0</v>
      </c>
    </row>
    <row r="66" spans="2:15">
      <c r="B66" s="535">
        <f t="shared" si="0"/>
        <v>2004</v>
      </c>
      <c r="C66" s="536">
        <f>Stored_C!E72</f>
        <v>0</v>
      </c>
      <c r="D66" s="537">
        <f>Stored_C!F72+Stored_C!L72</f>
        <v>0</v>
      </c>
      <c r="E66" s="538">
        <f>Stored_C!G72+Stored_C!M72</f>
        <v>0</v>
      </c>
      <c r="F66" s="539">
        <f>F65+HWP!C66</f>
        <v>0</v>
      </c>
      <c r="G66" s="537">
        <f>G65+HWP!D66</f>
        <v>3.4479168134766645</v>
      </c>
      <c r="H66" s="538">
        <f>H65+HWP!E66</f>
        <v>2.8445313711182476</v>
      </c>
      <c r="I66" s="521"/>
      <c r="J66" s="540">
        <f>Garden!J73</f>
        <v>0</v>
      </c>
      <c r="K66" s="541">
        <f>Paper!J73</f>
        <v>0</v>
      </c>
      <c r="L66" s="542">
        <f>Wood!J73</f>
        <v>0</v>
      </c>
      <c r="M66" s="543">
        <f>J66*(1-Recovery_OX!E66)*(1-Recovery_OX!F66)</f>
        <v>0</v>
      </c>
      <c r="N66" s="541">
        <f>K66*(1-Recovery_OX!E66)*(1-Recovery_OX!F66)</f>
        <v>0</v>
      </c>
      <c r="O66" s="542">
        <f>L66*(1-Recovery_OX!E66)*(1-Recovery_OX!F66)</f>
        <v>0</v>
      </c>
    </row>
    <row r="67" spans="2:15">
      <c r="B67" s="535">
        <f t="shared" si="0"/>
        <v>2005</v>
      </c>
      <c r="C67" s="536">
        <f>Stored_C!E73</f>
        <v>0</v>
      </c>
      <c r="D67" s="537">
        <f>Stored_C!F73+Stored_C!L73</f>
        <v>0</v>
      </c>
      <c r="E67" s="538">
        <f>Stored_C!G73+Stored_C!M73</f>
        <v>0</v>
      </c>
      <c r="F67" s="539">
        <f>F66+HWP!C67</f>
        <v>0</v>
      </c>
      <c r="G67" s="537">
        <f>G66+HWP!D67</f>
        <v>3.4479168134766645</v>
      </c>
      <c r="H67" s="538">
        <f>H66+HWP!E67</f>
        <v>2.8445313711182476</v>
      </c>
      <c r="I67" s="521"/>
      <c r="J67" s="540">
        <f>Garden!J74</f>
        <v>0</v>
      </c>
      <c r="K67" s="541">
        <f>Paper!J74</f>
        <v>0</v>
      </c>
      <c r="L67" s="542">
        <f>Wood!J74</f>
        <v>0</v>
      </c>
      <c r="M67" s="543">
        <f>J67*(1-Recovery_OX!E67)*(1-Recovery_OX!F67)</f>
        <v>0</v>
      </c>
      <c r="N67" s="541">
        <f>K67*(1-Recovery_OX!E67)*(1-Recovery_OX!F67)</f>
        <v>0</v>
      </c>
      <c r="O67" s="542">
        <f>L67*(1-Recovery_OX!E67)*(1-Recovery_OX!F67)</f>
        <v>0</v>
      </c>
    </row>
    <row r="68" spans="2:15">
      <c r="B68" s="535">
        <f t="shared" si="0"/>
        <v>2006</v>
      </c>
      <c r="C68" s="536">
        <f>Stored_C!E74</f>
        <v>0</v>
      </c>
      <c r="D68" s="537">
        <f>Stored_C!F74+Stored_C!L74</f>
        <v>0</v>
      </c>
      <c r="E68" s="538">
        <f>Stored_C!G74+Stored_C!M74</f>
        <v>0</v>
      </c>
      <c r="F68" s="539">
        <f>F67+HWP!C68</f>
        <v>0</v>
      </c>
      <c r="G68" s="537">
        <f>G67+HWP!D68</f>
        <v>3.4479168134766645</v>
      </c>
      <c r="H68" s="538">
        <f>H67+HWP!E68</f>
        <v>2.8445313711182476</v>
      </c>
      <c r="I68" s="521"/>
      <c r="J68" s="540">
        <f>Garden!J75</f>
        <v>0</v>
      </c>
      <c r="K68" s="541">
        <f>Paper!J75</f>
        <v>0</v>
      </c>
      <c r="L68" s="542">
        <f>Wood!J75</f>
        <v>0</v>
      </c>
      <c r="M68" s="543">
        <f>J68*(1-Recovery_OX!E68)*(1-Recovery_OX!F68)</f>
        <v>0</v>
      </c>
      <c r="N68" s="541">
        <f>K68*(1-Recovery_OX!E68)*(1-Recovery_OX!F68)</f>
        <v>0</v>
      </c>
      <c r="O68" s="542">
        <f>L68*(1-Recovery_OX!E68)*(1-Recovery_OX!F68)</f>
        <v>0</v>
      </c>
    </row>
    <row r="69" spans="2:15">
      <c r="B69" s="535">
        <f t="shared" si="0"/>
        <v>2007</v>
      </c>
      <c r="C69" s="536">
        <f>Stored_C!E75</f>
        <v>0</v>
      </c>
      <c r="D69" s="537">
        <f>Stored_C!F75+Stored_C!L75</f>
        <v>0</v>
      </c>
      <c r="E69" s="538">
        <f>Stored_C!G75+Stored_C!M75</f>
        <v>0</v>
      </c>
      <c r="F69" s="539">
        <f>F68+HWP!C69</f>
        <v>0</v>
      </c>
      <c r="G69" s="537">
        <f>G68+HWP!D69</f>
        <v>3.4479168134766645</v>
      </c>
      <c r="H69" s="538">
        <f>H68+HWP!E69</f>
        <v>2.8445313711182476</v>
      </c>
      <c r="I69" s="521"/>
      <c r="J69" s="540">
        <f>Garden!J76</f>
        <v>0</v>
      </c>
      <c r="K69" s="541">
        <f>Paper!J76</f>
        <v>0</v>
      </c>
      <c r="L69" s="542">
        <f>Wood!J76</f>
        <v>0</v>
      </c>
      <c r="M69" s="543">
        <f>J69*(1-Recovery_OX!E69)*(1-Recovery_OX!F69)</f>
        <v>0</v>
      </c>
      <c r="N69" s="541">
        <f>K69*(1-Recovery_OX!E69)*(1-Recovery_OX!F69)</f>
        <v>0</v>
      </c>
      <c r="O69" s="542">
        <f>L69*(1-Recovery_OX!E69)*(1-Recovery_OX!F69)</f>
        <v>0</v>
      </c>
    </row>
    <row r="70" spans="2:15">
      <c r="B70" s="535">
        <f t="shared" si="0"/>
        <v>2008</v>
      </c>
      <c r="C70" s="536">
        <f>Stored_C!E76</f>
        <v>0</v>
      </c>
      <c r="D70" s="537">
        <f>Stored_C!F76+Stored_C!L76</f>
        <v>0</v>
      </c>
      <c r="E70" s="538">
        <f>Stored_C!G76+Stored_C!M76</f>
        <v>0</v>
      </c>
      <c r="F70" s="539">
        <f>F69+HWP!C70</f>
        <v>0</v>
      </c>
      <c r="G70" s="537">
        <f>G69+HWP!D70</f>
        <v>3.4479168134766645</v>
      </c>
      <c r="H70" s="538">
        <f>H69+HWP!E70</f>
        <v>2.8445313711182476</v>
      </c>
      <c r="I70" s="521"/>
      <c r="J70" s="540">
        <f>Garden!J77</f>
        <v>0</v>
      </c>
      <c r="K70" s="541">
        <f>Paper!J77</f>
        <v>0</v>
      </c>
      <c r="L70" s="542">
        <f>Wood!J77</f>
        <v>0</v>
      </c>
      <c r="M70" s="543">
        <f>J70*(1-Recovery_OX!E70)*(1-Recovery_OX!F70)</f>
        <v>0</v>
      </c>
      <c r="N70" s="541">
        <f>K70*(1-Recovery_OX!E70)*(1-Recovery_OX!F70)</f>
        <v>0</v>
      </c>
      <c r="O70" s="542">
        <f>L70*(1-Recovery_OX!E70)*(1-Recovery_OX!F70)</f>
        <v>0</v>
      </c>
    </row>
    <row r="71" spans="2:15">
      <c r="B71" s="535">
        <f t="shared" si="0"/>
        <v>2009</v>
      </c>
      <c r="C71" s="536">
        <f>Stored_C!E77</f>
        <v>0</v>
      </c>
      <c r="D71" s="537">
        <f>Stored_C!F77+Stored_C!L77</f>
        <v>0</v>
      </c>
      <c r="E71" s="538">
        <f>Stored_C!G77+Stored_C!M77</f>
        <v>0</v>
      </c>
      <c r="F71" s="539">
        <f>F70+HWP!C71</f>
        <v>0</v>
      </c>
      <c r="G71" s="537">
        <f>G70+HWP!D71</f>
        <v>3.4479168134766645</v>
      </c>
      <c r="H71" s="538">
        <f>H70+HWP!E71</f>
        <v>2.8445313711182476</v>
      </c>
      <c r="I71" s="521"/>
      <c r="J71" s="540">
        <f>Garden!J78</f>
        <v>0</v>
      </c>
      <c r="K71" s="541">
        <f>Paper!J78</f>
        <v>0</v>
      </c>
      <c r="L71" s="542">
        <f>Wood!J78</f>
        <v>0</v>
      </c>
      <c r="M71" s="543">
        <f>J71*(1-Recovery_OX!E71)*(1-Recovery_OX!F71)</f>
        <v>0</v>
      </c>
      <c r="N71" s="541">
        <f>K71*(1-Recovery_OX!E71)*(1-Recovery_OX!F71)</f>
        <v>0</v>
      </c>
      <c r="O71" s="542">
        <f>L71*(1-Recovery_OX!E71)*(1-Recovery_OX!F71)</f>
        <v>0</v>
      </c>
    </row>
    <row r="72" spans="2:15">
      <c r="B72" s="535">
        <f t="shared" si="0"/>
        <v>2010</v>
      </c>
      <c r="C72" s="536">
        <f>Stored_C!E78</f>
        <v>0</v>
      </c>
      <c r="D72" s="537">
        <f>Stored_C!F78+Stored_C!L78</f>
        <v>0</v>
      </c>
      <c r="E72" s="538">
        <f>Stored_C!G78+Stored_C!M78</f>
        <v>0</v>
      </c>
      <c r="F72" s="539">
        <f>F71+HWP!C72</f>
        <v>0</v>
      </c>
      <c r="G72" s="537">
        <f>G71+HWP!D72</f>
        <v>3.4479168134766645</v>
      </c>
      <c r="H72" s="538">
        <f>H71+HWP!E72</f>
        <v>2.8445313711182476</v>
      </c>
      <c r="I72" s="521"/>
      <c r="J72" s="540">
        <f>Garden!J79</f>
        <v>0</v>
      </c>
      <c r="K72" s="541">
        <f>Paper!J79</f>
        <v>0</v>
      </c>
      <c r="L72" s="542">
        <f>Wood!J79</f>
        <v>0</v>
      </c>
      <c r="M72" s="543">
        <f>J72*(1-Recovery_OX!E72)*(1-Recovery_OX!F72)</f>
        <v>0</v>
      </c>
      <c r="N72" s="541">
        <f>K72*(1-Recovery_OX!E72)*(1-Recovery_OX!F72)</f>
        <v>0</v>
      </c>
      <c r="O72" s="542">
        <f>L72*(1-Recovery_OX!E72)*(1-Recovery_OX!F72)</f>
        <v>0</v>
      </c>
    </row>
    <row r="73" spans="2:15">
      <c r="B73" s="535">
        <f t="shared" si="0"/>
        <v>2011</v>
      </c>
      <c r="C73" s="536">
        <f>Stored_C!E79</f>
        <v>0</v>
      </c>
      <c r="D73" s="537">
        <f>Stored_C!F79+Stored_C!L79</f>
        <v>0</v>
      </c>
      <c r="E73" s="538">
        <f>Stored_C!G79+Stored_C!M79</f>
        <v>0</v>
      </c>
      <c r="F73" s="539">
        <f>F72+HWP!C73</f>
        <v>0</v>
      </c>
      <c r="G73" s="537">
        <f>G72+HWP!D73</f>
        <v>3.4479168134766645</v>
      </c>
      <c r="H73" s="538">
        <f>H72+HWP!E73</f>
        <v>2.8445313711182476</v>
      </c>
      <c r="I73" s="521"/>
      <c r="J73" s="540">
        <f>Garden!J80</f>
        <v>0</v>
      </c>
      <c r="K73" s="541">
        <f>Paper!J80</f>
        <v>0</v>
      </c>
      <c r="L73" s="542">
        <f>Wood!J80</f>
        <v>0</v>
      </c>
      <c r="M73" s="543">
        <f>J73*(1-Recovery_OX!E73)*(1-Recovery_OX!F73)</f>
        <v>0</v>
      </c>
      <c r="N73" s="541">
        <f>K73*(1-Recovery_OX!E73)*(1-Recovery_OX!F73)</f>
        <v>0</v>
      </c>
      <c r="O73" s="542">
        <f>L73*(1-Recovery_OX!E73)*(1-Recovery_OX!F73)</f>
        <v>0</v>
      </c>
    </row>
    <row r="74" spans="2:15">
      <c r="B74" s="535">
        <f t="shared" si="0"/>
        <v>2012</v>
      </c>
      <c r="C74" s="536">
        <f>Stored_C!E80</f>
        <v>0</v>
      </c>
      <c r="D74" s="537">
        <f>Stored_C!F80+Stored_C!L80</f>
        <v>0</v>
      </c>
      <c r="E74" s="538">
        <f>Stored_C!G80+Stored_C!M80</f>
        <v>0</v>
      </c>
      <c r="F74" s="539">
        <f>F73+HWP!C74</f>
        <v>0</v>
      </c>
      <c r="G74" s="537">
        <f>G73+HWP!D74</f>
        <v>3.4479168134766645</v>
      </c>
      <c r="H74" s="538">
        <f>H73+HWP!E74</f>
        <v>2.8445313711182476</v>
      </c>
      <c r="I74" s="521"/>
      <c r="J74" s="540">
        <f>Garden!J81</f>
        <v>0</v>
      </c>
      <c r="K74" s="541">
        <f>Paper!J81</f>
        <v>0</v>
      </c>
      <c r="L74" s="542">
        <f>Wood!J81</f>
        <v>0</v>
      </c>
      <c r="M74" s="543">
        <f>J74*(1-Recovery_OX!E74)*(1-Recovery_OX!F74)</f>
        <v>0</v>
      </c>
      <c r="N74" s="541">
        <f>K74*(1-Recovery_OX!E74)*(1-Recovery_OX!F74)</f>
        <v>0</v>
      </c>
      <c r="O74" s="542">
        <f>L74*(1-Recovery_OX!E74)*(1-Recovery_OX!F74)</f>
        <v>0</v>
      </c>
    </row>
    <row r="75" spans="2:15">
      <c r="B75" s="535">
        <f t="shared" si="0"/>
        <v>2013</v>
      </c>
      <c r="C75" s="536">
        <f>Stored_C!E81</f>
        <v>0</v>
      </c>
      <c r="D75" s="537">
        <f>Stored_C!F81+Stored_C!L81</f>
        <v>0</v>
      </c>
      <c r="E75" s="538">
        <f>Stored_C!G81+Stored_C!M81</f>
        <v>0</v>
      </c>
      <c r="F75" s="539">
        <f>F74+HWP!C75</f>
        <v>0</v>
      </c>
      <c r="G75" s="537">
        <f>G74+HWP!D75</f>
        <v>3.4479168134766645</v>
      </c>
      <c r="H75" s="538">
        <f>H74+HWP!E75</f>
        <v>2.8445313711182476</v>
      </c>
      <c r="I75" s="521"/>
      <c r="J75" s="540">
        <f>Garden!J82</f>
        <v>0</v>
      </c>
      <c r="K75" s="541">
        <f>Paper!J82</f>
        <v>0</v>
      </c>
      <c r="L75" s="542">
        <f>Wood!J82</f>
        <v>0</v>
      </c>
      <c r="M75" s="543">
        <f>J75*(1-Recovery_OX!E75)*(1-Recovery_OX!F75)</f>
        <v>0</v>
      </c>
      <c r="N75" s="541">
        <f>K75*(1-Recovery_OX!E75)*(1-Recovery_OX!F75)</f>
        <v>0</v>
      </c>
      <c r="O75" s="542">
        <f>L75*(1-Recovery_OX!E75)*(1-Recovery_OX!F75)</f>
        <v>0</v>
      </c>
    </row>
    <row r="76" spans="2:15">
      <c r="B76" s="535">
        <f t="shared" si="0"/>
        <v>2014</v>
      </c>
      <c r="C76" s="536">
        <f>Stored_C!E82</f>
        <v>0</v>
      </c>
      <c r="D76" s="537">
        <f>Stored_C!F82+Stored_C!L82</f>
        <v>0</v>
      </c>
      <c r="E76" s="538">
        <f>Stored_C!G82+Stored_C!M82</f>
        <v>0</v>
      </c>
      <c r="F76" s="539">
        <f>F75+HWP!C76</f>
        <v>0</v>
      </c>
      <c r="G76" s="537">
        <f>G75+HWP!D76</f>
        <v>3.4479168134766645</v>
      </c>
      <c r="H76" s="538">
        <f>H75+HWP!E76</f>
        <v>2.8445313711182476</v>
      </c>
      <c r="I76" s="521"/>
      <c r="J76" s="540">
        <f>Garden!J83</f>
        <v>0</v>
      </c>
      <c r="K76" s="541">
        <f>Paper!J83</f>
        <v>0</v>
      </c>
      <c r="L76" s="542">
        <f>Wood!J83</f>
        <v>0</v>
      </c>
      <c r="M76" s="543">
        <f>J76*(1-Recovery_OX!E76)*(1-Recovery_OX!F76)</f>
        <v>0</v>
      </c>
      <c r="N76" s="541">
        <f>K76*(1-Recovery_OX!E76)*(1-Recovery_OX!F76)</f>
        <v>0</v>
      </c>
      <c r="O76" s="542">
        <f>L76*(1-Recovery_OX!E76)*(1-Recovery_OX!F76)</f>
        <v>0</v>
      </c>
    </row>
    <row r="77" spans="2:15">
      <c r="B77" s="535">
        <f t="shared" si="0"/>
        <v>2015</v>
      </c>
      <c r="C77" s="536">
        <f>Stored_C!E83</f>
        <v>0</v>
      </c>
      <c r="D77" s="537">
        <f>Stored_C!F83+Stored_C!L83</f>
        <v>0</v>
      </c>
      <c r="E77" s="538">
        <f>Stored_C!G83+Stored_C!M83</f>
        <v>0</v>
      </c>
      <c r="F77" s="539">
        <f>F76+HWP!C77</f>
        <v>0</v>
      </c>
      <c r="G77" s="537">
        <f>G76+HWP!D77</f>
        <v>3.4479168134766645</v>
      </c>
      <c r="H77" s="538">
        <f>H76+HWP!E77</f>
        <v>2.8445313711182476</v>
      </c>
      <c r="I77" s="521"/>
      <c r="J77" s="540">
        <f>Garden!J84</f>
        <v>0</v>
      </c>
      <c r="K77" s="541">
        <f>Paper!J84</f>
        <v>0</v>
      </c>
      <c r="L77" s="542">
        <f>Wood!J84</f>
        <v>0</v>
      </c>
      <c r="M77" s="543">
        <f>J77*(1-Recovery_OX!E77)*(1-Recovery_OX!F77)</f>
        <v>0</v>
      </c>
      <c r="N77" s="541">
        <f>K77*(1-Recovery_OX!E77)*(1-Recovery_OX!F77)</f>
        <v>0</v>
      </c>
      <c r="O77" s="542">
        <f>L77*(1-Recovery_OX!E77)*(1-Recovery_OX!F77)</f>
        <v>0</v>
      </c>
    </row>
    <row r="78" spans="2:15">
      <c r="B78" s="535">
        <f t="shared" ref="B78:B92" si="1">B77+1</f>
        <v>2016</v>
      </c>
      <c r="C78" s="536">
        <f>Stored_C!E84</f>
        <v>0</v>
      </c>
      <c r="D78" s="537">
        <f>Stored_C!F84+Stored_C!L84</f>
        <v>0</v>
      </c>
      <c r="E78" s="538">
        <f>Stored_C!G84+Stored_C!M84</f>
        <v>0</v>
      </c>
      <c r="F78" s="539">
        <f>F77+HWP!C78</f>
        <v>0</v>
      </c>
      <c r="G78" s="537">
        <f>G77+HWP!D78</f>
        <v>3.4479168134766645</v>
      </c>
      <c r="H78" s="538">
        <f>H77+HWP!E78</f>
        <v>2.8445313711182476</v>
      </c>
      <c r="I78" s="521"/>
      <c r="J78" s="540">
        <f>Garden!J85</f>
        <v>0</v>
      </c>
      <c r="K78" s="541">
        <f>Paper!J85</f>
        <v>0</v>
      </c>
      <c r="L78" s="542">
        <f>Wood!J85</f>
        <v>0</v>
      </c>
      <c r="M78" s="543">
        <f>J78*(1-Recovery_OX!E78)*(1-Recovery_OX!F78)</f>
        <v>0</v>
      </c>
      <c r="N78" s="541">
        <f>K78*(1-Recovery_OX!E78)*(1-Recovery_OX!F78)</f>
        <v>0</v>
      </c>
      <c r="O78" s="542">
        <f>L78*(1-Recovery_OX!E78)*(1-Recovery_OX!F78)</f>
        <v>0</v>
      </c>
    </row>
    <row r="79" spans="2:15">
      <c r="B79" s="535">
        <f t="shared" si="1"/>
        <v>2017</v>
      </c>
      <c r="C79" s="536">
        <f>Stored_C!E85</f>
        <v>0</v>
      </c>
      <c r="D79" s="537">
        <f>Stored_C!F85+Stored_C!L85</f>
        <v>0</v>
      </c>
      <c r="E79" s="538">
        <f>Stored_C!G85+Stored_C!M85</f>
        <v>0</v>
      </c>
      <c r="F79" s="539">
        <f>F78+HWP!C79</f>
        <v>0</v>
      </c>
      <c r="G79" s="537">
        <f>G78+HWP!D79</f>
        <v>3.4479168134766645</v>
      </c>
      <c r="H79" s="538">
        <f>H78+HWP!E79</f>
        <v>2.8445313711182476</v>
      </c>
      <c r="I79" s="521"/>
      <c r="J79" s="540">
        <f>Garden!J86</f>
        <v>0</v>
      </c>
      <c r="K79" s="541">
        <f>Paper!J86</f>
        <v>0</v>
      </c>
      <c r="L79" s="542">
        <f>Wood!J86</f>
        <v>0</v>
      </c>
      <c r="M79" s="543">
        <f>J79*(1-Recovery_OX!E79)*(1-Recovery_OX!F79)</f>
        <v>0</v>
      </c>
      <c r="N79" s="541">
        <f>K79*(1-Recovery_OX!E79)*(1-Recovery_OX!F79)</f>
        <v>0</v>
      </c>
      <c r="O79" s="542">
        <f>L79*(1-Recovery_OX!E79)*(1-Recovery_OX!F79)</f>
        <v>0</v>
      </c>
    </row>
    <row r="80" spans="2:15">
      <c r="B80" s="535">
        <f t="shared" si="1"/>
        <v>2018</v>
      </c>
      <c r="C80" s="536">
        <f>Stored_C!E86</f>
        <v>0</v>
      </c>
      <c r="D80" s="537">
        <f>Stored_C!F86+Stored_C!L86</f>
        <v>0</v>
      </c>
      <c r="E80" s="538">
        <f>Stored_C!G86+Stored_C!M86</f>
        <v>0</v>
      </c>
      <c r="F80" s="539">
        <f>F79+HWP!C80</f>
        <v>0</v>
      </c>
      <c r="G80" s="537">
        <f>G79+HWP!D80</f>
        <v>3.4479168134766645</v>
      </c>
      <c r="H80" s="538">
        <f>H79+HWP!E80</f>
        <v>2.8445313711182476</v>
      </c>
      <c r="I80" s="521"/>
      <c r="J80" s="540">
        <f>Garden!J87</f>
        <v>0</v>
      </c>
      <c r="K80" s="541">
        <f>Paper!J87</f>
        <v>0</v>
      </c>
      <c r="L80" s="542">
        <f>Wood!J87</f>
        <v>0</v>
      </c>
      <c r="M80" s="543">
        <f>J80*(1-Recovery_OX!E80)*(1-Recovery_OX!F80)</f>
        <v>0</v>
      </c>
      <c r="N80" s="541">
        <f>K80*(1-Recovery_OX!E80)*(1-Recovery_OX!F80)</f>
        <v>0</v>
      </c>
      <c r="O80" s="542">
        <f>L80*(1-Recovery_OX!E80)*(1-Recovery_OX!F80)</f>
        <v>0</v>
      </c>
    </row>
    <row r="81" spans="2:15">
      <c r="B81" s="535">
        <f t="shared" si="1"/>
        <v>2019</v>
      </c>
      <c r="C81" s="536">
        <f>Stored_C!E87</f>
        <v>0</v>
      </c>
      <c r="D81" s="537">
        <f>Stored_C!F87+Stored_C!L87</f>
        <v>0</v>
      </c>
      <c r="E81" s="538">
        <f>Stored_C!G87+Stored_C!M87</f>
        <v>0</v>
      </c>
      <c r="F81" s="539">
        <f>F80+HWP!C81</f>
        <v>0</v>
      </c>
      <c r="G81" s="537">
        <f>G80+HWP!D81</f>
        <v>3.4479168134766645</v>
      </c>
      <c r="H81" s="538">
        <f>H80+HWP!E81</f>
        <v>2.8445313711182476</v>
      </c>
      <c r="I81" s="521"/>
      <c r="J81" s="540">
        <f>Garden!J88</f>
        <v>0</v>
      </c>
      <c r="K81" s="541">
        <f>Paper!J88</f>
        <v>0</v>
      </c>
      <c r="L81" s="542">
        <f>Wood!J88</f>
        <v>0</v>
      </c>
      <c r="M81" s="543">
        <f>J81*(1-Recovery_OX!E81)*(1-Recovery_OX!F81)</f>
        <v>0</v>
      </c>
      <c r="N81" s="541">
        <f>K81*(1-Recovery_OX!E81)*(1-Recovery_OX!F81)</f>
        <v>0</v>
      </c>
      <c r="O81" s="542">
        <f>L81*(1-Recovery_OX!E81)*(1-Recovery_OX!F81)</f>
        <v>0</v>
      </c>
    </row>
    <row r="82" spans="2:15">
      <c r="B82" s="535">
        <f t="shared" si="1"/>
        <v>2020</v>
      </c>
      <c r="C82" s="536">
        <f>Stored_C!E88</f>
        <v>0</v>
      </c>
      <c r="D82" s="537">
        <f>Stored_C!F88+Stored_C!L88</f>
        <v>0</v>
      </c>
      <c r="E82" s="538">
        <f>Stored_C!G88+Stored_C!M88</f>
        <v>0</v>
      </c>
      <c r="F82" s="539">
        <f>F81+HWP!C82</f>
        <v>0</v>
      </c>
      <c r="G82" s="537">
        <f>G81+HWP!D82</f>
        <v>3.4479168134766645</v>
      </c>
      <c r="H82" s="538">
        <f>H81+HWP!E82</f>
        <v>2.8445313711182476</v>
      </c>
      <c r="I82" s="521"/>
      <c r="J82" s="540">
        <f>Garden!J89</f>
        <v>0</v>
      </c>
      <c r="K82" s="541">
        <f>Paper!J89</f>
        <v>0</v>
      </c>
      <c r="L82" s="542">
        <f>Wood!J89</f>
        <v>0</v>
      </c>
      <c r="M82" s="543">
        <f>J82*(1-Recovery_OX!E82)*(1-Recovery_OX!F82)</f>
        <v>0</v>
      </c>
      <c r="N82" s="541">
        <f>K82*(1-Recovery_OX!E82)*(1-Recovery_OX!F82)</f>
        <v>0</v>
      </c>
      <c r="O82" s="542">
        <f>L82*(1-Recovery_OX!E82)*(1-Recovery_OX!F82)</f>
        <v>0</v>
      </c>
    </row>
    <row r="83" spans="2:15">
      <c r="B83" s="535">
        <f t="shared" si="1"/>
        <v>2021</v>
      </c>
      <c r="C83" s="536">
        <f>Stored_C!E89</f>
        <v>0</v>
      </c>
      <c r="D83" s="537">
        <f>Stored_C!F89+Stored_C!L89</f>
        <v>0</v>
      </c>
      <c r="E83" s="538">
        <f>Stored_C!G89+Stored_C!M89</f>
        <v>0</v>
      </c>
      <c r="F83" s="539">
        <f>F82+HWP!C83</f>
        <v>0</v>
      </c>
      <c r="G83" s="537">
        <f>G82+HWP!D83</f>
        <v>3.4479168134766645</v>
      </c>
      <c r="H83" s="538">
        <f>H82+HWP!E83</f>
        <v>2.8445313711182476</v>
      </c>
      <c r="I83" s="521"/>
      <c r="J83" s="540">
        <f>Garden!J90</f>
        <v>0</v>
      </c>
      <c r="K83" s="541">
        <f>Paper!J90</f>
        <v>0</v>
      </c>
      <c r="L83" s="542">
        <f>Wood!J90</f>
        <v>0</v>
      </c>
      <c r="M83" s="543">
        <f>J83*(1-Recovery_OX!E83)*(1-Recovery_OX!F83)</f>
        <v>0</v>
      </c>
      <c r="N83" s="541">
        <f>K83*(1-Recovery_OX!E83)*(1-Recovery_OX!F83)</f>
        <v>0</v>
      </c>
      <c r="O83" s="542">
        <f>L83*(1-Recovery_OX!E83)*(1-Recovery_OX!F83)</f>
        <v>0</v>
      </c>
    </row>
    <row r="84" spans="2:15">
      <c r="B84" s="535">
        <f t="shared" si="1"/>
        <v>2022</v>
      </c>
      <c r="C84" s="536">
        <f>Stored_C!E90</f>
        <v>0</v>
      </c>
      <c r="D84" s="537">
        <f>Stored_C!F90+Stored_C!L90</f>
        <v>0</v>
      </c>
      <c r="E84" s="538">
        <f>Stored_C!G90+Stored_C!M90</f>
        <v>0</v>
      </c>
      <c r="F84" s="539">
        <f>F83+HWP!C84</f>
        <v>0</v>
      </c>
      <c r="G84" s="537">
        <f>G83+HWP!D84</f>
        <v>3.4479168134766645</v>
      </c>
      <c r="H84" s="538">
        <f>H83+HWP!E84</f>
        <v>2.8445313711182476</v>
      </c>
      <c r="I84" s="521"/>
      <c r="J84" s="540">
        <f>Garden!J91</f>
        <v>0</v>
      </c>
      <c r="K84" s="541">
        <f>Paper!J91</f>
        <v>0</v>
      </c>
      <c r="L84" s="542">
        <f>Wood!J91</f>
        <v>0</v>
      </c>
      <c r="M84" s="543">
        <f>J84*(1-Recovery_OX!E84)*(1-Recovery_OX!F84)</f>
        <v>0</v>
      </c>
      <c r="N84" s="541">
        <f>K84*(1-Recovery_OX!E84)*(1-Recovery_OX!F84)</f>
        <v>0</v>
      </c>
      <c r="O84" s="542">
        <f>L84*(1-Recovery_OX!E84)*(1-Recovery_OX!F84)</f>
        <v>0</v>
      </c>
    </row>
    <row r="85" spans="2:15">
      <c r="B85" s="535">
        <f t="shared" si="1"/>
        <v>2023</v>
      </c>
      <c r="C85" s="536">
        <f>Stored_C!E91</f>
        <v>0</v>
      </c>
      <c r="D85" s="537">
        <f>Stored_C!F91+Stored_C!L91</f>
        <v>0</v>
      </c>
      <c r="E85" s="538">
        <f>Stored_C!G91+Stored_C!M91</f>
        <v>0</v>
      </c>
      <c r="F85" s="539">
        <f>F84+HWP!C85</f>
        <v>0</v>
      </c>
      <c r="G85" s="537">
        <f>G84+HWP!D85</f>
        <v>3.4479168134766645</v>
      </c>
      <c r="H85" s="538">
        <f>H84+HWP!E85</f>
        <v>2.8445313711182476</v>
      </c>
      <c r="I85" s="521"/>
      <c r="J85" s="540">
        <f>Garden!J92</f>
        <v>0</v>
      </c>
      <c r="K85" s="541">
        <f>Paper!J92</f>
        <v>0</v>
      </c>
      <c r="L85" s="542">
        <f>Wood!J92</f>
        <v>0</v>
      </c>
      <c r="M85" s="543">
        <f>J85*(1-Recovery_OX!E85)*(1-Recovery_OX!F85)</f>
        <v>0</v>
      </c>
      <c r="N85" s="541">
        <f>K85*(1-Recovery_OX!E85)*(1-Recovery_OX!F85)</f>
        <v>0</v>
      </c>
      <c r="O85" s="542">
        <f>L85*(1-Recovery_OX!E85)*(1-Recovery_OX!F85)</f>
        <v>0</v>
      </c>
    </row>
    <row r="86" spans="2:15">
      <c r="B86" s="535">
        <f t="shared" si="1"/>
        <v>2024</v>
      </c>
      <c r="C86" s="536">
        <f>Stored_C!E92</f>
        <v>0</v>
      </c>
      <c r="D86" s="537">
        <f>Stored_C!F92+Stored_C!L92</f>
        <v>0</v>
      </c>
      <c r="E86" s="538">
        <f>Stored_C!G92+Stored_C!M92</f>
        <v>0</v>
      </c>
      <c r="F86" s="539">
        <f>F85+HWP!C86</f>
        <v>0</v>
      </c>
      <c r="G86" s="537">
        <f>G85+HWP!D86</f>
        <v>3.4479168134766645</v>
      </c>
      <c r="H86" s="538">
        <f>H85+HWP!E86</f>
        <v>2.8445313711182476</v>
      </c>
      <c r="I86" s="521"/>
      <c r="J86" s="540">
        <f>Garden!J93</f>
        <v>0</v>
      </c>
      <c r="K86" s="541">
        <f>Paper!J93</f>
        <v>0</v>
      </c>
      <c r="L86" s="542">
        <f>Wood!J93</f>
        <v>0</v>
      </c>
      <c r="M86" s="543">
        <f>J86*(1-Recovery_OX!E86)*(1-Recovery_OX!F86)</f>
        <v>0</v>
      </c>
      <c r="N86" s="541">
        <f>K86*(1-Recovery_OX!E86)*(1-Recovery_OX!F86)</f>
        <v>0</v>
      </c>
      <c r="O86" s="542">
        <f>L86*(1-Recovery_OX!E86)*(1-Recovery_OX!F86)</f>
        <v>0</v>
      </c>
    </row>
    <row r="87" spans="2:15">
      <c r="B87" s="535">
        <f t="shared" si="1"/>
        <v>2025</v>
      </c>
      <c r="C87" s="536">
        <f>Stored_C!E93</f>
        <v>0</v>
      </c>
      <c r="D87" s="537">
        <f>Stored_C!F93+Stored_C!L93</f>
        <v>0</v>
      </c>
      <c r="E87" s="538">
        <f>Stored_C!G93+Stored_C!M93</f>
        <v>0</v>
      </c>
      <c r="F87" s="539">
        <f>F86+HWP!C87</f>
        <v>0</v>
      </c>
      <c r="G87" s="537">
        <f>G86+HWP!D87</f>
        <v>3.4479168134766645</v>
      </c>
      <c r="H87" s="538">
        <f>H86+HWP!E87</f>
        <v>2.8445313711182476</v>
      </c>
      <c r="I87" s="521"/>
      <c r="J87" s="540">
        <f>Garden!J94</f>
        <v>0</v>
      </c>
      <c r="K87" s="541">
        <f>Paper!J94</f>
        <v>0</v>
      </c>
      <c r="L87" s="542">
        <f>Wood!J94</f>
        <v>0</v>
      </c>
      <c r="M87" s="543">
        <f>J87*(1-Recovery_OX!E87)*(1-Recovery_OX!F87)</f>
        <v>0</v>
      </c>
      <c r="N87" s="541">
        <f>K87*(1-Recovery_OX!E87)*(1-Recovery_OX!F87)</f>
        <v>0</v>
      </c>
      <c r="O87" s="542">
        <f>L87*(1-Recovery_OX!E87)*(1-Recovery_OX!F87)</f>
        <v>0</v>
      </c>
    </row>
    <row r="88" spans="2:15">
      <c r="B88" s="535">
        <f t="shared" si="1"/>
        <v>2026</v>
      </c>
      <c r="C88" s="536">
        <f>Stored_C!E94</f>
        <v>0</v>
      </c>
      <c r="D88" s="537">
        <f>Stored_C!F94+Stored_C!L94</f>
        <v>0</v>
      </c>
      <c r="E88" s="538">
        <f>Stored_C!G94+Stored_C!M94</f>
        <v>0</v>
      </c>
      <c r="F88" s="539">
        <f>F87+HWP!C88</f>
        <v>0</v>
      </c>
      <c r="G88" s="537">
        <f>G87+HWP!D88</f>
        <v>3.4479168134766645</v>
      </c>
      <c r="H88" s="538">
        <f>H87+HWP!E88</f>
        <v>2.8445313711182476</v>
      </c>
      <c r="I88" s="521"/>
      <c r="J88" s="540">
        <f>Garden!J95</f>
        <v>0</v>
      </c>
      <c r="K88" s="541">
        <f>Paper!J95</f>
        <v>0</v>
      </c>
      <c r="L88" s="542">
        <f>Wood!J95</f>
        <v>0</v>
      </c>
      <c r="M88" s="543">
        <f>J88*(1-Recovery_OX!E88)*(1-Recovery_OX!F88)</f>
        <v>0</v>
      </c>
      <c r="N88" s="541">
        <f>K88*(1-Recovery_OX!E88)*(1-Recovery_OX!F88)</f>
        <v>0</v>
      </c>
      <c r="O88" s="542">
        <f>L88*(1-Recovery_OX!E88)*(1-Recovery_OX!F88)</f>
        <v>0</v>
      </c>
    </row>
    <row r="89" spans="2:15">
      <c r="B89" s="535">
        <f t="shared" si="1"/>
        <v>2027</v>
      </c>
      <c r="C89" s="536">
        <f>Stored_C!E95</f>
        <v>0</v>
      </c>
      <c r="D89" s="537">
        <f>Stored_C!F95+Stored_C!L95</f>
        <v>0</v>
      </c>
      <c r="E89" s="538">
        <f>Stored_C!G95+Stored_C!M95</f>
        <v>0</v>
      </c>
      <c r="F89" s="539">
        <f>F88+HWP!C89</f>
        <v>0</v>
      </c>
      <c r="G89" s="537">
        <f>G88+HWP!D89</f>
        <v>3.4479168134766645</v>
      </c>
      <c r="H89" s="538">
        <f>H88+HWP!E89</f>
        <v>2.8445313711182476</v>
      </c>
      <c r="I89" s="521"/>
      <c r="J89" s="540">
        <f>Garden!J96</f>
        <v>0</v>
      </c>
      <c r="K89" s="541">
        <f>Paper!J96</f>
        <v>0</v>
      </c>
      <c r="L89" s="542">
        <f>Wood!J96</f>
        <v>0</v>
      </c>
      <c r="M89" s="543">
        <f>J89*(1-Recovery_OX!E89)*(1-Recovery_OX!F89)</f>
        <v>0</v>
      </c>
      <c r="N89" s="541">
        <f>K89*(1-Recovery_OX!E89)*(1-Recovery_OX!F89)</f>
        <v>0</v>
      </c>
      <c r="O89" s="542">
        <f>L89*(1-Recovery_OX!E89)*(1-Recovery_OX!F89)</f>
        <v>0</v>
      </c>
    </row>
    <row r="90" spans="2:15">
      <c r="B90" s="535">
        <f t="shared" si="1"/>
        <v>2028</v>
      </c>
      <c r="C90" s="536">
        <f>Stored_C!E96</f>
        <v>0</v>
      </c>
      <c r="D90" s="537">
        <f>Stored_C!F96+Stored_C!L96</f>
        <v>0</v>
      </c>
      <c r="E90" s="538">
        <f>Stored_C!G96+Stored_C!M96</f>
        <v>0</v>
      </c>
      <c r="F90" s="539">
        <f>F89+HWP!C90</f>
        <v>0</v>
      </c>
      <c r="G90" s="537">
        <f>G89+HWP!D90</f>
        <v>3.4479168134766645</v>
      </c>
      <c r="H90" s="538">
        <f>H89+HWP!E90</f>
        <v>2.8445313711182476</v>
      </c>
      <c r="I90" s="521"/>
      <c r="J90" s="540">
        <f>Garden!J97</f>
        <v>0</v>
      </c>
      <c r="K90" s="541">
        <f>Paper!J97</f>
        <v>0</v>
      </c>
      <c r="L90" s="542">
        <f>Wood!J97</f>
        <v>0</v>
      </c>
      <c r="M90" s="543">
        <f>J90*(1-Recovery_OX!E90)*(1-Recovery_OX!F90)</f>
        <v>0</v>
      </c>
      <c r="N90" s="541">
        <f>K90*(1-Recovery_OX!E90)*(1-Recovery_OX!F90)</f>
        <v>0</v>
      </c>
      <c r="O90" s="542">
        <f>L90*(1-Recovery_OX!E90)*(1-Recovery_OX!F90)</f>
        <v>0</v>
      </c>
    </row>
    <row r="91" spans="2:15">
      <c r="B91" s="535">
        <f t="shared" si="1"/>
        <v>2029</v>
      </c>
      <c r="C91" s="536">
        <f>Stored_C!E97</f>
        <v>0</v>
      </c>
      <c r="D91" s="537">
        <f>Stored_C!F97+Stored_C!L97</f>
        <v>0</v>
      </c>
      <c r="E91" s="538">
        <f>Stored_C!G97+Stored_C!M97</f>
        <v>0</v>
      </c>
      <c r="F91" s="539">
        <f>F90+HWP!C91</f>
        <v>0</v>
      </c>
      <c r="G91" s="537">
        <f>G90+HWP!D91</f>
        <v>3.4479168134766645</v>
      </c>
      <c r="H91" s="538">
        <f>H90+HWP!E91</f>
        <v>2.8445313711182476</v>
      </c>
      <c r="I91" s="521"/>
      <c r="J91" s="540">
        <f>Garden!J98</f>
        <v>0</v>
      </c>
      <c r="K91" s="541">
        <f>Paper!J98</f>
        <v>0</v>
      </c>
      <c r="L91" s="542">
        <f>Wood!J98</f>
        <v>0</v>
      </c>
      <c r="M91" s="543">
        <f>J91*(1-Recovery_OX!E91)*(1-Recovery_OX!F91)</f>
        <v>0</v>
      </c>
      <c r="N91" s="541">
        <f>K91*(1-Recovery_OX!E91)*(1-Recovery_OX!F91)</f>
        <v>0</v>
      </c>
      <c r="O91" s="542">
        <f>L91*(1-Recovery_OX!E91)*(1-Recovery_OX!F91)</f>
        <v>0</v>
      </c>
    </row>
    <row r="92" spans="2:15" ht="13.5" thickBot="1">
      <c r="B92" s="544">
        <f t="shared" si="1"/>
        <v>2030</v>
      </c>
      <c r="C92" s="545">
        <f>Stored_C!E98</f>
        <v>0</v>
      </c>
      <c r="D92" s="546">
        <f>Stored_C!F98+Stored_C!L98</f>
        <v>0</v>
      </c>
      <c r="E92" s="547">
        <f>Stored_C!G98+Stored_C!M98</f>
        <v>0</v>
      </c>
      <c r="F92" s="548">
        <f>F91+HWP!C92</f>
        <v>0</v>
      </c>
      <c r="G92" s="546">
        <f>G91+HWP!D92</f>
        <v>3.4479168134766645</v>
      </c>
      <c r="H92" s="547">
        <f>H91+HWP!E92</f>
        <v>2.8445313711182476</v>
      </c>
      <c r="I92" s="521"/>
      <c r="J92" s="549">
        <f>Garden!J99</f>
        <v>0</v>
      </c>
      <c r="K92" s="550">
        <f>Paper!J99</f>
        <v>0</v>
      </c>
      <c r="L92" s="551">
        <f>Wood!J99</f>
        <v>0</v>
      </c>
      <c r="M92" s="552">
        <f>J92*(1-Recovery_OX!E92)*(1-Recovery_OX!F92)</f>
        <v>0</v>
      </c>
      <c r="N92" s="550">
        <f>K92*(1-Recovery_OX!E92)*(1-Recovery_OX!F92)</f>
        <v>0</v>
      </c>
      <c r="O92" s="551">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2017-09-14T07:01:51Z</dcterms:modified>
</cp:coreProperties>
</file>