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ba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12" i="1"/>
  <c r="C11" i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F42" i="1" l="1"/>
  <c r="F45" i="1"/>
  <c r="F48" i="1"/>
  <c r="F47" i="1"/>
  <c r="F46" i="1"/>
  <c r="F44" i="1"/>
  <c r="F43" i="1"/>
  <c r="F41" i="1"/>
  <c r="F56" i="1" s="1"/>
  <c r="F40" i="1"/>
  <c r="H41" i="1"/>
  <c r="E41" i="1"/>
  <c r="G41" i="1"/>
  <c r="C41" i="1"/>
  <c r="D41" i="1"/>
  <c r="D40" i="1"/>
  <c r="H40" i="1"/>
  <c r="G40" i="1"/>
  <c r="E40" i="1"/>
  <c r="C40" i="1"/>
  <c r="G47" i="1"/>
  <c r="E47" i="1"/>
  <c r="C47" i="1"/>
  <c r="D47" i="1"/>
  <c r="H47" i="1"/>
  <c r="G43" i="1"/>
  <c r="E43" i="1"/>
  <c r="C43" i="1"/>
  <c r="D43" i="1"/>
  <c r="H43" i="1"/>
  <c r="H45" i="1"/>
  <c r="D45" i="1"/>
  <c r="G45" i="1"/>
  <c r="E45" i="1"/>
  <c r="C45" i="1"/>
  <c r="D48" i="1"/>
  <c r="G48" i="1"/>
  <c r="H48" i="1"/>
  <c r="E48" i="1"/>
  <c r="C48" i="1"/>
  <c r="D44" i="1"/>
  <c r="H44" i="1"/>
  <c r="E44" i="1"/>
  <c r="C44" i="1"/>
  <c r="G44" i="1"/>
  <c r="G46" i="1"/>
  <c r="E46" i="1"/>
  <c r="C46" i="1"/>
  <c r="H46" i="1"/>
  <c r="D46" i="1"/>
  <c r="G42" i="1"/>
  <c r="E42" i="1"/>
  <c r="C42" i="1"/>
  <c r="D42" i="1"/>
  <c r="H42" i="1"/>
  <c r="B41" i="1" l="1"/>
  <c r="B44" i="1"/>
  <c r="B65" i="1" s="1"/>
  <c r="F59" i="1"/>
  <c r="B46" i="1"/>
  <c r="F61" i="1"/>
  <c r="B47" i="1"/>
  <c r="F62" i="1"/>
  <c r="B40" i="1"/>
  <c r="F55" i="1"/>
  <c r="B42" i="1"/>
  <c r="F57" i="1"/>
  <c r="B48" i="1"/>
  <c r="F63" i="1"/>
  <c r="B45" i="1"/>
  <c r="F60" i="1"/>
  <c r="B43" i="1"/>
  <c r="F58" i="1"/>
  <c r="J44" i="1"/>
  <c r="M15" i="1"/>
  <c r="M14" i="1" s="1"/>
  <c r="M13" i="1" s="1"/>
  <c r="M12" i="1" s="1"/>
  <c r="M11" i="1" s="1"/>
  <c r="M10" i="1" s="1"/>
  <c r="M9" i="1" s="1"/>
  <c r="M8" i="1" s="1"/>
  <c r="M7" i="1" s="1"/>
  <c r="J47" i="1" l="1"/>
  <c r="B68" i="1"/>
  <c r="J48" i="1"/>
  <c r="B69" i="1"/>
  <c r="J42" i="1"/>
  <c r="B63" i="1"/>
  <c r="J43" i="1"/>
  <c r="B64" i="1"/>
  <c r="J40" i="1"/>
  <c r="B61" i="1"/>
  <c r="J45" i="1"/>
  <c r="B66" i="1"/>
  <c r="J46" i="1"/>
  <c r="B67" i="1"/>
  <c r="J41" i="1"/>
  <c r="B62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F30" i="1" s="1"/>
  <c r="D7" i="4"/>
  <c r="E7" i="4" s="1"/>
  <c r="I41" i="2" s="1"/>
  <c r="D8" i="4"/>
  <c r="E8" i="4" s="1"/>
  <c r="I32" i="1" s="1"/>
  <c r="D9" i="4"/>
  <c r="E9" i="4" s="1"/>
  <c r="I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L7" i="4"/>
  <c r="L8" i="4" s="1"/>
  <c r="J7" i="4"/>
  <c r="J8" i="4" s="1"/>
  <c r="B29" i="1" l="1"/>
  <c r="B50" i="1" s="1"/>
  <c r="F29" i="1"/>
  <c r="C32" i="1"/>
  <c r="F32" i="1"/>
  <c r="C33" i="1"/>
  <c r="F33" i="1"/>
  <c r="I39" i="2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F31" i="1" s="1"/>
  <c r="I40" i="2"/>
  <c r="I36" i="1"/>
  <c r="I35" i="1"/>
  <c r="E32" i="1"/>
  <c r="I42" i="2"/>
  <c r="B30" i="1"/>
  <c r="B51" i="1" s="1"/>
  <c r="E30" i="1"/>
  <c r="I34" i="1"/>
  <c r="F34" i="1" s="1"/>
  <c r="I37" i="1"/>
  <c r="I47" i="2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F36" i="1" l="1"/>
  <c r="C37" i="1"/>
  <c r="F37" i="1"/>
  <c r="F52" i="1" s="1"/>
  <c r="C39" i="1"/>
  <c r="F39" i="1"/>
  <c r="F54" i="1" s="1"/>
  <c r="C38" i="1"/>
  <c r="F38" i="1"/>
  <c r="F35" i="1"/>
  <c r="F50" i="1" s="1"/>
  <c r="J32" i="1"/>
  <c r="J30" i="1"/>
  <c r="J33" i="1"/>
  <c r="E29" i="1"/>
  <c r="C34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H31" i="1"/>
  <c r="D36" i="1"/>
  <c r="B31" i="1"/>
  <c r="B52" i="1" s="1"/>
  <c r="E34" i="1"/>
  <c r="D34" i="1"/>
  <c r="B34" i="1"/>
  <c r="B55" i="1" s="1"/>
  <c r="D38" i="1"/>
  <c r="E38" i="1"/>
  <c r="G38" i="1"/>
  <c r="D37" i="1"/>
  <c r="E37" i="1"/>
  <c r="G37" i="1"/>
  <c r="H37" i="1"/>
  <c r="H29" i="1"/>
  <c r="C29" i="1"/>
  <c r="G29" i="1"/>
  <c r="H38" i="1"/>
  <c r="E39" i="1"/>
  <c r="G39" i="1"/>
  <c r="H39" i="1"/>
  <c r="D39" i="1"/>
  <c r="I7" i="1"/>
  <c r="I8" i="1"/>
  <c r="I9" i="1"/>
  <c r="I10" i="1"/>
  <c r="I11" i="1"/>
  <c r="I12" i="1"/>
  <c r="I13" i="1"/>
  <c r="I14" i="1"/>
  <c r="I15" i="1"/>
  <c r="I16" i="1"/>
  <c r="B35" i="1" l="1"/>
  <c r="B56" i="1" s="1"/>
  <c r="B37" i="1"/>
  <c r="B58" i="1" s="1"/>
  <c r="B36" i="1"/>
  <c r="B57" i="1" s="1"/>
  <c r="F51" i="1"/>
  <c r="B38" i="1"/>
  <c r="F53" i="1"/>
  <c r="F64" i="1" s="1"/>
  <c r="F65" i="1" s="1"/>
  <c r="B39" i="1"/>
  <c r="J31" i="1"/>
  <c r="J29" i="1"/>
  <c r="J37" i="1"/>
  <c r="J34" i="1"/>
  <c r="J36" i="1"/>
  <c r="J39" i="1" l="1"/>
  <c r="B60" i="1"/>
  <c r="J35" i="1"/>
  <c r="J38" i="1"/>
  <c r="B59" i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<sst xmlns="http://schemas.openxmlformats.org/spreadsheetml/2006/main" count="302" uniqueCount="155">
  <si>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</si>
  <si>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</si>
  <si>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</si>
  <si>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</si>
  <si>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</si>
  <si>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</si>
  <si>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</si>
  <si>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</si>
  <si>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</si>
  <si>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</si>
  <si>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</si>
  <si>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</si>
  <si>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</si>
  <si>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</si>
  <si>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</si>
  <si>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</si>
  <si>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</si>
  <si>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</si>
  <si>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</si>
  <si>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</si>
  <si>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</si>
  <si>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</si>
  <si>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</si>
  <si>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</si>
  <si>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</si>
  <si>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</si>
  <si>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</si>
  <si>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</si>
  <si>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</si>
  <si>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</si>
  <si>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</si>
  <si>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</si>
  <si>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</si>
  <si>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</si>
  <si>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</si>
  <si>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</si>
  <si>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</si>
  <si>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</si>
  <si>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</si>
  <si>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</si>
  <si>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</si>
  <si>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</si>
  <si>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</si>
  <si>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</si>
  <si>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</si>
  <si>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</si>
  <si>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</si>
  <si>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</si>
  <si>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</si>
  <si>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</si>
  <si>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</si>
  <si>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</si>
  <si>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</si>
  <si>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</si>
  <si>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</si>
  <si>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</si>
  <si>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</si>
  <si>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</si>
  <si>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</si>
  <si>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</si>
  <si>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</si>
  <si>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</si>
  <si>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</si>
  <si>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</si>
  <si>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</si>
  <si>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</si>
  <si>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</si>
  <si>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</si>
  <si>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</si>
  <si>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</si>
  <si>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</si>
  <si>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</si>
  <si>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</si>
  <si>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</si>
  <si>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</si>
  <si>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</si>
  <si>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</si>
  <si>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</si>
  <si>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</si>
  <si>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</si>
  <si>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</si>
  <si>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</si>
  <si>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</si>
  <si>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</si>
  <si>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</si>
  <si>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</si>
  <si>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</si>
  <si>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</si>
  <si>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</si>
  <si>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</si>
  <si>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</si>
  <si>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</si>
  <si>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</si>
  <si>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</si>
  <si>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</si>
  <si>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</si>
  <si>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</si>
  <si>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</si>
  <si>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</si>
  <si>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</si>
  <si>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</si>
  <si>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</si>
  <si>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</si>
  <si>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</si>
  <si>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</si>
  <si>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</si>
  <si>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</si>
  <si>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</si>
  <si>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</si>
  <si>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</si>
  <si>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</si>
  <si>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</si>
  <si>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</si>
  <si>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</si>
  <si>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</si>
  <si>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</si>
  <si>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</si>
  <si>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</si>
  <si>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</si>
  <si>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</si>
  <si>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</si>
  <si>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</si>
  <si>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</si>
  <si>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</si>
  <si>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</si>
  <si>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</si>
  <si>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</si>
  <si>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</si>
  <si>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</si>
  <si>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</si>
  <si>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</si>
  <si>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</si>
  <si>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</si>
  <si>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</si>
  <si>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</si>
  <si>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</si>
  <si>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</si>
  <si>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</si>
  <si>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</si>
  <si>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</si>
  <si>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</si>
  <si>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</si>
  <si>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</si>
  <si>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</si>
  <si>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</si>
  <si>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</si>
  <si>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</si>
  <si>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</si>
  <si>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</si>
  <si>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</si>
  <si>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</si>
  <si>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</si>
  <si>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</si>
  <si>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KUTAI BARAT</t>
  </si>
  <si>
    <t xml:space="preserve">3R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</si>
</sst>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1" applyNumberFormat="1" applyFont="1" applyBorder="1" applyAlignment="1">
      <alignment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6.7869446400000005E-2</c:v>
                </c:pt>
                <c:pt idx="1">
                  <c:v>6.8387967899999999E-2</c:v>
                </c:pt>
                <c:pt idx="2">
                  <c:v>6.882620220000002E-2</c:v>
                </c:pt>
                <c:pt idx="3">
                  <c:v>6.9243886800000001E-2</c:v>
                </c:pt>
                <c:pt idx="4">
                  <c:v>6.9695980200000007E-2</c:v>
                </c:pt>
                <c:pt idx="5">
                  <c:v>6.9920115300000002E-2</c:v>
                </c:pt>
                <c:pt idx="6">
                  <c:v>7.436429533417499E-2</c:v>
                </c:pt>
                <c:pt idx="7">
                  <c:v>7.6625604870351693E-2</c:v>
                </c:pt>
                <c:pt idx="8">
                  <c:v>7.8955406651205262E-2</c:v>
                </c:pt>
                <c:pt idx="9">
                  <c:v>8.135576798601156E-2</c:v>
                </c:pt>
                <c:pt idx="10">
                  <c:v>8.3828818387849363E-2</c:v>
                </c:pt>
                <c:pt idx="11">
                  <c:v>8.6376751440045307E-2</c:v>
                </c:pt>
                <c:pt idx="12">
                  <c:v>8.9001826718480892E-2</c:v>
                </c:pt>
                <c:pt idx="13">
                  <c:v>9.1706371771430067E-2</c:v>
                </c:pt>
                <c:pt idx="14">
                  <c:v>9.4492784158645315E-2</c:v>
                </c:pt>
                <c:pt idx="15">
                  <c:v>9.7363533551460449E-2</c:v>
                </c:pt>
                <c:pt idx="16">
                  <c:v>0.10032116389573323</c:v>
                </c:pt>
                <c:pt idx="17">
                  <c:v>0.10336829563950237</c:v>
                </c:pt>
                <c:pt idx="18">
                  <c:v>0.10650762802729202</c:v>
                </c:pt>
                <c:pt idx="19">
                  <c:v>0.10970052899999999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0.10056431242960544</c:v>
                </c:pt>
                <c:pt idx="8">
                  <c:v>0.17925281978271634</c:v>
                </c:pt>
                <c:pt idx="9">
                  <c:v>0.24366213234561712</c:v>
                </c:pt>
                <c:pt idx="10">
                  <c:v>0.2989768694799681</c:v>
                </c:pt>
                <c:pt idx="11">
                  <c:v>0.34876237855931458</c:v>
                </c:pt>
                <c:pt idx="12">
                  <c:v>0.39549735490672228</c:v>
                </c:pt>
                <c:pt idx="13">
                  <c:v>0.44093198440752002</c:v>
                </c:pt>
                <c:pt idx="14">
                  <c:v>0.48632902751354989</c:v>
                </c:pt>
                <c:pt idx="15">
                  <c:v>0.53262635484344867</c:v>
                </c:pt>
                <c:pt idx="16">
                  <c:v>0.58054676689965523</c:v>
                </c:pt>
                <c:pt idx="17">
                  <c:v>0.63067242987493366</c:v>
                </c:pt>
                <c:pt idx="18">
                  <c:v>0.6834955594043024</c:v>
                </c:pt>
                <c:pt idx="19">
                  <c:v>0.73945316153727314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10.925175480860618</c:v>
                </c:pt>
                <c:pt idx="1">
                  <c:v>10.512921702856604</c:v>
                </c:pt>
                <c:pt idx="2">
                  <c:v>10.266836209123843</c:v>
                </c:pt>
                <c:pt idx="3">
                  <c:v>10.1292479912667</c:v>
                </c:pt>
                <c:pt idx="4">
                  <c:v>10.063518550878364</c:v>
                </c:pt>
                <c:pt idx="5">
                  <c:v>10.047040448598796</c:v>
                </c:pt>
                <c:pt idx="6">
                  <c:v>10.055072496234938</c:v>
                </c:pt>
                <c:pt idx="7">
                  <c:v>10.058109263518739</c:v>
                </c:pt>
                <c:pt idx="8">
                  <c:v>10.131164072583084</c:v>
                </c:pt>
                <c:pt idx="9">
                  <c:v>10.25389632280239</c:v>
                </c:pt>
                <c:pt idx="10">
                  <c:v>10.412460470645687</c:v>
                </c:pt>
                <c:pt idx="11">
                  <c:v>10.597390722711836</c:v>
                </c:pt>
                <c:pt idx="12">
                  <c:v>10.802177948664156</c:v>
                </c:pt>
                <c:pt idx="13">
                  <c:v>11.022311307479988</c:v>
                </c:pt>
                <c:pt idx="14">
                  <c:v>11.254631966841085</c:v>
                </c:pt>
                <c:pt idx="15">
                  <c:v>11.496896511182484</c:v>
                </c:pt>
                <c:pt idx="16">
                  <c:v>11.747481309499337</c:v>
                </c:pt>
                <c:pt idx="17">
                  <c:v>12.00518170003309</c:v>
                </c:pt>
                <c:pt idx="18">
                  <c:v>12.269074999403379</c:v>
                </c:pt>
                <c:pt idx="19">
                  <c:v>12.538426508270193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0.33200855520000006</c:v>
                </c:pt>
                <c:pt idx="1">
                  <c:v>0.33454509532499999</c:v>
                </c:pt>
                <c:pt idx="2">
                  <c:v>0.33668888085000004</c:v>
                </c:pt>
                <c:pt idx="3">
                  <c:v>0.33873213989999995</c:v>
                </c:pt>
                <c:pt idx="4">
                  <c:v>0.34094372235000003</c:v>
                </c:pt>
                <c:pt idx="5">
                  <c:v>0.342040162275</c:v>
                </c:pt>
                <c:pt idx="6">
                  <c:v>0.35370006446249996</c:v>
                </c:pt>
                <c:pt idx="7">
                  <c:v>0.35435640883124997</c:v>
                </c:pt>
                <c:pt idx="8">
                  <c:v>0.35501275320000003</c:v>
                </c:pt>
                <c:pt idx="9">
                  <c:v>0.35566909756875004</c:v>
                </c:pt>
                <c:pt idx="10">
                  <c:v>0.35632544193749999</c:v>
                </c:pt>
                <c:pt idx="11">
                  <c:v>0.35698178630624999</c:v>
                </c:pt>
                <c:pt idx="12">
                  <c:v>0.35763813067499994</c:v>
                </c:pt>
                <c:pt idx="13">
                  <c:v>0.35829447504375</c:v>
                </c:pt>
                <c:pt idx="14">
                  <c:v>0.35895081941249996</c:v>
                </c:pt>
                <c:pt idx="15">
                  <c:v>0.35960716378125002</c:v>
                </c:pt>
                <c:pt idx="16">
                  <c:v>0.36026350814999991</c:v>
                </c:pt>
                <c:pt idx="17">
                  <c:v>0.36091985251874997</c:v>
                </c:pt>
                <c:pt idx="18">
                  <c:v>0.36157619688749998</c:v>
                </c:pt>
                <c:pt idx="19">
                  <c:v>0.36223254125624998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789712"/>
        <c:axId val="305790104"/>
        <c:axId val="0"/>
      </c:bar3DChart>
      <c:catAx>
        <c:axId val="3057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790104"/>
        <c:crosses val="autoZero"/>
        <c:auto val="1"/>
        <c:lblAlgn val="ctr"/>
        <c:lblOffset val="100"/>
        <c:noMultiLvlLbl val="0"/>
      </c:catAx>
      <c:valAx>
        <c:axId val="3057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78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1.5630999155199996</c:v>
                </c:pt>
                <c:pt idx="1">
                  <c:v>1.5182975214000003</c:v>
                </c:pt>
                <c:pt idx="2">
                  <c:v>1.5064184044800002</c:v>
                </c:pt>
                <c:pt idx="3">
                  <c:v>1.5492049969104766</c:v>
                </c:pt>
                <c:pt idx="4">
                  <c:v>1.5593197577466669</c:v>
                </c:pt>
                <c:pt idx="5">
                  <c:v>1.5643343696200003</c:v>
                </c:pt>
                <c:pt idx="6">
                  <c:v>1.6176613988699997</c:v>
                </c:pt>
                <c:pt idx="7">
                  <c:v>1.6206632161054764</c:v>
                </c:pt>
                <c:pt idx="8">
                  <c:v>1.6236650333409526</c:v>
                </c:pt>
                <c:pt idx="9">
                  <c:v>1.6266668505764288</c:v>
                </c:pt>
                <c:pt idx="10">
                  <c:v>1.6296686678119048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3.1156989083136</c:v>
                </c:pt>
                <c:pt idx="1">
                  <c:v>3.1395027988295996</c:v>
                </c:pt>
                <c:pt idx="2">
                  <c:v>3.1596209256528001</c:v>
                </c:pt>
                <c:pt idx="3">
                  <c:v>3.1787956724831998</c:v>
                </c:pt>
                <c:pt idx="4">
                  <c:v>3.1995500323248001</c:v>
                </c:pt>
                <c:pt idx="5">
                  <c:v>3.2098394559672005</c:v>
                </c:pt>
                <c:pt idx="6">
                  <c:v>3.3192605655972001</c:v>
                </c:pt>
                <c:pt idx="7">
                  <c:v>3.3254199593873999</c:v>
                </c:pt>
                <c:pt idx="8">
                  <c:v>3.3315793531776006</c:v>
                </c:pt>
                <c:pt idx="9">
                  <c:v>3.3377387469677999</c:v>
                </c:pt>
                <c:pt idx="10">
                  <c:v>3.3438981407579997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791280"/>
        <c:axId val="305791672"/>
        <c:axId val="0"/>
      </c:bar3DChart>
      <c:catAx>
        <c:axId val="3057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1672"/>
        <c:crosses val="autoZero"/>
        <c:auto val="1"/>
        <c:lblAlgn val="ctr"/>
        <c:lblOffset val="100"/>
        <c:noMultiLvlLbl val="0"/>
      </c:catAx>
      <c:valAx>
        <c:axId val="3057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1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4678.7988238335993</c:v>
                </c:pt>
                <c:pt idx="1">
                  <c:v>4657.8003202296004</c:v>
                </c:pt>
                <c:pt idx="2">
                  <c:v>4666.0393301328004</c:v>
                </c:pt>
                <c:pt idx="3">
                  <c:v>4728.0006693936766</c:v>
                </c:pt>
                <c:pt idx="4">
                  <c:v>4758.8697900714669</c:v>
                </c:pt>
                <c:pt idx="5">
                  <c:v>4774.1738255872006</c:v>
                </c:pt>
                <c:pt idx="6">
                  <c:v>4936.9219644671994</c:v>
                </c:pt>
                <c:pt idx="7">
                  <c:v>4946.0831754928759</c:v>
                </c:pt>
                <c:pt idx="8">
                  <c:v>4955.2443865185523</c:v>
                </c:pt>
                <c:pt idx="9">
                  <c:v>4964.4055975442288</c:v>
                </c:pt>
                <c:pt idx="10">
                  <c:v>4973.5668085699044</c:v>
                </c:pt>
                <c:pt idx="11">
                  <c:v>4982.7280195955818</c:v>
                </c:pt>
                <c:pt idx="12">
                  <c:v>4991.8892306212574</c:v>
                </c:pt>
                <c:pt idx="13">
                  <c:v>5001.0504416469339</c:v>
                </c:pt>
                <c:pt idx="14">
                  <c:v>5010.2116526726104</c:v>
                </c:pt>
                <c:pt idx="15">
                  <c:v>5019.372863698286</c:v>
                </c:pt>
                <c:pt idx="16">
                  <c:v>5028.5340747239625</c:v>
                </c:pt>
                <c:pt idx="17">
                  <c:v>5037.6952857496381</c:v>
                </c:pt>
                <c:pt idx="18">
                  <c:v>5046.8564967753146</c:v>
                </c:pt>
                <c:pt idx="19">
                  <c:v>5056.0177078009901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92848"/>
        <c:axId val="305793240"/>
      </c:lineChart>
      <c:catAx>
        <c:axId val="3057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3240"/>
        <c:crosses val="autoZero"/>
        <c:auto val="1"/>
        <c:lblAlgn val="ctr"/>
        <c:lblOffset val="100"/>
        <c:noMultiLvlLbl val="0"/>
      </c:catAx>
      <c:valAx>
        <c:axId val="3057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19072.561662750766</c:v>
                </c:pt>
                <c:pt idx="1">
                  <c:v>18371.016198895071</c:v>
                </c:pt>
                <c:pt idx="2">
                  <c:v>17953.002999346259</c:v>
                </c:pt>
                <c:pt idx="3">
                  <c:v>17720.306048091163</c:v>
                </c:pt>
                <c:pt idx="4">
                  <c:v>17610.628732279656</c:v>
                </c:pt>
                <c:pt idx="5">
                  <c:v>17583.785879473086</c:v>
                </c:pt>
                <c:pt idx="6">
                  <c:v>17613.61787708832</c:v>
                </c:pt>
                <c:pt idx="7">
                  <c:v>17547.406807705767</c:v>
                </c:pt>
                <c:pt idx="8">
                  <c:v>17530.933251835813</c:v>
                </c:pt>
                <c:pt idx="9">
                  <c:v>17548.987826718567</c:v>
                </c:pt>
                <c:pt idx="10">
                  <c:v>17591.321636312645</c:v>
                </c:pt>
                <c:pt idx="11">
                  <c:v>17651.004310396729</c:v>
                </c:pt>
                <c:pt idx="12">
                  <c:v>17723.322013803685</c:v>
                </c:pt>
                <c:pt idx="13">
                  <c:v>17805.037484804405</c:v>
                </c:pt>
                <c:pt idx="14">
                  <c:v>17893.892798340526</c:v>
                </c:pt>
                <c:pt idx="15">
                  <c:v>17988.274858529927</c:v>
                </c:pt>
                <c:pt idx="16">
                  <c:v>18086.989977064404</c:v>
                </c:pt>
                <c:pt idx="17">
                  <c:v>18189.111560773559</c:v>
                </c:pt>
                <c:pt idx="18">
                  <c:v>18293.87677574627</c:v>
                </c:pt>
                <c:pt idx="19">
                  <c:v>18400.574583712441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94024"/>
        <c:axId val="305794416"/>
      </c:lineChart>
      <c:catAx>
        <c:axId val="30579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4416"/>
        <c:crosses val="autoZero"/>
        <c:auto val="1"/>
        <c:lblAlgn val="ctr"/>
        <c:lblOffset val="100"/>
        <c:noMultiLvlLbl val="0"/>
      </c:catAx>
      <c:valAx>
        <c:axId val="305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19</xdr:col>
      <xdr:colOff>470647</xdr:colOff>
      <xdr:row>48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D14">
            <v>142016</v>
          </cell>
        </row>
        <row r="15">
          <cell r="D15">
            <v>143101</v>
          </cell>
        </row>
        <row r="16">
          <cell r="D16">
            <v>144018</v>
          </cell>
        </row>
        <row r="17">
          <cell r="D17">
            <v>144892</v>
          </cell>
        </row>
        <row r="18">
          <cell r="D18">
            <v>145838</v>
          </cell>
        </row>
        <row r="19">
          <cell r="D19">
            <v>146307</v>
          </cell>
        </row>
        <row r="20">
          <cell r="D20">
            <v>151294.5</v>
          </cell>
        </row>
        <row r="21">
          <cell r="D21">
            <v>151575.25</v>
          </cell>
        </row>
        <row r="22">
          <cell r="D22">
            <v>151856</v>
          </cell>
        </row>
        <row r="23">
          <cell r="D23">
            <v>152136.75</v>
          </cell>
        </row>
        <row r="24">
          <cell r="D24">
            <v>152417.5</v>
          </cell>
        </row>
        <row r="25">
          <cell r="D25">
            <v>152698.25</v>
          </cell>
        </row>
        <row r="26">
          <cell r="D26">
            <v>152979</v>
          </cell>
        </row>
        <row r="27">
          <cell r="D27">
            <v>153259.75</v>
          </cell>
        </row>
        <row r="28">
          <cell r="D28">
            <v>153540.5</v>
          </cell>
        </row>
        <row r="29">
          <cell r="D29">
            <v>153821.25</v>
          </cell>
        </row>
        <row r="30">
          <cell r="D30">
            <v>154102</v>
          </cell>
        </row>
        <row r="31">
          <cell r="D31">
            <v>154382.75</v>
          </cell>
        </row>
        <row r="32">
          <cell r="D32">
            <v>154663.5</v>
          </cell>
        </row>
        <row r="33">
          <cell r="D33">
            <v>154944.25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0.52024645146955328</v>
          </cell>
        </row>
        <row r="29">
          <cell r="O29">
            <v>0.50061531918364777</v>
          </cell>
        </row>
        <row r="30">
          <cell r="O30">
            <v>0.48889696233923063</v>
          </cell>
        </row>
        <row r="31">
          <cell r="O31">
            <v>0.48234514244127147</v>
          </cell>
        </row>
        <row r="32">
          <cell r="O32">
            <v>0.47921516908944589</v>
          </cell>
        </row>
        <row r="33">
          <cell r="O33">
            <v>0.47843049755232364</v>
          </cell>
        </row>
        <row r="34">
          <cell r="O34">
            <v>0.47881297601118755</v>
          </cell>
        </row>
        <row r="35">
          <cell r="O35">
            <v>0.47895758397708282</v>
          </cell>
        </row>
        <row r="36">
          <cell r="O36">
            <v>0.48243638440871833</v>
          </cell>
        </row>
        <row r="37">
          <cell r="O37">
            <v>0.48828077727630431</v>
          </cell>
        </row>
        <row r="38">
          <cell r="O38">
            <v>0.49583145098312797</v>
          </cell>
        </row>
        <row r="39">
          <cell r="O39">
            <v>0.50463765346246836</v>
          </cell>
        </row>
        <row r="40">
          <cell r="O40">
            <v>0.51438942612686456</v>
          </cell>
        </row>
        <row r="41">
          <cell r="O41">
            <v>0.52487196702285654</v>
          </cell>
        </row>
        <row r="42">
          <cell r="O42">
            <v>0.53593485556386122</v>
          </cell>
        </row>
        <row r="43">
          <cell r="O43">
            <v>0.54747126243726119</v>
          </cell>
        </row>
        <row r="44">
          <cell r="O44">
            <v>0.55940387188092078</v>
          </cell>
        </row>
        <row r="45">
          <cell r="O45">
            <v>0.57167531904919477</v>
          </cell>
        </row>
        <row r="46">
          <cell r="O46">
            <v>0.58424166663825616</v>
          </cell>
        </row>
        <row r="47">
          <cell r="O47">
            <v>0.5970679289652473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0.36892896096619748</v>
          </cell>
        </row>
        <row r="29">
          <cell r="O29">
            <v>0.35500768727683163</v>
          </cell>
        </row>
        <row r="30">
          <cell r="O30">
            <v>0.34669770034154357</v>
          </cell>
        </row>
        <row r="31">
          <cell r="O31">
            <v>0.34205152524402221</v>
          </cell>
        </row>
        <row r="32">
          <cell r="O32">
            <v>0.33983192756434732</v>
          </cell>
        </row>
        <row r="33">
          <cell r="O33">
            <v>0.3392754834904424</v>
          </cell>
        </row>
        <row r="34">
          <cell r="O34">
            <v>0.33954671528841451</v>
          </cell>
        </row>
        <row r="35">
          <cell r="O35">
            <v>0.34089904013881089</v>
          </cell>
        </row>
        <row r="36">
          <cell r="O36">
            <v>0.34024065900877337</v>
          </cell>
        </row>
        <row r="37">
          <cell r="O37">
            <v>0.33817756050985859</v>
          </cell>
        </row>
        <row r="38">
          <cell r="O38">
            <v>0.33512779880102739</v>
          </cell>
        </row>
        <row r="39">
          <cell r="O39">
            <v>0.33138178230942439</v>
          </cell>
        </row>
        <row r="40">
          <cell r="O40">
            <v>0.32714292679298917</v>
          </cell>
        </row>
        <row r="41">
          <cell r="O41">
            <v>0.32255511023413136</v>
          </cell>
        </row>
        <row r="42">
          <cell r="O42">
            <v>0.31772125025913545</v>
          </cell>
        </row>
        <row r="43">
          <cell r="O43">
            <v>0.31271590499324659</v>
          </cell>
        </row>
        <row r="44">
          <cell r="O44">
            <v>0.30759384582947591</v>
          </cell>
        </row>
        <row r="45">
          <cell r="O45">
            <v>0.30239591154557849</v>
          </cell>
        </row>
        <row r="46">
          <cell r="O46">
            <v>0.2971530243253524</v>
          </cell>
        </row>
        <row r="47">
          <cell r="O47">
            <v>0.29188896032015571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4.7887767823621636E-3</v>
          </cell>
        </row>
        <row r="36">
          <cell r="O36">
            <v>8.5358485610817301E-3</v>
          </cell>
        </row>
        <row r="37">
          <cell r="O37">
            <v>1.1602958683124625E-2</v>
          </cell>
        </row>
        <row r="38">
          <cell r="O38">
            <v>1.4236993784760387E-2</v>
          </cell>
        </row>
        <row r="39">
          <cell r="O39">
            <v>1.6607732312348314E-2</v>
          </cell>
        </row>
        <row r="40">
          <cell r="O40">
            <v>1.8833207376510584E-2</v>
          </cell>
        </row>
        <row r="41">
          <cell r="O41">
            <v>2.0996761162262859E-2</v>
          </cell>
        </row>
        <row r="42">
          <cell r="O42">
            <v>2.3158525119692852E-2</v>
          </cell>
        </row>
        <row r="43">
          <cell r="O43">
            <v>2.5363159754449936E-2</v>
          </cell>
        </row>
        <row r="44">
          <cell r="O44">
            <v>2.764508413807882E-2</v>
          </cell>
        </row>
        <row r="45">
          <cell r="O45">
            <v>3.0032020470234937E-2</v>
          </cell>
        </row>
        <row r="46">
          <cell r="O46">
            <v>3.2547407590681067E-2</v>
          </cell>
        </row>
        <row r="47">
          <cell r="O47">
            <v>3.5212055311298722E-2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1.5337728000000001E-3</v>
          </cell>
          <cell r="D6">
            <v>1.1503296000000001E-4</v>
          </cell>
        </row>
        <row r="7">
          <cell r="B7">
            <v>1.5454908000000001E-3</v>
          </cell>
          <cell r="D7">
            <v>1.1591181E-4</v>
          </cell>
        </row>
        <row r="8">
          <cell r="B8">
            <v>1.5553944000000002E-3</v>
          </cell>
          <cell r="D8">
            <v>1.1665458000000001E-4</v>
          </cell>
        </row>
        <row r="9">
          <cell r="B9">
            <v>1.5648336000000001E-3</v>
          </cell>
          <cell r="D9">
            <v>1.1736252E-4</v>
          </cell>
        </row>
        <row r="10">
          <cell r="B10">
            <v>1.5750504000000003E-3</v>
          </cell>
          <cell r="D10">
            <v>1.1812878000000002E-4</v>
          </cell>
        </row>
        <row r="11">
          <cell r="B11">
            <v>1.5801156E-3</v>
          </cell>
          <cell r="D11">
            <v>1.1850866999999999E-4</v>
          </cell>
        </row>
        <row r="12">
          <cell r="B12">
            <v>1.6805490471E-3</v>
          </cell>
          <cell r="D12">
            <v>1.260411785325E-4</v>
          </cell>
        </row>
        <row r="13">
          <cell r="B13">
            <v>1.7316520874655749E-3</v>
          </cell>
          <cell r="D13">
            <v>1.2987390655991811E-4</v>
          </cell>
        </row>
        <row r="14">
          <cell r="B14">
            <v>1.7843029751684807E-3</v>
          </cell>
          <cell r="D14">
            <v>1.3382272313763606E-4</v>
          </cell>
        </row>
        <row r="15">
          <cell r="B15">
            <v>1.8385484290624082E-3</v>
          </cell>
          <cell r="D15">
            <v>1.378911321796806E-4</v>
          </cell>
        </row>
        <row r="16">
          <cell r="B16">
            <v>1.8944365737367087E-3</v>
          </cell>
          <cell r="D16">
            <v>1.4208274303025316E-4</v>
          </cell>
        </row>
        <row r="17">
          <cell r="B17">
            <v>1.9520169816959392E-3</v>
          </cell>
          <cell r="D17">
            <v>1.4640127362719544E-4</v>
          </cell>
        </row>
        <row r="18">
          <cell r="B18">
            <v>2.0113407168018279E-3</v>
          </cell>
          <cell r="D18">
            <v>1.5085055376013709E-4</v>
          </cell>
        </row>
        <row r="19">
          <cell r="B19">
            <v>2.0724603790153689E-3</v>
          </cell>
          <cell r="D19">
            <v>1.5543452842615266E-4</v>
          </cell>
        </row>
        <row r="20">
          <cell r="B20">
            <v>2.1354301504778604E-3</v>
          </cell>
          <cell r="D20">
            <v>1.6015726128583953E-4</v>
          </cell>
        </row>
        <row r="21">
          <cell r="B21">
            <v>2.2003058429708577E-3</v>
          </cell>
          <cell r="D21">
            <v>1.6502293822281432E-4</v>
          </cell>
        </row>
        <row r="22">
          <cell r="B22">
            <v>2.2671449467962313E-3</v>
          </cell>
          <cell r="D22">
            <v>1.7003587100971733E-4</v>
          </cell>
        </row>
        <row r="23">
          <cell r="B23">
            <v>2.3360066811186977E-3</v>
          </cell>
          <cell r="D23">
            <v>1.7520050108390232E-4</v>
          </cell>
        </row>
        <row r="24">
          <cell r="B24">
            <v>2.4069520458145093E-3</v>
          </cell>
          <cell r="D24">
            <v>1.8052140343608817E-4</v>
          </cell>
        </row>
        <row r="25">
          <cell r="B25">
            <v>2.4791080000000003E-3</v>
          </cell>
          <cell r="D25">
            <v>1.8593309999999998E-4</v>
          </cell>
        </row>
        <row r="32">
          <cell r="B32">
            <v>1.1792653600000001E-2</v>
          </cell>
          <cell r="D32">
            <v>2.7213816000000001E-4</v>
          </cell>
        </row>
        <row r="33">
          <cell r="B33">
            <v>1.1882749287500001E-2</v>
          </cell>
          <cell r="D33">
            <v>2.7421729125000002E-4</v>
          </cell>
        </row>
        <row r="34">
          <cell r="B34">
            <v>1.1958894675E-2</v>
          </cell>
          <cell r="D34">
            <v>2.7597449249999999E-4</v>
          </cell>
        </row>
        <row r="35">
          <cell r="B35">
            <v>1.2031469449999999E-2</v>
          </cell>
          <cell r="D35">
            <v>2.77649295E-4</v>
          </cell>
        </row>
        <row r="36">
          <cell r="B36">
            <v>1.2110022925E-2</v>
          </cell>
          <cell r="D36">
            <v>2.7946206749999996E-4</v>
          </cell>
        </row>
        <row r="37">
          <cell r="B37">
            <v>1.2148967512500001E-2</v>
          </cell>
          <cell r="D37">
            <v>2.8036078875E-4</v>
          </cell>
        </row>
        <row r="38">
          <cell r="B38">
            <v>1.2563117043749999E-2</v>
          </cell>
          <cell r="D38">
            <v>2.8991808562499999E-4</v>
          </cell>
        </row>
        <row r="39">
          <cell r="B39">
            <v>1.2586429821874998E-2</v>
          </cell>
          <cell r="D39">
            <v>2.9045607281249998E-4</v>
          </cell>
        </row>
        <row r="40">
          <cell r="B40">
            <v>1.26097426E-2</v>
          </cell>
          <cell r="D40">
            <v>2.9099406000000002E-4</v>
          </cell>
        </row>
        <row r="41">
          <cell r="B41">
            <v>1.2633055378125001E-2</v>
          </cell>
          <cell r="D41">
            <v>2.915320471875E-4</v>
          </cell>
        </row>
        <row r="42">
          <cell r="B42">
            <v>1.2656368156249998E-2</v>
          </cell>
          <cell r="D42">
            <v>2.9207003437499999E-4</v>
          </cell>
        </row>
        <row r="43">
          <cell r="B43">
            <v>1.2679680934375E-2</v>
          </cell>
          <cell r="D43">
            <v>2.9260802156249997E-4</v>
          </cell>
        </row>
        <row r="44">
          <cell r="B44">
            <v>1.2702993712499997E-2</v>
          </cell>
          <cell r="D44">
            <v>2.9314600874999995E-4</v>
          </cell>
        </row>
        <row r="45">
          <cell r="B45">
            <v>1.2726306490625E-2</v>
          </cell>
          <cell r="D45">
            <v>2.9368399593749999E-4</v>
          </cell>
        </row>
        <row r="46">
          <cell r="B46">
            <v>1.2749619268749998E-2</v>
          </cell>
          <cell r="D46">
            <v>2.9422198312500003E-4</v>
          </cell>
        </row>
        <row r="47">
          <cell r="B47">
            <v>1.2772932046875001E-2</v>
          </cell>
          <cell r="D47">
            <v>2.9475997031250001E-4</v>
          </cell>
        </row>
        <row r="48">
          <cell r="B48">
            <v>1.2796244824999997E-2</v>
          </cell>
          <cell r="D48">
            <v>2.9529795749999994E-4</v>
          </cell>
        </row>
        <row r="49">
          <cell r="B49">
            <v>1.2819557603124998E-2</v>
          </cell>
          <cell r="D49">
            <v>2.9583594468749993E-4</v>
          </cell>
        </row>
        <row r="50">
          <cell r="B50">
            <v>1.284287038125E-2</v>
          </cell>
          <cell r="D50">
            <v>2.9637393187499997E-4</v>
          </cell>
        </row>
        <row r="51">
          <cell r="B51">
            <v>1.2866183159374999E-2</v>
          </cell>
          <cell r="D51">
            <v>2.9691191906249995E-4</v>
          </cell>
        </row>
        <row r="59">
          <cell r="B59">
            <v>0.14836661468160001</v>
          </cell>
          <cell r="D59">
            <v>5.0422577919999991E-3</v>
          </cell>
        </row>
        <row r="60">
          <cell r="B60">
            <v>0.14950013327759998</v>
          </cell>
          <cell r="D60">
            <v>4.897733940000001E-3</v>
          </cell>
        </row>
        <row r="61">
          <cell r="B61">
            <v>0.15045813931679999</v>
          </cell>
          <cell r="D61">
            <v>4.8594142080000003E-3</v>
          </cell>
        </row>
        <row r="62">
          <cell r="B62">
            <v>0.15137122249919999</v>
          </cell>
          <cell r="D62">
            <v>4.9974354739047632E-3</v>
          </cell>
        </row>
        <row r="63">
          <cell r="B63">
            <v>0.15235952534880001</v>
          </cell>
          <cell r="D63">
            <v>5.0300637346666673E-3</v>
          </cell>
        </row>
        <row r="64">
          <cell r="B64">
            <v>0.15284949790320002</v>
          </cell>
          <cell r="D64">
            <v>5.0462399020000008E-3</v>
          </cell>
        </row>
        <row r="65">
          <cell r="B65">
            <v>0.15806002693320001</v>
          </cell>
          <cell r="D65">
            <v>5.2182625769999994E-3</v>
          </cell>
        </row>
        <row r="66">
          <cell r="B66">
            <v>0.1583533313994</v>
          </cell>
          <cell r="D66">
            <v>5.2279458584047625E-3</v>
          </cell>
        </row>
        <row r="67">
          <cell r="B67">
            <v>0.15864663586560002</v>
          </cell>
          <cell r="D67">
            <v>5.2376291398095248E-3</v>
          </cell>
        </row>
        <row r="68">
          <cell r="B68">
            <v>0.15893994033180001</v>
          </cell>
          <cell r="D68">
            <v>5.2473124212142862E-3</v>
          </cell>
        </row>
        <row r="69">
          <cell r="B69">
            <v>0.159233244798</v>
          </cell>
          <cell r="D69">
            <v>5.2569957026190476E-3</v>
          </cell>
        </row>
        <row r="70">
          <cell r="B70">
            <v>0.15952654926420001</v>
          </cell>
          <cell r="D70">
            <v>5.2666789840238107E-3</v>
          </cell>
        </row>
        <row r="71">
          <cell r="B71">
            <v>0.1598198537304</v>
          </cell>
          <cell r="D71">
            <v>5.2763622654285721E-3</v>
          </cell>
        </row>
        <row r="72">
          <cell r="B72">
            <v>0.16011315819660005</v>
          </cell>
          <cell r="D72">
            <v>5.2860455468333343E-3</v>
          </cell>
        </row>
        <row r="73">
          <cell r="B73">
            <v>0.16040646266280001</v>
          </cell>
          <cell r="D73">
            <v>5.2957288282380957E-3</v>
          </cell>
        </row>
        <row r="74">
          <cell r="B74">
            <v>0.160699767129</v>
          </cell>
          <cell r="D74">
            <v>5.3054121096428571E-3</v>
          </cell>
        </row>
        <row r="75">
          <cell r="B75">
            <v>0.16099307159519999</v>
          </cell>
          <cell r="D75">
            <v>5.3150953910476202E-3</v>
          </cell>
        </row>
        <row r="76">
          <cell r="B76">
            <v>0.16128637606139998</v>
          </cell>
          <cell r="D76">
            <v>5.3247786724523816E-3</v>
          </cell>
        </row>
        <row r="77">
          <cell r="B77">
            <v>0.16157968052760002</v>
          </cell>
          <cell r="D77">
            <v>5.334461953857143E-3</v>
          </cell>
        </row>
        <row r="78">
          <cell r="B78">
            <v>0.16187298499379998</v>
          </cell>
          <cell r="D78">
            <v>5.3441452352619052E-3</v>
          </cell>
        </row>
      </sheetData>
      <sheetData sheetId="4"/>
      <sheetData sheetId="5">
        <row r="14">
          <cell r="M14">
            <v>0.31687443326175596</v>
          </cell>
        </row>
        <row r="15">
          <cell r="M15">
            <v>0.31890498409858475</v>
          </cell>
        </row>
        <row r="16">
          <cell r="M16">
            <v>0.32084031826585668</v>
          </cell>
        </row>
        <row r="17">
          <cell r="M17">
            <v>0.32293508499610746</v>
          </cell>
        </row>
        <row r="18">
          <cell r="M18">
            <v>0.32397361099662292</v>
          </cell>
        </row>
        <row r="19">
          <cell r="M19">
            <v>0.33501763749464181</v>
          </cell>
        </row>
        <row r="20">
          <cell r="M20">
            <v>0.335639313773202</v>
          </cell>
        </row>
        <row r="21">
          <cell r="M21">
            <v>0.33626099005176213</v>
          </cell>
        </row>
        <row r="22">
          <cell r="M22">
            <v>0.33688266633032227</v>
          </cell>
        </row>
        <row r="23">
          <cell r="M23">
            <v>0.33750434260888246</v>
          </cell>
        </row>
        <row r="24">
          <cell r="M24">
            <v>0.33812601888744265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957606</v>
          </cell>
        </row>
        <row r="13">
          <cell r="G13">
            <v>907902</v>
          </cell>
        </row>
        <row r="14">
          <cell r="G14">
            <v>1222230</v>
          </cell>
        </row>
        <row r="15">
          <cell r="G15">
            <v>2785194</v>
          </cell>
        </row>
        <row r="16">
          <cell r="G16">
            <v>3140070</v>
          </cell>
        </row>
        <row r="17">
          <cell r="G17">
            <v>3513852</v>
          </cell>
        </row>
        <row r="18">
          <cell r="G18">
            <v>7276328.4000000004</v>
          </cell>
        </row>
        <row r="19">
          <cell r="G19">
            <v>9813459.4559999984</v>
          </cell>
        </row>
        <row r="20">
          <cell r="G20">
            <v>12447204.767999999</v>
          </cell>
        </row>
        <row r="21">
          <cell r="G21">
            <v>15177564.335999999</v>
          </cell>
        </row>
        <row r="22">
          <cell r="G22">
            <v>17834376.886666667</v>
          </cell>
        </row>
        <row r="23">
          <cell r="G23">
            <v>20581310.143999998</v>
          </cell>
        </row>
        <row r="24">
          <cell r="G24">
            <v>23418364.107999999</v>
          </cell>
        </row>
        <row r="25">
          <cell r="G25">
            <v>26345538.778666671</v>
          </cell>
        </row>
        <row r="26">
          <cell r="G26">
            <v>29362834.156000003</v>
          </cell>
        </row>
        <row r="27">
          <cell r="G27">
            <v>32470250.239999998</v>
          </cell>
        </row>
        <row r="28">
          <cell r="G28">
            <v>35667787.030666664</v>
          </cell>
        </row>
        <row r="29">
          <cell r="G29">
            <v>38955444.527999997</v>
          </cell>
        </row>
        <row r="30">
          <cell r="G30">
            <v>42333222.732000001</v>
          </cell>
        </row>
        <row r="31">
          <cell r="G31">
            <v>43033995.695999995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B5" sqref="B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80" t="s">
        <v>11</v>
      </c>
      <c r="B3" s="180" t="s">
        <v>125</v>
      </c>
      <c r="C3" s="78" t="s">
        <v>12</v>
      </c>
      <c r="D3" s="179" t="s">
        <v>12</v>
      </c>
      <c r="E3" s="179"/>
      <c r="G3" s="81" t="s">
        <v>16</v>
      </c>
      <c r="H3" s="81"/>
      <c r="I3" s="81"/>
    </row>
    <row r="4" spans="1:14" x14ac:dyDescent="0.25">
      <c r="A4" s="181"/>
      <c r="B4" s="18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[1]Sheet3!D14</f>
        <v>142016</v>
      </c>
      <c r="C5" s="165">
        <v>0.2</v>
      </c>
      <c r="D5" s="150">
        <f t="shared" ref="D5:D24" si="0">C5*B5</f>
        <v>28403.200000000001</v>
      </c>
      <c r="E5" s="150">
        <f>D5/1000</f>
        <v>28.403200000000002</v>
      </c>
    </row>
    <row r="6" spans="1:14" x14ac:dyDescent="0.25">
      <c r="A6" s="88">
        <v>2012</v>
      </c>
      <c r="B6" s="89">
        <f>[1]Sheet3!D15</f>
        <v>143101</v>
      </c>
      <c r="C6" s="165">
        <v>0.2</v>
      </c>
      <c r="D6" s="150">
        <f t="shared" si="0"/>
        <v>28620.2</v>
      </c>
      <c r="E6" s="150">
        <f t="shared" ref="E6:E24" si="1">D6/1000</f>
        <v>28.620200000000001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[1]Sheet3!D16</f>
        <v>144018</v>
      </c>
      <c r="C7" s="165">
        <v>0.2</v>
      </c>
      <c r="D7" s="150">
        <f t="shared" si="0"/>
        <v>28803.600000000002</v>
      </c>
      <c r="E7" s="150">
        <f t="shared" si="1"/>
        <v>28.803600000000003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[1]Sheet3!D17</f>
        <v>144892</v>
      </c>
      <c r="C8" s="165">
        <v>0.2</v>
      </c>
      <c r="D8" s="150">
        <f t="shared" si="0"/>
        <v>28978.400000000001</v>
      </c>
      <c r="E8" s="150">
        <f t="shared" si="1"/>
        <v>28.978400000000001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[1]Sheet3!D18</f>
        <v>145838</v>
      </c>
      <c r="C9" s="165">
        <v>0.2</v>
      </c>
      <c r="D9" s="150">
        <f t="shared" si="0"/>
        <v>29167.600000000002</v>
      </c>
      <c r="E9" s="150">
        <f t="shared" si="1"/>
        <v>29.167600000000004</v>
      </c>
    </row>
    <row r="10" spans="1:14" x14ac:dyDescent="0.25">
      <c r="A10" s="88">
        <v>2016</v>
      </c>
      <c r="B10" s="89">
        <f>[1]Sheet3!D19</f>
        <v>146307</v>
      </c>
      <c r="C10" s="165">
        <v>0.2</v>
      </c>
      <c r="D10" s="150">
        <f t="shared" si="0"/>
        <v>29261.4</v>
      </c>
      <c r="E10" s="150">
        <f t="shared" si="1"/>
        <v>29.261400000000002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[1]Sheet3!D20</f>
        <v>151294.5</v>
      </c>
      <c r="C11" s="165">
        <v>0.2</v>
      </c>
      <c r="D11" s="150">
        <f t="shared" si="0"/>
        <v>30258.9</v>
      </c>
      <c r="E11" s="150">
        <f t="shared" si="1"/>
        <v>30.258900000000001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[1]Sheet3!D21</f>
        <v>151575.25</v>
      </c>
      <c r="C12" s="165">
        <v>0.2</v>
      </c>
      <c r="D12" s="150">
        <f t="shared" si="0"/>
        <v>30315.050000000003</v>
      </c>
      <c r="E12" s="150">
        <f t="shared" si="1"/>
        <v>30.315050000000003</v>
      </c>
    </row>
    <row r="13" spans="1:14" x14ac:dyDescent="0.25">
      <c r="A13" s="88">
        <v>2019</v>
      </c>
      <c r="B13" s="89">
        <f>[1]Sheet3!D22</f>
        <v>151856</v>
      </c>
      <c r="C13" s="165">
        <v>0.2</v>
      </c>
      <c r="D13" s="150">
        <f t="shared" si="0"/>
        <v>30371.200000000001</v>
      </c>
      <c r="E13" s="150">
        <f t="shared" si="1"/>
        <v>30.371200000000002</v>
      </c>
    </row>
    <row r="14" spans="1:14" x14ac:dyDescent="0.25">
      <c r="A14" s="88">
        <v>2020</v>
      </c>
      <c r="B14" s="89">
        <f>[1]Sheet3!D23</f>
        <v>152136.75</v>
      </c>
      <c r="C14" s="165">
        <v>0.2</v>
      </c>
      <c r="D14" s="150">
        <f t="shared" si="0"/>
        <v>30427.350000000002</v>
      </c>
      <c r="E14" s="150">
        <f t="shared" si="1"/>
        <v>30.427350000000001</v>
      </c>
    </row>
    <row r="15" spans="1:14" x14ac:dyDescent="0.25">
      <c r="A15" s="88">
        <v>2021</v>
      </c>
      <c r="B15" s="89">
        <f>[1]Sheet3!D24</f>
        <v>152417.5</v>
      </c>
      <c r="C15" s="165">
        <v>0.2</v>
      </c>
      <c r="D15" s="150">
        <f t="shared" si="0"/>
        <v>30483.5</v>
      </c>
      <c r="E15" s="150">
        <f t="shared" si="1"/>
        <v>30.483499999999999</v>
      </c>
    </row>
    <row r="16" spans="1:14" x14ac:dyDescent="0.25">
      <c r="A16" s="88">
        <v>2022</v>
      </c>
      <c r="B16" s="89">
        <f>[1]Sheet3!D25</f>
        <v>152698.25</v>
      </c>
      <c r="C16" s="165">
        <v>0.2</v>
      </c>
      <c r="D16" s="150">
        <f t="shared" si="0"/>
        <v>30539.65</v>
      </c>
      <c r="E16" s="150">
        <f t="shared" si="1"/>
        <v>30.539650000000002</v>
      </c>
    </row>
    <row r="17" spans="1:10" x14ac:dyDescent="0.25">
      <c r="A17" s="88">
        <v>2023</v>
      </c>
      <c r="B17" s="89">
        <f>[1]Sheet3!D26</f>
        <v>152979</v>
      </c>
      <c r="C17" s="165">
        <v>0.2</v>
      </c>
      <c r="D17" s="150">
        <f t="shared" si="0"/>
        <v>30595.800000000003</v>
      </c>
      <c r="E17" s="150">
        <f t="shared" si="1"/>
        <v>30.595800000000004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[1]Sheet3!D27</f>
        <v>153259.75</v>
      </c>
      <c r="C18" s="165">
        <v>0.2</v>
      </c>
      <c r="D18" s="150">
        <f t="shared" si="0"/>
        <v>30651.95</v>
      </c>
      <c r="E18" s="150">
        <f t="shared" si="1"/>
        <v>30.651949999999999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[1]Sheet3!D28</f>
        <v>153540.5</v>
      </c>
      <c r="C19" s="165">
        <v>0.2</v>
      </c>
      <c r="D19" s="150">
        <f t="shared" si="0"/>
        <v>30708.100000000002</v>
      </c>
      <c r="E19" s="150">
        <f t="shared" si="1"/>
        <v>30.708100000000002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[1]Sheet3!D29</f>
        <v>153821.25</v>
      </c>
      <c r="C20" s="165">
        <v>0.2</v>
      </c>
      <c r="D20" s="150">
        <f t="shared" si="0"/>
        <v>30764.25</v>
      </c>
      <c r="E20" s="150">
        <f t="shared" si="1"/>
        <v>30.764250000000001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[1]Sheet3!D30</f>
        <v>154102</v>
      </c>
      <c r="C21" s="165">
        <v>0.2</v>
      </c>
      <c r="D21" s="150">
        <f t="shared" si="0"/>
        <v>30820.400000000001</v>
      </c>
      <c r="E21" s="150">
        <f t="shared" si="1"/>
        <v>30.820400000000003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[1]Sheet3!D31</f>
        <v>154382.75</v>
      </c>
      <c r="C22" s="165">
        <v>0.2</v>
      </c>
      <c r="D22" s="150">
        <f t="shared" si="0"/>
        <v>30876.550000000003</v>
      </c>
      <c r="E22" s="150">
        <f t="shared" si="1"/>
        <v>30.876550000000002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[1]Sheet3!D32</f>
        <v>154663.5</v>
      </c>
      <c r="C23" s="165">
        <v>0.2</v>
      </c>
      <c r="D23" s="150">
        <f t="shared" si="0"/>
        <v>30932.7</v>
      </c>
      <c r="E23" s="150">
        <f t="shared" si="1"/>
        <v>30.932700000000001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[1]Sheet3!D33</f>
        <v>154944.25</v>
      </c>
      <c r="C24" s="165">
        <v>0.2</v>
      </c>
      <c r="D24" s="150">
        <f t="shared" si="0"/>
        <v>30988.850000000002</v>
      </c>
      <c r="E24" s="150">
        <f t="shared" si="1"/>
        <v>30.988850000000003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1" zoomScaleNormal="100" workbookViewId="0">
      <selection activeCell="B72" sqref="B72"/>
    </sheetView>
  </sheetViews>
  <sheetFormatPr defaultRowHeight="12.75" x14ac:dyDescent="0.25"/>
  <cols>
    <col min="1" max="1" width="9.140625" style="144"/>
    <col min="2" max="2" width="15.5703125" style="144" customWidth="1"/>
    <col min="3" max="3" width="11" style="144" customWidth="1"/>
    <col min="4" max="6" width="9.140625" style="144"/>
    <col min="7" max="7" width="12.28515625" style="144" customWidth="1"/>
    <col min="8" max="8" width="9.140625" style="144"/>
    <col min="9" max="9" width="16.85546875" style="144" customWidth="1"/>
    <col min="10" max="11" width="9.140625" style="144"/>
    <col min="12" max="12" width="9" style="151" bestFit="1" customWidth="1"/>
    <col min="13" max="13" width="12" style="151" bestFit="1" customWidth="1"/>
    <col min="14" max="14" width="2.42578125" style="151" customWidth="1"/>
    <col min="15" max="15" width="7.140625" style="151" customWidth="1"/>
    <col min="16" max="19" width="9.140625" style="151"/>
    <col min="20" max="20" width="1.42578125" style="151" customWidth="1"/>
    <col min="21" max="21" width="7.140625" style="151" customWidth="1"/>
    <col min="22" max="22" width="50.28515625" style="151" customWidth="1"/>
    <col min="23" max="25" width="9.140625" style="151"/>
    <col min="26" max="16384" width="9.140625" style="144"/>
  </cols>
  <sheetData>
    <row r="2" spans="1:21" x14ac:dyDescent="0.25">
      <c r="A2" s="182" t="s">
        <v>9</v>
      </c>
      <c r="B2" s="182"/>
      <c r="C2" s="182"/>
      <c r="D2" s="182"/>
      <c r="E2" s="182"/>
      <c r="F2" s="182"/>
      <c r="G2" s="182"/>
      <c r="H2" s="182"/>
      <c r="I2" s="182"/>
    </row>
    <row r="3" spans="1:21" x14ac:dyDescent="0.25">
      <c r="A3" s="152" t="s">
        <v>153</v>
      </c>
    </row>
    <row r="4" spans="1:21" x14ac:dyDescent="0.25">
      <c r="A4" s="183" t="s">
        <v>8</v>
      </c>
      <c r="B4" s="183" t="s">
        <v>0</v>
      </c>
      <c r="C4" s="183"/>
      <c r="D4" s="183"/>
      <c r="E4" s="183"/>
      <c r="F4" s="183"/>
      <c r="G4" s="183"/>
      <c r="H4" s="183"/>
      <c r="I4" s="187" t="s">
        <v>10</v>
      </c>
    </row>
    <row r="5" spans="1:21" ht="25.5" x14ac:dyDescent="0.25">
      <c r="A5" s="183"/>
      <c r="B5" s="149" t="s">
        <v>1</v>
      </c>
      <c r="C5" s="149" t="s">
        <v>2</v>
      </c>
      <c r="D5" s="149" t="s">
        <v>149</v>
      </c>
      <c r="E5" s="149" t="s">
        <v>4</v>
      </c>
      <c r="F5" s="174" t="s">
        <v>154</v>
      </c>
      <c r="G5" s="149" t="s">
        <v>128</v>
      </c>
      <c r="H5" s="149" t="s">
        <v>7</v>
      </c>
      <c r="I5" s="188"/>
      <c r="P5" s="153"/>
    </row>
    <row r="6" spans="1:21" ht="17.25" customHeight="1" x14ac:dyDescent="0.25">
      <c r="A6" s="154">
        <v>2011</v>
      </c>
      <c r="B6" s="173">
        <v>0.31609999999999999</v>
      </c>
      <c r="C6" s="173">
        <f>4%+9.35%+8.46%+6.21%</f>
        <v>0.2802</v>
      </c>
      <c r="D6" s="173">
        <v>1.35E-2</v>
      </c>
      <c r="E6" s="173">
        <v>0.39019999999999999</v>
      </c>
      <c r="F6" s="166">
        <v>0</v>
      </c>
      <c r="G6" s="166"/>
      <c r="H6" s="166"/>
      <c r="I6" s="155">
        <f>SUM(B6:H6)</f>
        <v>1</v>
      </c>
      <c r="L6" s="91"/>
    </row>
    <row r="7" spans="1:21" x14ac:dyDescent="0.25">
      <c r="A7" s="154">
        <v>2012</v>
      </c>
      <c r="B7" s="173">
        <v>0.31609999999999999</v>
      </c>
      <c r="C7" s="173">
        <f t="shared" ref="C7:C11" si="0">4%+9.35%+8.46%+6.21%</f>
        <v>0.2802</v>
      </c>
      <c r="D7" s="173">
        <v>1.35E-2</v>
      </c>
      <c r="E7" s="173">
        <v>0.39019999999999999</v>
      </c>
      <c r="F7" s="166">
        <v>0</v>
      </c>
      <c r="G7" s="166"/>
      <c r="H7" s="166"/>
      <c r="I7" s="155">
        <f t="shared" ref="I7:I25" si="1">SUM(B7:H7)</f>
        <v>1</v>
      </c>
      <c r="L7" s="151">
        <v>2000</v>
      </c>
      <c r="M7" s="151">
        <f>M8-(M8*0.024)</f>
        <v>0</v>
      </c>
      <c r="N7" s="92"/>
      <c r="O7" s="93"/>
      <c r="P7" s="153"/>
      <c r="S7" s="156"/>
      <c r="T7" s="157"/>
      <c r="U7" s="156"/>
    </row>
    <row r="8" spans="1:21" x14ac:dyDescent="0.25">
      <c r="A8" s="154">
        <v>2013</v>
      </c>
      <c r="B8" s="173">
        <v>0.31609999999999999</v>
      </c>
      <c r="C8" s="173">
        <f t="shared" si="0"/>
        <v>0.2802</v>
      </c>
      <c r="D8" s="173">
        <v>1.35E-2</v>
      </c>
      <c r="E8" s="173">
        <v>0.39019999999999999</v>
      </c>
      <c r="F8" s="166">
        <v>0</v>
      </c>
      <c r="G8" s="166"/>
      <c r="H8" s="166"/>
      <c r="I8" s="155">
        <f t="shared" si="1"/>
        <v>1</v>
      </c>
      <c r="L8" s="151">
        <v>2001</v>
      </c>
      <c r="M8" s="151">
        <f t="shared" ref="M8:M10" si="2">M9-(M9*0.024)</f>
        <v>0</v>
      </c>
      <c r="N8" s="93"/>
      <c r="O8" s="93"/>
      <c r="P8" s="153"/>
      <c r="S8" s="158"/>
      <c r="T8" s="158"/>
      <c r="U8" s="158"/>
    </row>
    <row r="9" spans="1:21" x14ac:dyDescent="0.25">
      <c r="A9" s="154">
        <v>2014</v>
      </c>
      <c r="B9" s="173">
        <v>0.31609999999999999</v>
      </c>
      <c r="C9" s="173">
        <f t="shared" si="0"/>
        <v>0.2802</v>
      </c>
      <c r="D9" s="173">
        <v>1.35E-2</v>
      </c>
      <c r="E9" s="173">
        <v>0.39019999999999999</v>
      </c>
      <c r="F9" s="166">
        <v>0</v>
      </c>
      <c r="G9" s="166"/>
      <c r="H9" s="166"/>
      <c r="I9" s="155">
        <f t="shared" si="1"/>
        <v>1</v>
      </c>
      <c r="L9" s="151">
        <v>2002</v>
      </c>
      <c r="M9" s="151">
        <f t="shared" si="2"/>
        <v>0</v>
      </c>
      <c r="N9" s="93"/>
      <c r="O9" s="93"/>
      <c r="P9" s="153"/>
    </row>
    <row r="10" spans="1:21" x14ac:dyDescent="0.25">
      <c r="A10" s="154">
        <v>2015</v>
      </c>
      <c r="B10" s="173">
        <v>0.31609999999999999</v>
      </c>
      <c r="C10" s="173">
        <f t="shared" si="0"/>
        <v>0.2802</v>
      </c>
      <c r="D10" s="173">
        <v>1.35E-2</v>
      </c>
      <c r="E10" s="173">
        <v>0.39019999999999999</v>
      </c>
      <c r="F10" s="166">
        <v>0</v>
      </c>
      <c r="G10" s="166"/>
      <c r="H10" s="166"/>
      <c r="I10" s="155">
        <f t="shared" si="1"/>
        <v>1</v>
      </c>
      <c r="L10" s="151">
        <v>2003</v>
      </c>
      <c r="M10" s="151">
        <f t="shared" si="2"/>
        <v>0</v>
      </c>
      <c r="N10" s="92"/>
      <c r="O10" s="93"/>
      <c r="P10" s="153"/>
    </row>
    <row r="11" spans="1:21" x14ac:dyDescent="0.25">
      <c r="A11" s="154">
        <v>2016</v>
      </c>
      <c r="B11" s="173">
        <v>0.31609999999999999</v>
      </c>
      <c r="C11" s="173">
        <f t="shared" si="0"/>
        <v>0.2802</v>
      </c>
      <c r="D11" s="173">
        <v>1.35E-2</v>
      </c>
      <c r="E11" s="173">
        <v>0.39019999999999999</v>
      </c>
      <c r="F11" s="166">
        <v>0</v>
      </c>
      <c r="G11" s="166"/>
      <c r="H11" s="166"/>
      <c r="I11" s="155">
        <f t="shared" si="1"/>
        <v>1</v>
      </c>
      <c r="L11" s="151">
        <v>2004</v>
      </c>
      <c r="M11" s="151">
        <f>M12-(M12*0.024)</f>
        <v>0</v>
      </c>
    </row>
    <row r="12" spans="1:21" x14ac:dyDescent="0.25">
      <c r="A12" s="154">
        <v>2017</v>
      </c>
      <c r="B12" s="173">
        <f>B11*1.0255</f>
        <v>0.32416054999999999</v>
      </c>
      <c r="C12" s="173">
        <f>C11*(1-0.0238)</f>
        <v>0.27353124000000001</v>
      </c>
      <c r="D12" s="173">
        <f t="shared" ref="D12:D24" si="3">D11*1.0285</f>
        <v>1.388475E-2</v>
      </c>
      <c r="E12" s="173">
        <f>E11*(1-0.0119)</f>
        <v>0.38555661999999996</v>
      </c>
      <c r="F12" s="166">
        <v>0.02</v>
      </c>
      <c r="G12" s="166"/>
      <c r="H12" s="166"/>
      <c r="I12" s="155">
        <f t="shared" si="1"/>
        <v>1.01713316</v>
      </c>
      <c r="L12" s="151">
        <v>2005</v>
      </c>
      <c r="M12" s="151">
        <f>M13-(M13*O29)</f>
        <v>0</v>
      </c>
    </row>
    <row r="13" spans="1:21" x14ac:dyDescent="0.25">
      <c r="A13" s="154">
        <v>2018</v>
      </c>
      <c r="B13" s="173">
        <f t="shared" ref="B13:B24" si="4">B12*1.0255</f>
        <v>0.332426644025</v>
      </c>
      <c r="C13" s="173">
        <f t="shared" ref="C13:C24" si="5">C12*(1-0.0238)</f>
        <v>0.26702119648799999</v>
      </c>
      <c r="D13" s="173">
        <f t="shared" si="3"/>
        <v>1.4280465374999999E-2</v>
      </c>
      <c r="E13" s="173">
        <f t="shared" ref="E13:E24" si="6">E12*(1-0.0119)</f>
        <v>0.38096849622199996</v>
      </c>
      <c r="F13" s="166">
        <f>F12*1.073</f>
        <v>2.146E-2</v>
      </c>
      <c r="G13" s="166"/>
      <c r="H13" s="166"/>
      <c r="I13" s="155">
        <f t="shared" si="1"/>
        <v>1.01615680211</v>
      </c>
      <c r="L13" s="151">
        <v>2006</v>
      </c>
      <c r="M13" s="151">
        <f>M14-(M14*O29)</f>
        <v>0</v>
      </c>
    </row>
    <row r="14" spans="1:21" x14ac:dyDescent="0.25">
      <c r="A14" s="154">
        <v>2019</v>
      </c>
      <c r="B14" s="173">
        <f t="shared" si="4"/>
        <v>0.34090352344763752</v>
      </c>
      <c r="C14" s="173">
        <f t="shared" si="5"/>
        <v>0.26066609201158558</v>
      </c>
      <c r="D14" s="173">
        <f t="shared" si="3"/>
        <v>1.4687458638187498E-2</v>
      </c>
      <c r="E14" s="173">
        <f t="shared" si="6"/>
        <v>0.37643497111695817</v>
      </c>
      <c r="F14" s="166">
        <f t="shared" ref="F14:F24" si="7">F13*1.073</f>
        <v>2.3026579999999998E-2</v>
      </c>
      <c r="G14" s="166"/>
      <c r="H14" s="166"/>
      <c r="I14" s="155">
        <f t="shared" si="1"/>
        <v>1.0157186252143688</v>
      </c>
      <c r="L14" s="151">
        <v>2007</v>
      </c>
      <c r="M14" s="151">
        <f>M15-(M15*O29)</f>
        <v>0</v>
      </c>
      <c r="P14" s="153"/>
    </row>
    <row r="15" spans="1:21" x14ac:dyDescent="0.25">
      <c r="A15" s="154">
        <v>2020</v>
      </c>
      <c r="B15" s="173">
        <f t="shared" si="4"/>
        <v>0.34959656329555233</v>
      </c>
      <c r="C15" s="173">
        <f t="shared" si="5"/>
        <v>0.25446223902170984</v>
      </c>
      <c r="D15" s="173">
        <f t="shared" si="3"/>
        <v>1.5106051209375842E-2</v>
      </c>
      <c r="E15" s="173">
        <f t="shared" si="6"/>
        <v>0.37195539496066637</v>
      </c>
      <c r="F15" s="166">
        <f t="shared" si="7"/>
        <v>2.4707520339999997E-2</v>
      </c>
      <c r="G15" s="166"/>
      <c r="H15" s="166"/>
      <c r="I15" s="155">
        <f t="shared" si="1"/>
        <v>1.0158277688273043</v>
      </c>
      <c r="L15" s="151">
        <v>2008</v>
      </c>
      <c r="M15" s="151">
        <f>M27-(M27*O29)</f>
        <v>0</v>
      </c>
      <c r="S15" s="156"/>
    </row>
    <row r="16" spans="1:21" x14ac:dyDescent="0.25">
      <c r="A16" s="154">
        <v>2021</v>
      </c>
      <c r="B16" s="173">
        <f t="shared" si="4"/>
        <v>0.35851127565958896</v>
      </c>
      <c r="C16" s="173">
        <f t="shared" si="5"/>
        <v>0.24840603773299313</v>
      </c>
      <c r="D16" s="173">
        <f t="shared" si="3"/>
        <v>1.5536573668843054E-2</v>
      </c>
      <c r="E16" s="173">
        <f t="shared" si="6"/>
        <v>0.36752912576063446</v>
      </c>
      <c r="F16" s="166">
        <f t="shared" si="7"/>
        <v>2.6511169324819995E-2</v>
      </c>
      <c r="G16" s="166"/>
      <c r="H16" s="166"/>
      <c r="I16" s="155">
        <f t="shared" si="1"/>
        <v>1.0164941821468796</v>
      </c>
      <c r="S16" s="156"/>
    </row>
    <row r="17" spans="1:19" x14ac:dyDescent="0.25">
      <c r="A17" s="154">
        <v>2022</v>
      </c>
      <c r="B17" s="173">
        <f t="shared" si="4"/>
        <v>0.36765331318890848</v>
      </c>
      <c r="C17" s="173">
        <f t="shared" si="5"/>
        <v>0.24249397403494788</v>
      </c>
      <c r="D17" s="173">
        <f t="shared" si="3"/>
        <v>1.5979366018405081E-2</v>
      </c>
      <c r="E17" s="173">
        <f t="shared" si="6"/>
        <v>0.36315552916408289</v>
      </c>
      <c r="F17" s="166">
        <f t="shared" si="7"/>
        <v>2.8446484685531855E-2</v>
      </c>
      <c r="G17" s="166"/>
      <c r="H17" s="166"/>
      <c r="I17" s="155">
        <f t="shared" si="1"/>
        <v>1.0177286670918761</v>
      </c>
      <c r="S17" s="156"/>
    </row>
    <row r="18" spans="1:19" x14ac:dyDescent="0.25">
      <c r="A18" s="154">
        <v>2023</v>
      </c>
      <c r="B18" s="173">
        <f t="shared" si="4"/>
        <v>0.37702847267522566</v>
      </c>
      <c r="C18" s="173">
        <f t="shared" si="5"/>
        <v>0.23672261745291612</v>
      </c>
      <c r="D18" s="173">
        <f t="shared" si="3"/>
        <v>1.6434777949929626E-2</v>
      </c>
      <c r="E18" s="173">
        <f t="shared" si="6"/>
        <v>0.35883397836703029</v>
      </c>
      <c r="F18" s="166">
        <f t="shared" si="7"/>
        <v>3.052307806757568E-2</v>
      </c>
      <c r="G18" s="166"/>
      <c r="H18" s="166"/>
      <c r="I18" s="155">
        <f t="shared" si="1"/>
        <v>1.0195429245126773</v>
      </c>
      <c r="S18" s="156"/>
    </row>
    <row r="19" spans="1:19" x14ac:dyDescent="0.25">
      <c r="A19" s="154">
        <v>2024</v>
      </c>
      <c r="B19" s="173">
        <f t="shared" si="4"/>
        <v>0.38664269872844392</v>
      </c>
      <c r="C19" s="173">
        <f t="shared" si="5"/>
        <v>0.2310886191575367</v>
      </c>
      <c r="D19" s="173">
        <f t="shared" si="3"/>
        <v>1.690316912150262E-2</v>
      </c>
      <c r="E19" s="173">
        <f t="shared" si="6"/>
        <v>0.35456385402446261</v>
      </c>
      <c r="F19" s="166">
        <f t="shared" si="7"/>
        <v>3.27512627665087E-2</v>
      </c>
      <c r="G19" s="166"/>
      <c r="H19" s="166"/>
      <c r="I19" s="155">
        <f t="shared" si="1"/>
        <v>1.0219496037984546</v>
      </c>
      <c r="S19" s="156"/>
    </row>
    <row r="20" spans="1:19" x14ac:dyDescent="0.25">
      <c r="A20" s="154">
        <v>2025</v>
      </c>
      <c r="B20" s="173">
        <f t="shared" si="4"/>
        <v>0.39650208754601929</v>
      </c>
      <c r="C20" s="173">
        <f t="shared" si="5"/>
        <v>0.22558871002158731</v>
      </c>
      <c r="D20" s="173">
        <f t="shared" si="3"/>
        <v>1.7384909441465445E-2</v>
      </c>
      <c r="E20" s="173">
        <f t="shared" si="6"/>
        <v>0.35034454416157151</v>
      </c>
      <c r="F20" s="166">
        <f t="shared" si="7"/>
        <v>3.5142104948463836E-2</v>
      </c>
      <c r="G20" s="166"/>
      <c r="H20" s="166"/>
      <c r="I20" s="155">
        <f t="shared" si="1"/>
        <v>1.0249623561191075</v>
      </c>
      <c r="S20" s="156"/>
    </row>
    <row r="21" spans="1:19" x14ac:dyDescent="0.25">
      <c r="A21" s="154">
        <v>2026</v>
      </c>
      <c r="B21" s="173">
        <f t="shared" si="4"/>
        <v>0.40661289077844281</v>
      </c>
      <c r="C21" s="173">
        <f t="shared" si="5"/>
        <v>0.22021969872307354</v>
      </c>
      <c r="D21" s="173">
        <f t="shared" si="3"/>
        <v>1.7880379360547208E-2</v>
      </c>
      <c r="E21" s="173">
        <f t="shared" si="6"/>
        <v>0.34617544408604878</v>
      </c>
      <c r="F21" s="166">
        <f t="shared" si="7"/>
        <v>3.7707478609701695E-2</v>
      </c>
      <c r="G21" s="166"/>
      <c r="H21" s="166"/>
      <c r="I21" s="155">
        <f t="shared" si="1"/>
        <v>1.0285958915578139</v>
      </c>
      <c r="S21" s="156"/>
    </row>
    <row r="22" spans="1:19" x14ac:dyDescent="0.25">
      <c r="A22" s="154">
        <v>2027</v>
      </c>
      <c r="B22" s="173">
        <f t="shared" si="4"/>
        <v>0.41698151949329315</v>
      </c>
      <c r="C22" s="173">
        <f t="shared" si="5"/>
        <v>0.21497846989346436</v>
      </c>
      <c r="D22" s="173">
        <f t="shared" si="3"/>
        <v>1.8389970172322804E-2</v>
      </c>
      <c r="E22" s="173">
        <f t="shared" si="6"/>
        <v>0.34205595630142477</v>
      </c>
      <c r="F22" s="166">
        <f t="shared" si="7"/>
        <v>4.0460124548209915E-2</v>
      </c>
      <c r="G22" s="166"/>
      <c r="H22" s="166"/>
      <c r="I22" s="155">
        <f t="shared" si="1"/>
        <v>1.0328660404087151</v>
      </c>
      <c r="S22" s="156"/>
    </row>
    <row r="23" spans="1:19" x14ac:dyDescent="0.25">
      <c r="A23" s="154">
        <v>2028</v>
      </c>
      <c r="B23" s="173">
        <f t="shared" si="4"/>
        <v>0.42761454824037215</v>
      </c>
      <c r="C23" s="173">
        <f t="shared" si="5"/>
        <v>0.20986198230999989</v>
      </c>
      <c r="D23" s="173">
        <f t="shared" si="3"/>
        <v>1.8914084322234005E-2</v>
      </c>
      <c r="E23" s="173">
        <f t="shared" si="6"/>
        <v>0.33798549042143783</v>
      </c>
      <c r="F23" s="166">
        <f t="shared" si="7"/>
        <v>4.3413713640229237E-2</v>
      </c>
      <c r="G23" s="166"/>
      <c r="H23" s="166"/>
      <c r="I23" s="155">
        <f t="shared" si="1"/>
        <v>1.0377898189342731</v>
      </c>
      <c r="S23" s="156"/>
    </row>
    <row r="24" spans="1:19" x14ac:dyDescent="0.25">
      <c r="A24" s="154">
        <v>2029</v>
      </c>
      <c r="B24" s="173">
        <f t="shared" si="4"/>
        <v>0.43851871922050167</v>
      </c>
      <c r="C24" s="173">
        <f t="shared" si="5"/>
        <v>0.20486726713102188</v>
      </c>
      <c r="D24" s="173">
        <f t="shared" si="3"/>
        <v>1.9453135725417674E-2</v>
      </c>
      <c r="E24" s="173">
        <f t="shared" si="6"/>
        <v>0.33396346308542268</v>
      </c>
      <c r="F24" s="166">
        <f t="shared" si="7"/>
        <v>4.6582914735965972E-2</v>
      </c>
      <c r="G24" s="166"/>
      <c r="H24" s="166"/>
      <c r="I24" s="155">
        <f t="shared" si="1"/>
        <v>1.0433854998983298</v>
      </c>
      <c r="S24" s="156"/>
    </row>
    <row r="25" spans="1:19" x14ac:dyDescent="0.25">
      <c r="A25" s="154">
        <v>2030</v>
      </c>
      <c r="B25" s="173">
        <v>0.45</v>
      </c>
      <c r="C25" s="173">
        <v>0.2</v>
      </c>
      <c r="D25" s="173">
        <v>0.02</v>
      </c>
      <c r="E25" s="173">
        <v>0.33</v>
      </c>
      <c r="F25" s="166">
        <v>0.05</v>
      </c>
      <c r="G25" s="166"/>
      <c r="H25" s="166"/>
      <c r="I25" s="155">
        <f t="shared" si="1"/>
        <v>1.05</v>
      </c>
      <c r="S25" s="156"/>
    </row>
    <row r="26" spans="1:19" ht="14.25" customHeight="1" x14ac:dyDescent="0.25">
      <c r="B26" s="167">
        <f>((B25/B11)^(1/14)-1)</f>
        <v>2.5548696592848197E-2</v>
      </c>
      <c r="C26" s="167">
        <f t="shared" ref="C26:H26" si="8">((C25/C11)^(1/14)-1)</f>
        <v>-2.379701072791307E-2</v>
      </c>
      <c r="D26" s="167">
        <f t="shared" si="8"/>
        <v>2.8472272495493778E-2</v>
      </c>
      <c r="E26" s="167">
        <f>((E25/E11)^(1/14)-1)</f>
        <v>-1.1897711048976523E-2</v>
      </c>
      <c r="F26" s="167" t="e">
        <f t="shared" si="8"/>
        <v>#DIV/0!</v>
      </c>
      <c r="G26" s="167" t="e">
        <f t="shared" si="8"/>
        <v>#DIV/0!</v>
      </c>
      <c r="H26" s="167" t="e">
        <f t="shared" si="8"/>
        <v>#DIV/0!</v>
      </c>
    </row>
    <row r="27" spans="1:19" x14ac:dyDescent="0.25">
      <c r="A27" s="183" t="s">
        <v>11</v>
      </c>
      <c r="B27" s="184" t="s">
        <v>150</v>
      </c>
      <c r="C27" s="185"/>
      <c r="D27" s="185"/>
      <c r="E27" s="185"/>
      <c r="F27" s="185"/>
      <c r="G27" s="185"/>
      <c r="H27" s="186"/>
      <c r="I27" s="187" t="s">
        <v>40</v>
      </c>
    </row>
    <row r="28" spans="1:19" ht="25.5" x14ac:dyDescent="0.25">
      <c r="A28" s="183"/>
      <c r="B28" s="149" t="s">
        <v>1</v>
      </c>
      <c r="C28" s="149" t="s">
        <v>2</v>
      </c>
      <c r="D28" s="149" t="s">
        <v>149</v>
      </c>
      <c r="E28" s="143" t="s">
        <v>4</v>
      </c>
      <c r="F28" s="174" t="s">
        <v>154</v>
      </c>
      <c r="G28" s="149" t="s">
        <v>128</v>
      </c>
      <c r="H28" s="143" t="s">
        <v>7</v>
      </c>
      <c r="I28" s="188"/>
    </row>
    <row r="29" spans="1:19" x14ac:dyDescent="0.25">
      <c r="A29" s="154">
        <v>2011</v>
      </c>
      <c r="B29" s="159">
        <f t="shared" ref="B29:H29" si="9">$I$29*B6</f>
        <v>8.9782515200000006</v>
      </c>
      <c r="C29" s="159">
        <f t="shared" si="9"/>
        <v>7.9585766400000004</v>
      </c>
      <c r="D29" s="159">
        <f t="shared" si="9"/>
        <v>0.38344320000000004</v>
      </c>
      <c r="E29" s="160">
        <f t="shared" si="9"/>
        <v>11.08292864</v>
      </c>
      <c r="F29" s="175">
        <f>$I$29*F6</f>
        <v>0</v>
      </c>
      <c r="G29" s="159">
        <f t="shared" si="9"/>
        <v>0</v>
      </c>
      <c r="H29" s="161">
        <f t="shared" si="9"/>
        <v>0</v>
      </c>
      <c r="I29" s="162">
        <f>'timbulan sampah'!E5</f>
        <v>28.403200000000002</v>
      </c>
      <c r="J29" s="163">
        <f>SUM(B29:H29)</f>
        <v>28.403199999999998</v>
      </c>
    </row>
    <row r="30" spans="1:19" x14ac:dyDescent="0.25">
      <c r="A30" s="154">
        <v>2012</v>
      </c>
      <c r="B30" s="159">
        <f t="shared" ref="B30:H30" si="10">$I$30*B7</f>
        <v>9.0468452199999998</v>
      </c>
      <c r="C30" s="159">
        <f t="shared" si="10"/>
        <v>8.0193800399999997</v>
      </c>
      <c r="D30" s="159">
        <f t="shared" si="10"/>
        <v>0.38637270000000001</v>
      </c>
      <c r="E30" s="160">
        <f t="shared" si="10"/>
        <v>11.16760204</v>
      </c>
      <c r="F30" s="175">
        <f t="shared" si="10"/>
        <v>0</v>
      </c>
      <c r="G30" s="159">
        <f t="shared" si="10"/>
        <v>0</v>
      </c>
      <c r="H30" s="161">
        <f t="shared" si="10"/>
        <v>0</v>
      </c>
      <c r="I30" s="162">
        <f>'timbulan sampah'!E6</f>
        <v>28.620200000000001</v>
      </c>
      <c r="J30" s="163">
        <f t="shared" ref="J30:J48" si="11">SUM(B30:H30)</f>
        <v>28.620199999999997</v>
      </c>
    </row>
    <row r="31" spans="1:19" x14ac:dyDescent="0.25">
      <c r="A31" s="154">
        <v>2013</v>
      </c>
      <c r="B31" s="159">
        <f t="shared" ref="B31:H31" si="12">$I$31*B8</f>
        <v>9.1048179600000001</v>
      </c>
      <c r="C31" s="159">
        <f t="shared" si="12"/>
        <v>8.0707687200000002</v>
      </c>
      <c r="D31" s="159">
        <f t="shared" si="12"/>
        <v>0.38884860000000004</v>
      </c>
      <c r="E31" s="160">
        <f t="shared" si="12"/>
        <v>11.239164720000002</v>
      </c>
      <c r="F31" s="175">
        <f t="shared" si="12"/>
        <v>0</v>
      </c>
      <c r="G31" s="159">
        <f t="shared" si="12"/>
        <v>0</v>
      </c>
      <c r="H31" s="161">
        <f t="shared" si="12"/>
        <v>0</v>
      </c>
      <c r="I31" s="162">
        <f>'timbulan sampah'!E7</f>
        <v>28.803600000000003</v>
      </c>
      <c r="J31" s="163">
        <f t="shared" si="11"/>
        <v>28.803600000000003</v>
      </c>
    </row>
    <row r="32" spans="1:19" x14ac:dyDescent="0.25">
      <c r="A32" s="154">
        <v>2014</v>
      </c>
      <c r="B32" s="159">
        <f t="shared" ref="B32:H32" si="13">$I$32*B9</f>
        <v>9.1600722399999999</v>
      </c>
      <c r="C32" s="159">
        <f t="shared" si="13"/>
        <v>8.1197476799999997</v>
      </c>
      <c r="D32" s="159">
        <f t="shared" si="13"/>
        <v>0.39120840000000001</v>
      </c>
      <c r="E32" s="160">
        <f t="shared" si="13"/>
        <v>11.307371679999999</v>
      </c>
      <c r="F32" s="175">
        <f t="shared" si="13"/>
        <v>0</v>
      </c>
      <c r="G32" s="159">
        <f t="shared" si="13"/>
        <v>0</v>
      </c>
      <c r="H32" s="161">
        <f t="shared" si="13"/>
        <v>0</v>
      </c>
      <c r="I32" s="162">
        <f>'timbulan sampah'!E8</f>
        <v>28.978400000000001</v>
      </c>
      <c r="J32" s="163">
        <f t="shared" si="11"/>
        <v>28.978400000000001</v>
      </c>
      <c r="P32" s="153"/>
    </row>
    <row r="33" spans="1:16" x14ac:dyDescent="0.25">
      <c r="A33" s="154">
        <v>2015</v>
      </c>
      <c r="B33" s="159">
        <f t="shared" ref="B33:H33" si="14">$I$33*B10</f>
        <v>9.2198783600000009</v>
      </c>
      <c r="C33" s="159">
        <f t="shared" si="14"/>
        <v>8.1727615200000017</v>
      </c>
      <c r="D33" s="159">
        <f t="shared" si="14"/>
        <v>0.39376260000000007</v>
      </c>
      <c r="E33" s="160">
        <f t="shared" si="14"/>
        <v>11.381197520000001</v>
      </c>
      <c r="F33" s="175">
        <f t="shared" si="14"/>
        <v>0</v>
      </c>
      <c r="G33" s="159">
        <f t="shared" si="14"/>
        <v>0</v>
      </c>
      <c r="H33" s="161">
        <f t="shared" si="14"/>
        <v>0</v>
      </c>
      <c r="I33" s="162">
        <f>'timbulan sampah'!E9</f>
        <v>29.167600000000004</v>
      </c>
      <c r="J33" s="163">
        <f t="shared" si="11"/>
        <v>29.167600000000004</v>
      </c>
      <c r="P33" s="153"/>
    </row>
    <row r="34" spans="1:16" x14ac:dyDescent="0.25">
      <c r="A34" s="154">
        <v>2016</v>
      </c>
      <c r="B34" s="159">
        <f t="shared" ref="B34:H34" si="15">$I$34*B11</f>
        <v>9.24952854</v>
      </c>
      <c r="C34" s="159">
        <f t="shared" si="15"/>
        <v>8.1990442800000007</v>
      </c>
      <c r="D34" s="159">
        <f t="shared" si="15"/>
        <v>0.39502890000000002</v>
      </c>
      <c r="E34" s="160">
        <f t="shared" si="15"/>
        <v>11.417798280000001</v>
      </c>
      <c r="F34" s="175">
        <f t="shared" si="15"/>
        <v>0</v>
      </c>
      <c r="G34" s="159">
        <f t="shared" si="15"/>
        <v>0</v>
      </c>
      <c r="H34" s="161">
        <f t="shared" si="15"/>
        <v>0</v>
      </c>
      <c r="I34" s="162">
        <f>'timbulan sampah'!E10</f>
        <v>29.261400000000002</v>
      </c>
      <c r="J34" s="163">
        <f t="shared" si="11"/>
        <v>29.261400000000002</v>
      </c>
    </row>
    <row r="35" spans="1:16" x14ac:dyDescent="0.25">
      <c r="A35" s="154">
        <v>2017</v>
      </c>
      <c r="B35" s="175">
        <f>(I35*B12)-F35</f>
        <v>9.2035636663949987</v>
      </c>
      <c r="C35" s="159">
        <f t="shared" ref="C35:H35" si="16">$I$35*C12</f>
        <v>8.2767544380360007</v>
      </c>
      <c r="D35" s="159">
        <f t="shared" si="16"/>
        <v>0.42013726177499999</v>
      </c>
      <c r="E35" s="160">
        <f t="shared" si="16"/>
        <v>11.666519208917999</v>
      </c>
      <c r="F35" s="175">
        <f>$I$35*F12</f>
        <v>0.60517799999999999</v>
      </c>
      <c r="G35" s="159">
        <f t="shared" si="16"/>
        <v>0</v>
      </c>
      <c r="H35" s="161">
        <f t="shared" si="16"/>
        <v>0</v>
      </c>
      <c r="I35" s="162">
        <f>'timbulan sampah'!E11</f>
        <v>30.258900000000001</v>
      </c>
      <c r="J35" s="163">
        <f t="shared" si="11"/>
        <v>30.172152575123999</v>
      </c>
    </row>
    <row r="36" spans="1:16" x14ac:dyDescent="0.25">
      <c r="A36" s="154">
        <v>2018</v>
      </c>
      <c r="B36" s="175">
        <f t="shared" ref="B36:B48" si="17">(I36*B13)-F36</f>
        <v>9.4269693619500785</v>
      </c>
      <c r="C36" s="159">
        <f t="shared" ref="C36:H36" si="18">$I$36*C13</f>
        <v>8.0947609225935455</v>
      </c>
      <c r="D36" s="159">
        <f t="shared" si="18"/>
        <v>0.43291302186639374</v>
      </c>
      <c r="E36" s="160">
        <f t="shared" si="18"/>
        <v>11.549079011394742</v>
      </c>
      <c r="F36" s="175">
        <f>$I$36*F13</f>
        <v>0.65056097300000004</v>
      </c>
      <c r="G36" s="159">
        <f t="shared" si="18"/>
        <v>0</v>
      </c>
      <c r="H36" s="161">
        <f t="shared" si="18"/>
        <v>0</v>
      </c>
      <c r="I36" s="162">
        <f>'timbulan sampah'!E12</f>
        <v>30.315050000000003</v>
      </c>
      <c r="J36" s="163">
        <f t="shared" si="11"/>
        <v>30.154283290804759</v>
      </c>
    </row>
    <row r="37" spans="1:16" x14ac:dyDescent="0.25">
      <c r="A37" s="154">
        <v>2019</v>
      </c>
      <c r="B37" s="175">
        <f t="shared" si="17"/>
        <v>9.6543042248368884</v>
      </c>
      <c r="C37" s="159">
        <f t="shared" ref="C37:H37" si="19">$I$37*C14</f>
        <v>7.9167420137022688</v>
      </c>
      <c r="D37" s="159">
        <f t="shared" si="19"/>
        <v>0.44607574379212017</v>
      </c>
      <c r="E37" s="160">
        <f t="shared" si="19"/>
        <v>11.432781794787362</v>
      </c>
      <c r="F37" s="175">
        <f>$I$37*F14</f>
        <v>0.69934486649600003</v>
      </c>
      <c r="G37" s="159">
        <f t="shared" si="19"/>
        <v>0</v>
      </c>
      <c r="H37" s="161">
        <f t="shared" si="19"/>
        <v>0</v>
      </c>
      <c r="I37" s="162">
        <f>'timbulan sampah'!E13</f>
        <v>30.371200000000002</v>
      </c>
      <c r="J37" s="163">
        <f t="shared" si="11"/>
        <v>30.149248643614641</v>
      </c>
    </row>
    <row r="38" spans="1:16" x14ac:dyDescent="0.25">
      <c r="A38" s="154">
        <v>2020</v>
      </c>
      <c r="B38" s="175">
        <f t="shared" si="17"/>
        <v>9.8855126211736248</v>
      </c>
      <c r="C38" s="159">
        <f t="shared" ref="C38:H38" si="20">$I$38*C15</f>
        <v>7.7426116084972225</v>
      </c>
      <c r="D38" s="159">
        <f t="shared" si="20"/>
        <v>0.45963710726560203</v>
      </c>
      <c r="E38" s="160">
        <f t="shared" si="20"/>
        <v>11.317616986856432</v>
      </c>
      <c r="F38" s="175">
        <f>$I$38*F15</f>
        <v>0.75178436901729895</v>
      </c>
      <c r="G38" s="159">
        <f t="shared" si="20"/>
        <v>0</v>
      </c>
      <c r="H38" s="161">
        <f t="shared" si="20"/>
        <v>0</v>
      </c>
      <c r="I38" s="162">
        <f>'timbulan sampah'!E14</f>
        <v>30.427350000000001</v>
      </c>
      <c r="J38" s="163">
        <f t="shared" si="11"/>
        <v>30.157162692810179</v>
      </c>
    </row>
    <row r="39" spans="1:16" x14ac:dyDescent="0.25">
      <c r="A39" s="154">
        <v>2021</v>
      </c>
      <c r="B39" s="175">
        <f t="shared" si="17"/>
        <v>10.12052524145593</v>
      </c>
      <c r="C39" s="159">
        <f t="shared" ref="C39:H39" si="21">$I$39*C16</f>
        <v>7.5722854512336957</v>
      </c>
      <c r="D39" s="159">
        <f t="shared" si="21"/>
        <v>0.4736091434341772</v>
      </c>
      <c r="E39" s="160">
        <f t="shared" si="21"/>
        <v>11.2035741051243</v>
      </c>
      <c r="F39" s="175">
        <f>$I$39*F16</f>
        <v>0.80815323011315032</v>
      </c>
      <c r="G39" s="159">
        <f t="shared" si="21"/>
        <v>0</v>
      </c>
      <c r="H39" s="161">
        <f t="shared" si="21"/>
        <v>0</v>
      </c>
      <c r="I39" s="162">
        <f>'timbulan sampah'!E15</f>
        <v>30.483499999999999</v>
      </c>
      <c r="J39" s="163">
        <f t="shared" si="11"/>
        <v>30.178147171361253</v>
      </c>
    </row>
    <row r="40" spans="1:16" x14ac:dyDescent="0.25">
      <c r="A40" s="154">
        <v>2022</v>
      </c>
      <c r="B40" s="175">
        <f t="shared" si="17"/>
        <v>10.359257820103146</v>
      </c>
      <c r="C40" s="159">
        <f t="shared" ref="C40:H40" si="22">$I$40*C17</f>
        <v>7.405681094136396</v>
      </c>
      <c r="D40" s="159">
        <f t="shared" si="22"/>
        <v>0.48800424542398479</v>
      </c>
      <c r="E40" s="160">
        <f t="shared" si="22"/>
        <v>11.090642756235885</v>
      </c>
      <c r="F40" s="175">
        <f>$I$40*F17</f>
        <v>0.86874568602650293</v>
      </c>
      <c r="G40" s="159">
        <f t="shared" si="22"/>
        <v>0</v>
      </c>
      <c r="H40" s="161">
        <f t="shared" si="22"/>
        <v>0</v>
      </c>
      <c r="I40" s="162">
        <f>'timbulan sampah'!E16</f>
        <v>30.539650000000002</v>
      </c>
      <c r="J40" s="163">
        <f t="shared" si="11"/>
        <v>30.212331601925914</v>
      </c>
    </row>
    <row r="41" spans="1:16" x14ac:dyDescent="0.25">
      <c r="A41" s="154">
        <v>2023</v>
      </c>
      <c r="B41" s="175">
        <f t="shared" si="17"/>
        <v>10.601609752336739</v>
      </c>
      <c r="C41" s="159">
        <f t="shared" ref="C41:H41" si="23">$I$41*C18</f>
        <v>7.242717859065932</v>
      </c>
      <c r="D41" s="159">
        <f t="shared" si="23"/>
        <v>0.50283517920045695</v>
      </c>
      <c r="E41" s="160">
        <f t="shared" si="23"/>
        <v>10.978812635321987</v>
      </c>
      <c r="F41" s="175">
        <f>$I$41*F18</f>
        <v>0.93387799193993215</v>
      </c>
      <c r="G41" s="159">
        <f t="shared" si="23"/>
        <v>0</v>
      </c>
      <c r="H41" s="161">
        <f t="shared" si="23"/>
        <v>0</v>
      </c>
      <c r="I41" s="162">
        <f>'timbulan sampah'!E17</f>
        <v>30.595800000000004</v>
      </c>
      <c r="J41" s="163">
        <f t="shared" si="11"/>
        <v>30.259853417865045</v>
      </c>
    </row>
    <row r="42" spans="1:16" x14ac:dyDescent="0.25">
      <c r="A42" s="154">
        <v>2024</v>
      </c>
      <c r="B42" s="175">
        <f t="shared" si="17"/>
        <v>10.84746260053344</v>
      </c>
      <c r="C42" s="159">
        <f t="shared" ref="C42:H42" si="24">$I$42*C19</f>
        <v>7.0833167999858571</v>
      </c>
      <c r="D42" s="159">
        <f t="shared" si="24"/>
        <v>0.51811509475384221</v>
      </c>
      <c r="E42" s="160">
        <f t="shared" si="24"/>
        <v>10.868073525365126</v>
      </c>
      <c r="F42" s="175">
        <f>$I$42*F19</f>
        <v>1.0038900687558863</v>
      </c>
      <c r="G42" s="159">
        <f t="shared" si="24"/>
        <v>0</v>
      </c>
      <c r="H42" s="161">
        <f t="shared" si="24"/>
        <v>0</v>
      </c>
      <c r="I42" s="162">
        <f>'timbulan sampah'!E18</f>
        <v>30.651949999999999</v>
      </c>
      <c r="J42" s="163">
        <f t="shared" si="11"/>
        <v>30.320858089394154</v>
      </c>
    </row>
    <row r="43" spans="1:16" x14ac:dyDescent="0.25">
      <c r="A43" s="154">
        <v>2025</v>
      </c>
      <c r="B43" s="175">
        <f t="shared" si="17"/>
        <v>11.096678481603993</v>
      </c>
      <c r="C43" s="159">
        <f t="shared" ref="C43:H43" si="25">$I$43*C20</f>
        <v>6.9274006662139058</v>
      </c>
      <c r="D43" s="159">
        <f t="shared" si="25"/>
        <v>0.53385753761946508</v>
      </c>
      <c r="E43" s="160">
        <f t="shared" si="25"/>
        <v>10.758415296567955</v>
      </c>
      <c r="F43" s="175">
        <f>$I$43*F20</f>
        <v>1.0791472729679223</v>
      </c>
      <c r="G43" s="159">
        <f t="shared" si="25"/>
        <v>0</v>
      </c>
      <c r="H43" s="161">
        <f t="shared" si="25"/>
        <v>0</v>
      </c>
      <c r="I43" s="162">
        <f>'timbulan sampah'!E19</f>
        <v>30.708100000000002</v>
      </c>
      <c r="J43" s="163">
        <f t="shared" si="11"/>
        <v>30.395499254973245</v>
      </c>
    </row>
    <row r="44" spans="1:16" x14ac:dyDescent="0.25">
      <c r="A44" s="154">
        <v>2026</v>
      </c>
      <c r="B44" s="175">
        <f t="shared" si="17"/>
        <v>11.349098326312195</v>
      </c>
      <c r="C44" s="159">
        <f t="shared" ref="C44:H44" si="26">$I$44*C21</f>
        <v>6.7748938664413147</v>
      </c>
      <c r="D44" s="159">
        <f t="shared" si="26"/>
        <v>0.55007646074271443</v>
      </c>
      <c r="E44" s="160">
        <f t="shared" si="26"/>
        <v>10.649827905724226</v>
      </c>
      <c r="F44" s="175">
        <f>$I$44*F21</f>
        <v>1.1600422988185153</v>
      </c>
      <c r="G44" s="159">
        <f t="shared" si="26"/>
        <v>0</v>
      </c>
      <c r="H44" s="161">
        <f t="shared" si="26"/>
        <v>0</v>
      </c>
      <c r="I44" s="162">
        <f>'timbulan sampah'!E20</f>
        <v>30.764250000000001</v>
      </c>
      <c r="J44" s="163">
        <f t="shared" si="11"/>
        <v>30.483938858038965</v>
      </c>
    </row>
    <row r="45" spans="1:16" x14ac:dyDescent="0.25">
      <c r="A45" s="154">
        <v>2027</v>
      </c>
      <c r="B45" s="175">
        <f t="shared" si="17"/>
        <v>11.604540000765443</v>
      </c>
      <c r="C45" s="159">
        <f t="shared" ref="C45:H45" si="27">$I$45*C22</f>
        <v>6.6257224335045297</v>
      </c>
      <c r="D45" s="159">
        <f t="shared" si="27"/>
        <v>0.56678623669905781</v>
      </c>
      <c r="E45" s="160">
        <f t="shared" si="27"/>
        <v>10.542301395592434</v>
      </c>
      <c r="F45" s="175">
        <f>$I$45*F22</f>
        <v>1.2469972226256489</v>
      </c>
      <c r="G45" s="159">
        <f t="shared" si="27"/>
        <v>0</v>
      </c>
      <c r="H45" s="161">
        <f t="shared" si="27"/>
        <v>0</v>
      </c>
      <c r="I45" s="162">
        <f>'timbulan sampah'!E21</f>
        <v>30.820400000000003</v>
      </c>
      <c r="J45" s="163">
        <f t="shared" si="11"/>
        <v>30.586347289187113</v>
      </c>
    </row>
    <row r="46" spans="1:16" x14ac:dyDescent="0.25">
      <c r="A46" s="154">
        <v>2028</v>
      </c>
      <c r="B46" s="175">
        <f t="shared" si="17"/>
        <v>11.862796279573043</v>
      </c>
      <c r="C46" s="159">
        <f t="shared" ref="C46:H46" si="28">$I$46*C23</f>
        <v>6.4798139898938274</v>
      </c>
      <c r="D46" s="159">
        <f t="shared" si="28"/>
        <v>0.58400167027967442</v>
      </c>
      <c r="E46" s="160">
        <f t="shared" si="28"/>
        <v>10.435825894272046</v>
      </c>
      <c r="F46" s="175">
        <f>$I$46*F23</f>
        <v>1.3404656998982201</v>
      </c>
      <c r="G46" s="159">
        <f t="shared" si="28"/>
        <v>0</v>
      </c>
      <c r="H46" s="160">
        <f t="shared" si="28"/>
        <v>0</v>
      </c>
      <c r="I46" s="162">
        <f>'timbulan sampah'!E22</f>
        <v>30.876550000000002</v>
      </c>
      <c r="J46" s="163">
        <f t="shared" si="11"/>
        <v>30.702903533916814</v>
      </c>
    </row>
    <row r="47" spans="1:16" x14ac:dyDescent="0.25">
      <c r="A47" s="154">
        <v>2029</v>
      </c>
      <c r="B47" s="175">
        <f t="shared" si="17"/>
        <v>12.123632659378798</v>
      </c>
      <c r="C47" s="159">
        <f t="shared" ref="C47:H47" si="29">$I$47*C24</f>
        <v>6.337097713983761</v>
      </c>
      <c r="D47" s="159">
        <f t="shared" si="29"/>
        <v>0.60173801145362726</v>
      </c>
      <c r="E47" s="160">
        <f t="shared" si="29"/>
        <v>10.330391614582455</v>
      </c>
      <c r="F47" s="175">
        <f>$I$47*F24</f>
        <v>1.4409353266532146</v>
      </c>
      <c r="G47" s="159">
        <f t="shared" si="29"/>
        <v>0</v>
      </c>
      <c r="H47" s="160">
        <f t="shared" si="29"/>
        <v>0</v>
      </c>
      <c r="I47" s="162">
        <f>'timbulan sampah'!E23</f>
        <v>30.932700000000001</v>
      </c>
      <c r="J47" s="163">
        <f t="shared" si="11"/>
        <v>30.833795326051852</v>
      </c>
    </row>
    <row r="48" spans="1:16" x14ac:dyDescent="0.25">
      <c r="A48" s="154">
        <v>2030</v>
      </c>
      <c r="B48" s="175">
        <f t="shared" si="17"/>
        <v>12.395540000000002</v>
      </c>
      <c r="C48" s="159">
        <f t="shared" ref="C48:H48" si="30">$I$48*C25</f>
        <v>6.1977700000000011</v>
      </c>
      <c r="D48" s="159">
        <f t="shared" si="30"/>
        <v>0.61977700000000002</v>
      </c>
      <c r="E48" s="160">
        <f t="shared" si="30"/>
        <v>10.226320500000002</v>
      </c>
      <c r="F48" s="175">
        <f>$I$48*F25</f>
        <v>1.5494425000000003</v>
      </c>
      <c r="G48" s="159">
        <f t="shared" si="30"/>
        <v>0</v>
      </c>
      <c r="H48" s="160">
        <f t="shared" si="30"/>
        <v>0</v>
      </c>
      <c r="I48" s="162">
        <f>'timbulan sampah'!E24</f>
        <v>30.988850000000003</v>
      </c>
      <c r="J48" s="163">
        <f t="shared" si="11"/>
        <v>30.988850000000003</v>
      </c>
    </row>
    <row r="50" spans="2:6" x14ac:dyDescent="0.25">
      <c r="B50" s="176">
        <f>B29*1000</f>
        <v>8978.2515199999998</v>
      </c>
      <c r="E50" s="154">
        <v>2017</v>
      </c>
      <c r="F50" s="176">
        <f>F35*1000</f>
        <v>605.178</v>
      </c>
    </row>
    <row r="51" spans="2:6" x14ac:dyDescent="0.25">
      <c r="B51" s="176">
        <f t="shared" ref="B51:B69" si="31">B30*1000</f>
        <v>9046.8452199999992</v>
      </c>
      <c r="E51" s="154">
        <v>2018</v>
      </c>
      <c r="F51" s="176">
        <f t="shared" ref="F51:F63" si="32">F36*1000</f>
        <v>650.56097299999999</v>
      </c>
    </row>
    <row r="52" spans="2:6" x14ac:dyDescent="0.25">
      <c r="B52" s="176">
        <f t="shared" si="31"/>
        <v>9104.8179600000003</v>
      </c>
      <c r="E52" s="154">
        <v>2019</v>
      </c>
      <c r="F52" s="176">
        <f t="shared" si="32"/>
        <v>699.34486649600001</v>
      </c>
    </row>
    <row r="53" spans="2:6" x14ac:dyDescent="0.25">
      <c r="B53" s="176">
        <f t="shared" si="31"/>
        <v>9160.0722399999995</v>
      </c>
      <c r="E53" s="154">
        <v>2020</v>
      </c>
      <c r="F53" s="176">
        <f t="shared" si="32"/>
        <v>751.7843690172989</v>
      </c>
    </row>
    <row r="54" spans="2:6" x14ac:dyDescent="0.25">
      <c r="B54" s="176">
        <f t="shared" si="31"/>
        <v>9219.8783600000006</v>
      </c>
      <c r="E54" s="154">
        <v>2021</v>
      </c>
      <c r="F54" s="176">
        <f t="shared" si="32"/>
        <v>808.15323011315036</v>
      </c>
    </row>
    <row r="55" spans="2:6" x14ac:dyDescent="0.25">
      <c r="B55" s="176">
        <f t="shared" si="31"/>
        <v>9249.5285399999993</v>
      </c>
      <c r="E55" s="154">
        <v>2022</v>
      </c>
      <c r="F55" s="176">
        <f t="shared" si="32"/>
        <v>868.74568602650288</v>
      </c>
    </row>
    <row r="56" spans="2:6" x14ac:dyDescent="0.25">
      <c r="B56" s="176">
        <f t="shared" si="31"/>
        <v>9203.563666394999</v>
      </c>
      <c r="E56" s="154">
        <v>2023</v>
      </c>
      <c r="F56" s="176">
        <f t="shared" si="32"/>
        <v>933.87799193993214</v>
      </c>
    </row>
    <row r="57" spans="2:6" x14ac:dyDescent="0.25">
      <c r="B57" s="176">
        <f t="shared" si="31"/>
        <v>9426.9693619500777</v>
      </c>
      <c r="E57" s="154">
        <v>2024</v>
      </c>
      <c r="F57" s="176">
        <f t="shared" si="32"/>
        <v>1003.8900687558863</v>
      </c>
    </row>
    <row r="58" spans="2:6" x14ac:dyDescent="0.25">
      <c r="B58" s="176">
        <f t="shared" si="31"/>
        <v>9654.3042248368893</v>
      </c>
      <c r="E58" s="154">
        <v>2025</v>
      </c>
      <c r="F58" s="176">
        <f t="shared" si="32"/>
        <v>1079.1472729679224</v>
      </c>
    </row>
    <row r="59" spans="2:6" x14ac:dyDescent="0.25">
      <c r="B59" s="176">
        <f t="shared" si="31"/>
        <v>9885.5126211736242</v>
      </c>
      <c r="E59" s="154">
        <v>2026</v>
      </c>
      <c r="F59" s="176">
        <f t="shared" si="32"/>
        <v>1160.0422988185153</v>
      </c>
    </row>
    <row r="60" spans="2:6" x14ac:dyDescent="0.25">
      <c r="B60" s="176">
        <f t="shared" si="31"/>
        <v>10120.525241455929</v>
      </c>
      <c r="E60" s="154">
        <v>2027</v>
      </c>
      <c r="F60" s="176">
        <f t="shared" si="32"/>
        <v>1246.9972226256489</v>
      </c>
    </row>
    <row r="61" spans="2:6" x14ac:dyDescent="0.25">
      <c r="B61" s="176">
        <f t="shared" si="31"/>
        <v>10359.257820103147</v>
      </c>
      <c r="E61" s="154">
        <v>2028</v>
      </c>
      <c r="F61" s="176">
        <f t="shared" si="32"/>
        <v>1340.46569989822</v>
      </c>
    </row>
    <row r="62" spans="2:6" x14ac:dyDescent="0.25">
      <c r="B62" s="176">
        <f t="shared" si="31"/>
        <v>10601.609752336739</v>
      </c>
      <c r="E62" s="154">
        <v>2029</v>
      </c>
      <c r="F62" s="176">
        <f t="shared" si="32"/>
        <v>1440.9353266532146</v>
      </c>
    </row>
    <row r="63" spans="2:6" x14ac:dyDescent="0.25">
      <c r="B63" s="176">
        <f t="shared" si="31"/>
        <v>10847.462600533439</v>
      </c>
      <c r="E63" s="154">
        <v>2030</v>
      </c>
      <c r="F63" s="176">
        <f t="shared" si="32"/>
        <v>1549.4425000000003</v>
      </c>
    </row>
    <row r="64" spans="2:6" x14ac:dyDescent="0.25">
      <c r="B64" s="176">
        <f t="shared" si="31"/>
        <v>11096.678481603993</v>
      </c>
      <c r="F64" s="177">
        <f>SUM(F50:F63)</f>
        <v>14138.565506312292</v>
      </c>
    </row>
    <row r="65" spans="2:6" x14ac:dyDescent="0.25">
      <c r="B65" s="176">
        <f t="shared" si="31"/>
        <v>11349.098326312194</v>
      </c>
      <c r="F65" s="178">
        <f>F64/14</f>
        <v>1009.8975361651637</v>
      </c>
    </row>
    <row r="66" spans="2:6" x14ac:dyDescent="0.25">
      <c r="B66" s="176">
        <f t="shared" si="31"/>
        <v>11604.540000765443</v>
      </c>
    </row>
    <row r="67" spans="2:6" x14ac:dyDescent="0.25">
      <c r="B67" s="176">
        <f t="shared" si="31"/>
        <v>11862.796279573044</v>
      </c>
    </row>
    <row r="68" spans="2:6" x14ac:dyDescent="0.25">
      <c r="B68" s="176">
        <f t="shared" si="31"/>
        <v>12123.632659378798</v>
      </c>
    </row>
    <row r="69" spans="2:6" x14ac:dyDescent="0.25">
      <c r="B69" s="176">
        <f t="shared" si="31"/>
        <v>12395.540000000003</v>
      </c>
    </row>
    <row r="70" spans="2:6" x14ac:dyDescent="0.25">
      <c r="B70" s="177">
        <f>SUM(B50:B69)</f>
        <v>205290.88487641833</v>
      </c>
    </row>
    <row r="71" spans="2:6" x14ac:dyDescent="0.25">
      <c r="B71" s="178">
        <f>B70/20</f>
        <v>10264.544243820917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C8" zoomScale="85" zoomScaleNormal="85" workbookViewId="0">
      <selection activeCell="M79" sqref="M79"/>
    </sheetView>
  </sheetViews>
  <sheetFormatPr defaultRowHeight="15" x14ac:dyDescent="0.25"/>
  <cols>
    <col min="1" max="1" width="9.42578125" style="94" bestFit="1" customWidth="1"/>
    <col min="2" max="2" width="11.5703125" style="94" bestFit="1" customWidth="1"/>
    <col min="3" max="3" width="11" style="94" bestFit="1" customWidth="1"/>
    <col min="4" max="4" width="12.7109375" style="94" bestFit="1" customWidth="1"/>
    <col min="5" max="5" width="12.42578125" style="94" customWidth="1"/>
    <col min="6" max="6" width="15.28515625" style="94" customWidth="1"/>
    <col min="7" max="7" width="14.7109375" style="94" customWidth="1"/>
    <col min="8" max="8" width="9.42578125" style="94" bestFit="1" customWidth="1"/>
    <col min="9" max="9" width="13.42578125" style="94" customWidth="1"/>
    <col min="10" max="10" width="10.28515625" style="94" bestFit="1" customWidth="1"/>
    <col min="11" max="14" width="9.42578125" style="94" bestFit="1" customWidth="1"/>
    <col min="15" max="15" width="9.140625" style="94"/>
    <col min="16" max="19" width="9.42578125" style="94" bestFit="1" customWidth="1"/>
    <col min="20" max="23" width="9.140625" style="94"/>
    <col min="24" max="24" width="9.5703125" style="94" bestFit="1" customWidth="1"/>
    <col min="25" max="16384" width="9.140625" style="94"/>
  </cols>
  <sheetData>
    <row r="2" spans="1:24" x14ac:dyDescent="0.25">
      <c r="A2" s="101" t="s">
        <v>117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126</v>
      </c>
    </row>
    <row r="6" spans="1:24" ht="35.25" customHeight="1" x14ac:dyDescent="0.25">
      <c r="A6" s="200" t="s">
        <v>11</v>
      </c>
      <c r="B6" s="206" t="s">
        <v>118</v>
      </c>
      <c r="C6" s="206"/>
      <c r="D6" s="206"/>
      <c r="E6" s="105" t="s">
        <v>114</v>
      </c>
      <c r="F6" s="200" t="s">
        <v>11</v>
      </c>
      <c r="G6" s="206" t="s">
        <v>111</v>
      </c>
      <c r="H6" s="206"/>
      <c r="I6" s="206"/>
      <c r="J6" s="95" t="s">
        <v>115</v>
      </c>
      <c r="K6" s="200" t="s">
        <v>11</v>
      </c>
      <c r="L6" s="206" t="s">
        <v>112</v>
      </c>
      <c r="M6" s="206"/>
      <c r="N6" s="206"/>
      <c r="O6" s="95" t="s">
        <v>115</v>
      </c>
      <c r="P6" s="200" t="s">
        <v>11</v>
      </c>
      <c r="Q6" s="206" t="s">
        <v>113</v>
      </c>
      <c r="R6" s="206"/>
      <c r="S6" s="206"/>
      <c r="X6" s="96"/>
    </row>
    <row r="7" spans="1:24" ht="18" x14ac:dyDescent="0.25">
      <c r="A7" s="200"/>
      <c r="B7" s="200" t="s">
        <v>129</v>
      </c>
      <c r="C7" s="200"/>
      <c r="D7" s="206" t="s">
        <v>130</v>
      </c>
      <c r="E7" s="106"/>
      <c r="F7" s="200"/>
      <c r="G7" s="200" t="s">
        <v>129</v>
      </c>
      <c r="H7" s="200"/>
      <c r="I7" s="206" t="s">
        <v>130</v>
      </c>
      <c r="K7" s="200"/>
      <c r="L7" s="200" t="s">
        <v>129</v>
      </c>
      <c r="M7" s="200"/>
      <c r="N7" s="206" t="s">
        <v>130</v>
      </c>
      <c r="P7" s="200"/>
      <c r="Q7" s="200" t="s">
        <v>129</v>
      </c>
      <c r="R7" s="200"/>
      <c r="S7" s="206" t="s">
        <v>130</v>
      </c>
      <c r="X7" s="96"/>
    </row>
    <row r="8" spans="1:24" ht="18" x14ac:dyDescent="0.25">
      <c r="A8" s="200"/>
      <c r="B8" s="107" t="s">
        <v>131</v>
      </c>
      <c r="C8" s="107" t="s">
        <v>132</v>
      </c>
      <c r="D8" s="206"/>
      <c r="E8" s="108"/>
      <c r="F8" s="200"/>
      <c r="G8" s="107" t="s">
        <v>131</v>
      </c>
      <c r="H8" s="107" t="s">
        <v>132</v>
      </c>
      <c r="I8" s="206"/>
      <c r="K8" s="200"/>
      <c r="L8" s="107" t="s">
        <v>131</v>
      </c>
      <c r="M8" s="107" t="s">
        <v>132</v>
      </c>
      <c r="N8" s="206"/>
      <c r="P8" s="200"/>
      <c r="Q8" s="107" t="s">
        <v>131</v>
      </c>
      <c r="R8" s="107" t="s">
        <v>132</v>
      </c>
      <c r="S8" s="206"/>
    </row>
    <row r="9" spans="1:24" x14ac:dyDescent="0.25">
      <c r="A9" s="88">
        <v>2011</v>
      </c>
      <c r="B9" s="168">
        <f>[2]Results!O28</f>
        <v>0.52024645146955328</v>
      </c>
      <c r="C9" s="134">
        <f>B9*21</f>
        <v>10.925175480860618</v>
      </c>
      <c r="D9" s="169">
        <f t="shared" ref="D9:D14" si="0">E9+C9</f>
        <v>10.925175480860618</v>
      </c>
      <c r="E9" s="111"/>
      <c r="F9" s="88">
        <v>2011</v>
      </c>
      <c r="G9" s="168">
        <f>[3]Results!O28</f>
        <v>0</v>
      </c>
      <c r="H9" s="134">
        <f>G9*21</f>
        <v>0</v>
      </c>
      <c r="I9" s="169">
        <f t="shared" ref="I9:I14" si="1">J9+H9</f>
        <v>0</v>
      </c>
      <c r="K9" s="88">
        <v>2011</v>
      </c>
      <c r="L9" s="170">
        <f>[4]Results!O28</f>
        <v>0.36892896096619748</v>
      </c>
      <c r="M9" s="134">
        <f>L9*21</f>
        <v>7.7475081802901471</v>
      </c>
      <c r="N9" s="169">
        <f>O9+M9</f>
        <v>7.7475081802901471</v>
      </c>
      <c r="P9" s="88">
        <v>2011</v>
      </c>
      <c r="Q9" s="170">
        <f>[5]Results!O28</f>
        <v>0</v>
      </c>
      <c r="R9" s="134">
        <f>Q9*21</f>
        <v>0</v>
      </c>
      <c r="S9" s="169">
        <f>T9+R9</f>
        <v>0</v>
      </c>
    </row>
    <row r="10" spans="1:24" x14ac:dyDescent="0.25">
      <c r="A10" s="88">
        <v>2012</v>
      </c>
      <c r="B10" s="168">
        <f>[2]Results!O29</f>
        <v>0.50061531918364777</v>
      </c>
      <c r="C10" s="134">
        <f t="shared" ref="C10:C14" si="2">B10*21</f>
        <v>10.512921702856604</v>
      </c>
      <c r="D10" s="169">
        <f t="shared" si="0"/>
        <v>10.512921702856604</v>
      </c>
      <c r="E10" s="111"/>
      <c r="F10" s="88">
        <v>2012</v>
      </c>
      <c r="G10" s="168">
        <f>[3]Results!O29</f>
        <v>0</v>
      </c>
      <c r="H10" s="134">
        <f t="shared" ref="H10:H14" si="3">G10*21</f>
        <v>0</v>
      </c>
      <c r="I10" s="169">
        <f t="shared" si="1"/>
        <v>0</v>
      </c>
      <c r="K10" s="88">
        <v>2012</v>
      </c>
      <c r="L10" s="170">
        <f>[4]Results!O29</f>
        <v>0.35500768727683163</v>
      </c>
      <c r="M10" s="134">
        <f t="shared" ref="M10:M14" si="4">L10*21</f>
        <v>7.4551614328134646</v>
      </c>
      <c r="N10" s="169">
        <f t="shared" ref="N10:N14" si="5">O10+M10</f>
        <v>7.4551614328134646</v>
      </c>
      <c r="P10" s="88">
        <v>2012</v>
      </c>
      <c r="Q10" s="170">
        <f>[5]Results!O29</f>
        <v>0</v>
      </c>
      <c r="R10" s="134">
        <f t="shared" ref="R10:R14" si="6">Q10*21</f>
        <v>0</v>
      </c>
      <c r="S10" s="169">
        <f t="shared" ref="S10:S14" si="7">T10+R10</f>
        <v>0</v>
      </c>
    </row>
    <row r="11" spans="1:24" x14ac:dyDescent="0.25">
      <c r="A11" s="88">
        <v>2013</v>
      </c>
      <c r="B11" s="168">
        <f>[2]Results!O30</f>
        <v>0.48889696233923063</v>
      </c>
      <c r="C11" s="134">
        <f t="shared" si="2"/>
        <v>10.266836209123843</v>
      </c>
      <c r="D11" s="169">
        <f t="shared" si="0"/>
        <v>10.266836209123843</v>
      </c>
      <c r="E11" s="111"/>
      <c r="F11" s="88">
        <v>2013</v>
      </c>
      <c r="G11" s="168">
        <f>[3]Results!O30</f>
        <v>0</v>
      </c>
      <c r="H11" s="134">
        <f t="shared" si="3"/>
        <v>0</v>
      </c>
      <c r="I11" s="169">
        <f t="shared" si="1"/>
        <v>0</v>
      </c>
      <c r="K11" s="88">
        <v>2013</v>
      </c>
      <c r="L11" s="170">
        <f>[4]Results!O30</f>
        <v>0.34669770034154357</v>
      </c>
      <c r="M11" s="134">
        <f t="shared" si="4"/>
        <v>7.2806517071724146</v>
      </c>
      <c r="N11" s="169">
        <f t="shared" si="5"/>
        <v>7.2806517071724146</v>
      </c>
      <c r="P11" s="88">
        <v>2013</v>
      </c>
      <c r="Q11" s="170">
        <f>[5]Results!O30</f>
        <v>0</v>
      </c>
      <c r="R11" s="134">
        <f t="shared" si="6"/>
        <v>0</v>
      </c>
      <c r="S11" s="169">
        <f t="shared" si="7"/>
        <v>0</v>
      </c>
    </row>
    <row r="12" spans="1:24" x14ac:dyDescent="0.25">
      <c r="A12" s="88">
        <v>2014</v>
      </c>
      <c r="B12" s="168">
        <f>[2]Results!O31</f>
        <v>0.48234514244127147</v>
      </c>
      <c r="C12" s="134">
        <f t="shared" si="2"/>
        <v>10.1292479912667</v>
      </c>
      <c r="D12" s="169">
        <f t="shared" si="0"/>
        <v>10.1292479912667</v>
      </c>
      <c r="E12" s="111"/>
      <c r="F12" s="88">
        <v>2014</v>
      </c>
      <c r="G12" s="168">
        <f>[3]Results!O31</f>
        <v>0</v>
      </c>
      <c r="H12" s="134">
        <f t="shared" si="3"/>
        <v>0</v>
      </c>
      <c r="I12" s="169">
        <f t="shared" si="1"/>
        <v>0</v>
      </c>
      <c r="K12" s="88">
        <v>2014</v>
      </c>
      <c r="L12" s="170">
        <f>[4]Results!O31</f>
        <v>0.34205152524402221</v>
      </c>
      <c r="M12" s="134">
        <f t="shared" si="4"/>
        <v>7.1830820301244662</v>
      </c>
      <c r="N12" s="169">
        <f t="shared" si="5"/>
        <v>7.1830820301244662</v>
      </c>
      <c r="P12" s="88">
        <v>2014</v>
      </c>
      <c r="Q12" s="170">
        <f>[5]Results!O31</f>
        <v>0</v>
      </c>
      <c r="R12" s="134">
        <f t="shared" si="6"/>
        <v>0</v>
      </c>
      <c r="S12" s="169">
        <f t="shared" si="7"/>
        <v>0</v>
      </c>
    </row>
    <row r="13" spans="1:24" x14ac:dyDescent="0.25">
      <c r="A13" s="88">
        <v>2015</v>
      </c>
      <c r="B13" s="168">
        <f>[2]Results!O32</f>
        <v>0.47921516908944589</v>
      </c>
      <c r="C13" s="134">
        <f t="shared" si="2"/>
        <v>10.063518550878364</v>
      </c>
      <c r="D13" s="169">
        <f t="shared" si="0"/>
        <v>10.063518550878364</v>
      </c>
      <c r="E13" s="111"/>
      <c r="F13" s="88">
        <v>2015</v>
      </c>
      <c r="G13" s="168">
        <f>[3]Results!O32</f>
        <v>0</v>
      </c>
      <c r="H13" s="134">
        <f t="shared" si="3"/>
        <v>0</v>
      </c>
      <c r="I13" s="169">
        <f t="shared" si="1"/>
        <v>0</v>
      </c>
      <c r="K13" s="88">
        <v>2015</v>
      </c>
      <c r="L13" s="170">
        <f>[4]Results!O32</f>
        <v>0.33983192756434732</v>
      </c>
      <c r="M13" s="134">
        <f t="shared" si="4"/>
        <v>7.1364704788512938</v>
      </c>
      <c r="N13" s="169">
        <f t="shared" si="5"/>
        <v>7.1364704788512938</v>
      </c>
      <c r="P13" s="88">
        <v>2015</v>
      </c>
      <c r="Q13" s="170">
        <f>[5]Results!O32</f>
        <v>0</v>
      </c>
      <c r="R13" s="134">
        <f t="shared" si="6"/>
        <v>0</v>
      </c>
      <c r="S13" s="169">
        <f t="shared" si="7"/>
        <v>0</v>
      </c>
    </row>
    <row r="14" spans="1:24" x14ac:dyDescent="0.25">
      <c r="A14" s="88">
        <v>2016</v>
      </c>
      <c r="B14" s="168">
        <f>[2]Results!O33</f>
        <v>0.47843049755232364</v>
      </c>
      <c r="C14" s="134">
        <f t="shared" si="2"/>
        <v>10.047040448598796</v>
      </c>
      <c r="D14" s="169">
        <f t="shared" si="0"/>
        <v>10.047040448598796</v>
      </c>
      <c r="E14" s="111"/>
      <c r="F14" s="88">
        <v>2016</v>
      </c>
      <c r="G14" s="168">
        <f>[3]Results!O33</f>
        <v>0</v>
      </c>
      <c r="H14" s="134">
        <f t="shared" si="3"/>
        <v>0</v>
      </c>
      <c r="I14" s="169">
        <f t="shared" si="1"/>
        <v>0</v>
      </c>
      <c r="K14" s="88">
        <v>2016</v>
      </c>
      <c r="L14" s="170">
        <f>[4]Results!O33</f>
        <v>0.3392754834904424</v>
      </c>
      <c r="M14" s="134">
        <f t="shared" si="4"/>
        <v>7.1247851532992907</v>
      </c>
      <c r="N14" s="169">
        <f t="shared" si="5"/>
        <v>7.1247851532992907</v>
      </c>
      <c r="P14" s="88">
        <v>2016</v>
      </c>
      <c r="Q14" s="170">
        <f>[5]Results!O33</f>
        <v>0</v>
      </c>
      <c r="R14" s="134">
        <f t="shared" si="6"/>
        <v>0</v>
      </c>
      <c r="S14" s="169">
        <f t="shared" si="7"/>
        <v>0</v>
      </c>
    </row>
    <row r="15" spans="1:24" x14ac:dyDescent="0.25">
      <c r="A15" s="88">
        <v>2017</v>
      </c>
      <c r="B15" s="168">
        <f>[2]Results!O34</f>
        <v>0.47881297601118755</v>
      </c>
      <c r="C15" s="134">
        <f t="shared" ref="C15:C29" si="8">B15*21</f>
        <v>10.055072496234938</v>
      </c>
      <c r="D15" s="169">
        <f t="shared" ref="D15:D29" si="9">E15+C15</f>
        <v>10.055072496234938</v>
      </c>
      <c r="E15" s="111"/>
      <c r="F15" s="88">
        <v>2017</v>
      </c>
      <c r="G15" s="168">
        <f>[3]Results!O34</f>
        <v>0</v>
      </c>
      <c r="H15" s="134">
        <f t="shared" ref="H15:H29" si="10">G15*21</f>
        <v>0</v>
      </c>
      <c r="I15" s="169">
        <f t="shared" ref="I15:I29" si="11">J15+H15</f>
        <v>0</v>
      </c>
      <c r="K15" s="88">
        <v>2017</v>
      </c>
      <c r="L15" s="170">
        <f>[4]Results!O34</f>
        <v>0.33954671528841451</v>
      </c>
      <c r="M15" s="134">
        <f t="shared" ref="M15:M29" si="12">L15*21</f>
        <v>7.1304810210567044</v>
      </c>
      <c r="N15" s="169">
        <f t="shared" ref="N15:N29" si="13">O15+M15</f>
        <v>7.1304810210567044</v>
      </c>
      <c r="P15" s="88">
        <v>2017</v>
      </c>
      <c r="Q15" s="170">
        <f>[5]Results!O34</f>
        <v>0</v>
      </c>
      <c r="R15" s="134">
        <f t="shared" ref="R15:R29" si="14">Q15*21</f>
        <v>0</v>
      </c>
      <c r="S15" s="169">
        <f t="shared" ref="S15:S29" si="15">T15+R15</f>
        <v>0</v>
      </c>
    </row>
    <row r="16" spans="1:24" x14ac:dyDescent="0.25">
      <c r="A16" s="88">
        <v>2018</v>
      </c>
      <c r="B16" s="168">
        <f>[2]Results!O35</f>
        <v>0.47895758397708282</v>
      </c>
      <c r="C16" s="134">
        <f t="shared" si="8"/>
        <v>10.058109263518739</v>
      </c>
      <c r="D16" s="169">
        <f t="shared" si="9"/>
        <v>10.058109263518739</v>
      </c>
      <c r="E16" s="111"/>
      <c r="F16" s="88">
        <v>2018</v>
      </c>
      <c r="G16" s="168">
        <f>[3]Results!O35</f>
        <v>0</v>
      </c>
      <c r="H16" s="134">
        <f t="shared" si="10"/>
        <v>0</v>
      </c>
      <c r="I16" s="169">
        <f t="shared" si="11"/>
        <v>0</v>
      </c>
      <c r="K16" s="88">
        <v>2018</v>
      </c>
      <c r="L16" s="170">
        <f>[4]Results!O35</f>
        <v>0.34089904013881089</v>
      </c>
      <c r="M16" s="134">
        <f t="shared" si="12"/>
        <v>7.1588798429150291</v>
      </c>
      <c r="N16" s="169">
        <f t="shared" si="13"/>
        <v>7.1588798429150291</v>
      </c>
      <c r="P16" s="88">
        <v>2018</v>
      </c>
      <c r="Q16" s="170">
        <f>[5]Results!O35</f>
        <v>4.7887767823621636E-3</v>
      </c>
      <c r="R16" s="134">
        <f t="shared" si="14"/>
        <v>0.10056431242960544</v>
      </c>
      <c r="S16" s="169">
        <f t="shared" si="15"/>
        <v>0.10056431242960544</v>
      </c>
    </row>
    <row r="17" spans="1:19" x14ac:dyDescent="0.25">
      <c r="A17" s="88">
        <v>2019</v>
      </c>
      <c r="B17" s="168">
        <f>[2]Results!O36</f>
        <v>0.48243638440871833</v>
      </c>
      <c r="C17" s="134">
        <f t="shared" si="8"/>
        <v>10.131164072583084</v>
      </c>
      <c r="D17" s="169">
        <f t="shared" si="9"/>
        <v>10.131164072583084</v>
      </c>
      <c r="E17" s="111"/>
      <c r="F17" s="88">
        <v>2019</v>
      </c>
      <c r="G17" s="168">
        <f>[3]Results!O36</f>
        <v>0</v>
      </c>
      <c r="H17" s="134">
        <f t="shared" si="10"/>
        <v>0</v>
      </c>
      <c r="I17" s="169">
        <f t="shared" si="11"/>
        <v>0</v>
      </c>
      <c r="K17" s="88">
        <v>2019</v>
      </c>
      <c r="L17" s="170">
        <f>[4]Results!O36</f>
        <v>0.34024065900877337</v>
      </c>
      <c r="M17" s="134">
        <f t="shared" si="12"/>
        <v>7.1450538391842411</v>
      </c>
      <c r="N17" s="169">
        <f t="shared" si="13"/>
        <v>7.1450538391842411</v>
      </c>
      <c r="P17" s="88">
        <v>2019</v>
      </c>
      <c r="Q17" s="170">
        <f>[5]Results!O36</f>
        <v>8.5358485610817301E-3</v>
      </c>
      <c r="R17" s="134">
        <f t="shared" si="14"/>
        <v>0.17925281978271634</v>
      </c>
      <c r="S17" s="169">
        <f t="shared" si="15"/>
        <v>0.17925281978271634</v>
      </c>
    </row>
    <row r="18" spans="1:19" x14ac:dyDescent="0.25">
      <c r="A18" s="88">
        <v>2020</v>
      </c>
      <c r="B18" s="168">
        <f>[2]Results!O37</f>
        <v>0.48828077727630431</v>
      </c>
      <c r="C18" s="134">
        <f t="shared" si="8"/>
        <v>10.25389632280239</v>
      </c>
      <c r="D18" s="169">
        <f t="shared" si="9"/>
        <v>10.25389632280239</v>
      </c>
      <c r="E18" s="111"/>
      <c r="F18" s="88">
        <v>2020</v>
      </c>
      <c r="G18" s="168">
        <f>[3]Results!O37</f>
        <v>0</v>
      </c>
      <c r="H18" s="134">
        <f t="shared" si="10"/>
        <v>0</v>
      </c>
      <c r="I18" s="169">
        <f t="shared" si="11"/>
        <v>0</v>
      </c>
      <c r="K18" s="88">
        <v>2020</v>
      </c>
      <c r="L18" s="170">
        <f>[4]Results!O37</f>
        <v>0.33817756050985859</v>
      </c>
      <c r="M18" s="134">
        <f t="shared" si="12"/>
        <v>7.1017287707070302</v>
      </c>
      <c r="N18" s="169">
        <f t="shared" si="13"/>
        <v>7.1017287707070302</v>
      </c>
      <c r="P18" s="88">
        <v>2020</v>
      </c>
      <c r="Q18" s="170">
        <f>[5]Results!O37</f>
        <v>1.1602958683124625E-2</v>
      </c>
      <c r="R18" s="134">
        <f t="shared" si="14"/>
        <v>0.24366213234561712</v>
      </c>
      <c r="S18" s="169">
        <f t="shared" si="15"/>
        <v>0.24366213234561712</v>
      </c>
    </row>
    <row r="19" spans="1:19" x14ac:dyDescent="0.25">
      <c r="A19" s="88">
        <v>2021</v>
      </c>
      <c r="B19" s="168">
        <f>[2]Results!O38</f>
        <v>0.49583145098312797</v>
      </c>
      <c r="C19" s="134">
        <f t="shared" si="8"/>
        <v>10.412460470645687</v>
      </c>
      <c r="D19" s="169">
        <f t="shared" si="9"/>
        <v>10.412460470645687</v>
      </c>
      <c r="E19" s="111"/>
      <c r="F19" s="88">
        <v>2021</v>
      </c>
      <c r="G19" s="168">
        <f>[3]Results!O38</f>
        <v>0</v>
      </c>
      <c r="H19" s="134">
        <f t="shared" si="10"/>
        <v>0</v>
      </c>
      <c r="I19" s="169">
        <f t="shared" si="11"/>
        <v>0</v>
      </c>
      <c r="K19" s="88">
        <v>2021</v>
      </c>
      <c r="L19" s="170">
        <f>[4]Results!O38</f>
        <v>0.33512779880102739</v>
      </c>
      <c r="M19" s="134">
        <f t="shared" si="12"/>
        <v>7.0376837748215753</v>
      </c>
      <c r="N19" s="169">
        <f t="shared" si="13"/>
        <v>7.0376837748215753</v>
      </c>
      <c r="P19" s="88">
        <v>2021</v>
      </c>
      <c r="Q19" s="170">
        <f>[5]Results!O38</f>
        <v>1.4236993784760387E-2</v>
      </c>
      <c r="R19" s="134">
        <f t="shared" si="14"/>
        <v>0.2989768694799681</v>
      </c>
      <c r="S19" s="169">
        <f t="shared" si="15"/>
        <v>0.2989768694799681</v>
      </c>
    </row>
    <row r="20" spans="1:19" x14ac:dyDescent="0.25">
      <c r="A20" s="88">
        <v>2022</v>
      </c>
      <c r="B20" s="168">
        <f>[2]Results!O39</f>
        <v>0.50463765346246836</v>
      </c>
      <c r="C20" s="134">
        <f t="shared" si="8"/>
        <v>10.597390722711836</v>
      </c>
      <c r="D20" s="169">
        <f t="shared" si="9"/>
        <v>10.597390722711836</v>
      </c>
      <c r="E20" s="111"/>
      <c r="F20" s="88">
        <v>2022</v>
      </c>
      <c r="G20" s="168">
        <f>[3]Results!O39</f>
        <v>0</v>
      </c>
      <c r="H20" s="134">
        <f t="shared" si="10"/>
        <v>0</v>
      </c>
      <c r="I20" s="169">
        <f t="shared" si="11"/>
        <v>0</v>
      </c>
      <c r="K20" s="88">
        <v>2022</v>
      </c>
      <c r="L20" s="170">
        <f>[4]Results!O39</f>
        <v>0.33138178230942439</v>
      </c>
      <c r="M20" s="134">
        <f t="shared" si="12"/>
        <v>6.9590174284979121</v>
      </c>
      <c r="N20" s="169">
        <f t="shared" si="13"/>
        <v>6.9590174284979121</v>
      </c>
      <c r="P20" s="88">
        <v>2022</v>
      </c>
      <c r="Q20" s="170">
        <f>[5]Results!O39</f>
        <v>1.6607732312348314E-2</v>
      </c>
      <c r="R20" s="134">
        <f t="shared" si="14"/>
        <v>0.34876237855931458</v>
      </c>
      <c r="S20" s="169">
        <f t="shared" si="15"/>
        <v>0.34876237855931458</v>
      </c>
    </row>
    <row r="21" spans="1:19" x14ac:dyDescent="0.25">
      <c r="A21" s="88">
        <v>2023</v>
      </c>
      <c r="B21" s="168">
        <f>[2]Results!O40</f>
        <v>0.51438942612686456</v>
      </c>
      <c r="C21" s="134">
        <f t="shared" si="8"/>
        <v>10.802177948664156</v>
      </c>
      <c r="D21" s="169">
        <f t="shared" si="9"/>
        <v>10.802177948664156</v>
      </c>
      <c r="E21" s="111"/>
      <c r="F21" s="88">
        <v>2023</v>
      </c>
      <c r="G21" s="168">
        <f>[3]Results!O40</f>
        <v>0</v>
      </c>
      <c r="H21" s="134">
        <f t="shared" si="10"/>
        <v>0</v>
      </c>
      <c r="I21" s="169">
        <f t="shared" si="11"/>
        <v>0</v>
      </c>
      <c r="K21" s="88">
        <v>2023</v>
      </c>
      <c r="L21" s="170">
        <f>[4]Results!O40</f>
        <v>0.32714292679298917</v>
      </c>
      <c r="M21" s="134">
        <f t="shared" si="12"/>
        <v>6.8700014626527723</v>
      </c>
      <c r="N21" s="169">
        <f t="shared" si="13"/>
        <v>6.8700014626527723</v>
      </c>
      <c r="P21" s="88">
        <v>2023</v>
      </c>
      <c r="Q21" s="170">
        <f>[5]Results!O40</f>
        <v>1.8833207376510584E-2</v>
      </c>
      <c r="R21" s="134">
        <f t="shared" si="14"/>
        <v>0.39549735490672228</v>
      </c>
      <c r="S21" s="169">
        <f t="shared" si="15"/>
        <v>0.39549735490672228</v>
      </c>
    </row>
    <row r="22" spans="1:19" x14ac:dyDescent="0.25">
      <c r="A22" s="88">
        <v>2024</v>
      </c>
      <c r="B22" s="168">
        <f>[2]Results!O41</f>
        <v>0.52487196702285654</v>
      </c>
      <c r="C22" s="134">
        <f t="shared" si="8"/>
        <v>11.022311307479988</v>
      </c>
      <c r="D22" s="169">
        <f t="shared" si="9"/>
        <v>11.022311307479988</v>
      </c>
      <c r="E22" s="111"/>
      <c r="F22" s="88">
        <v>2024</v>
      </c>
      <c r="G22" s="168">
        <f>[3]Results!O41</f>
        <v>0</v>
      </c>
      <c r="H22" s="134">
        <f t="shared" si="10"/>
        <v>0</v>
      </c>
      <c r="I22" s="169">
        <f t="shared" si="11"/>
        <v>0</v>
      </c>
      <c r="K22" s="88">
        <v>2024</v>
      </c>
      <c r="L22" s="170">
        <f>[4]Results!O41</f>
        <v>0.32255511023413136</v>
      </c>
      <c r="M22" s="134">
        <f t="shared" si="12"/>
        <v>6.7736573149167585</v>
      </c>
      <c r="N22" s="169">
        <f t="shared" si="13"/>
        <v>6.7736573149167585</v>
      </c>
      <c r="P22" s="88">
        <v>2024</v>
      </c>
      <c r="Q22" s="170">
        <f>[5]Results!O41</f>
        <v>2.0996761162262859E-2</v>
      </c>
      <c r="R22" s="134">
        <f t="shared" si="14"/>
        <v>0.44093198440752002</v>
      </c>
      <c r="S22" s="169">
        <f t="shared" si="15"/>
        <v>0.44093198440752002</v>
      </c>
    </row>
    <row r="23" spans="1:19" x14ac:dyDescent="0.25">
      <c r="A23" s="88">
        <v>2025</v>
      </c>
      <c r="B23" s="168">
        <f>[2]Results!O42</f>
        <v>0.53593485556386122</v>
      </c>
      <c r="C23" s="134">
        <f t="shared" si="8"/>
        <v>11.254631966841085</v>
      </c>
      <c r="D23" s="169">
        <f t="shared" si="9"/>
        <v>11.254631966841085</v>
      </c>
      <c r="E23" s="111"/>
      <c r="F23" s="88">
        <v>2025</v>
      </c>
      <c r="G23" s="168">
        <f>[3]Results!O42</f>
        <v>0</v>
      </c>
      <c r="H23" s="134">
        <f t="shared" si="10"/>
        <v>0</v>
      </c>
      <c r="I23" s="169">
        <f t="shared" si="11"/>
        <v>0</v>
      </c>
      <c r="K23" s="88">
        <v>2025</v>
      </c>
      <c r="L23" s="170">
        <f>[4]Results!O42</f>
        <v>0.31772125025913545</v>
      </c>
      <c r="M23" s="134">
        <f t="shared" si="12"/>
        <v>6.6721462554418443</v>
      </c>
      <c r="N23" s="169">
        <f t="shared" si="13"/>
        <v>6.6721462554418443</v>
      </c>
      <c r="P23" s="88">
        <v>2025</v>
      </c>
      <c r="Q23" s="170">
        <f>[5]Results!O42</f>
        <v>2.3158525119692852E-2</v>
      </c>
      <c r="R23" s="134">
        <f t="shared" si="14"/>
        <v>0.48632902751354989</v>
      </c>
      <c r="S23" s="169">
        <f t="shared" si="15"/>
        <v>0.48632902751354989</v>
      </c>
    </row>
    <row r="24" spans="1:19" x14ac:dyDescent="0.25">
      <c r="A24" s="88">
        <v>2026</v>
      </c>
      <c r="B24" s="168">
        <f>[2]Results!O43</f>
        <v>0.54747126243726119</v>
      </c>
      <c r="C24" s="134">
        <f t="shared" si="8"/>
        <v>11.496896511182484</v>
      </c>
      <c r="D24" s="169">
        <f t="shared" si="9"/>
        <v>11.496896511182484</v>
      </c>
      <c r="E24" s="111"/>
      <c r="F24" s="88">
        <v>2026</v>
      </c>
      <c r="G24" s="168">
        <f>[3]Results!O43</f>
        <v>0</v>
      </c>
      <c r="H24" s="134">
        <f t="shared" si="10"/>
        <v>0</v>
      </c>
      <c r="I24" s="169">
        <f t="shared" si="11"/>
        <v>0</v>
      </c>
      <c r="K24" s="88">
        <v>2026</v>
      </c>
      <c r="L24" s="170">
        <f>[4]Results!O43</f>
        <v>0.31271590499324659</v>
      </c>
      <c r="M24" s="134">
        <f t="shared" si="12"/>
        <v>6.5670340048581783</v>
      </c>
      <c r="N24" s="169">
        <f t="shared" si="13"/>
        <v>6.5670340048581783</v>
      </c>
      <c r="P24" s="88">
        <v>2026</v>
      </c>
      <c r="Q24" s="170">
        <f>[5]Results!O43</f>
        <v>2.5363159754449936E-2</v>
      </c>
      <c r="R24" s="134">
        <f t="shared" si="14"/>
        <v>0.53262635484344867</v>
      </c>
      <c r="S24" s="169">
        <f t="shared" si="15"/>
        <v>0.53262635484344867</v>
      </c>
    </row>
    <row r="25" spans="1:19" x14ac:dyDescent="0.25">
      <c r="A25" s="88">
        <v>2027</v>
      </c>
      <c r="B25" s="168">
        <f>[2]Results!O44</f>
        <v>0.55940387188092078</v>
      </c>
      <c r="C25" s="134">
        <f t="shared" si="8"/>
        <v>11.747481309499337</v>
      </c>
      <c r="D25" s="169">
        <f t="shared" si="9"/>
        <v>11.747481309499337</v>
      </c>
      <c r="E25" s="111"/>
      <c r="F25" s="88">
        <v>2027</v>
      </c>
      <c r="G25" s="168">
        <f>[3]Results!O44</f>
        <v>0</v>
      </c>
      <c r="H25" s="134">
        <f t="shared" si="10"/>
        <v>0</v>
      </c>
      <c r="I25" s="169">
        <f t="shared" si="11"/>
        <v>0</v>
      </c>
      <c r="K25" s="88">
        <v>2027</v>
      </c>
      <c r="L25" s="170">
        <f>[4]Results!O44</f>
        <v>0.30759384582947591</v>
      </c>
      <c r="M25" s="134">
        <f t="shared" si="12"/>
        <v>6.4594707624189942</v>
      </c>
      <c r="N25" s="169">
        <f t="shared" si="13"/>
        <v>6.4594707624189942</v>
      </c>
      <c r="P25" s="88">
        <v>2027</v>
      </c>
      <c r="Q25" s="170">
        <f>[5]Results!O44</f>
        <v>2.764508413807882E-2</v>
      </c>
      <c r="R25" s="134">
        <f t="shared" si="14"/>
        <v>0.58054676689965523</v>
      </c>
      <c r="S25" s="169">
        <f t="shared" si="15"/>
        <v>0.58054676689965523</v>
      </c>
    </row>
    <row r="26" spans="1:19" x14ac:dyDescent="0.25">
      <c r="A26" s="88">
        <v>2028</v>
      </c>
      <c r="B26" s="168">
        <f>[2]Results!O45</f>
        <v>0.57167531904919477</v>
      </c>
      <c r="C26" s="134">
        <f t="shared" si="8"/>
        <v>12.00518170003309</v>
      </c>
      <c r="D26" s="169">
        <f t="shared" si="9"/>
        <v>12.00518170003309</v>
      </c>
      <c r="E26" s="111"/>
      <c r="F26" s="88">
        <v>2028</v>
      </c>
      <c r="G26" s="168">
        <f>[3]Results!O45</f>
        <v>0</v>
      </c>
      <c r="H26" s="134">
        <f t="shared" si="10"/>
        <v>0</v>
      </c>
      <c r="I26" s="169">
        <f t="shared" si="11"/>
        <v>0</v>
      </c>
      <c r="K26" s="88">
        <v>2028</v>
      </c>
      <c r="L26" s="170">
        <f>[4]Results!O45</f>
        <v>0.30239591154557849</v>
      </c>
      <c r="M26" s="134">
        <f t="shared" si="12"/>
        <v>6.3503141424571483</v>
      </c>
      <c r="N26" s="169">
        <f t="shared" si="13"/>
        <v>6.3503141424571483</v>
      </c>
      <c r="P26" s="88">
        <v>2028</v>
      </c>
      <c r="Q26" s="170">
        <f>[5]Results!O45</f>
        <v>3.0032020470234937E-2</v>
      </c>
      <c r="R26" s="134">
        <f t="shared" si="14"/>
        <v>0.63067242987493366</v>
      </c>
      <c r="S26" s="169">
        <f t="shared" si="15"/>
        <v>0.63067242987493366</v>
      </c>
    </row>
    <row r="27" spans="1:19" x14ac:dyDescent="0.25">
      <c r="A27" s="88">
        <v>2029</v>
      </c>
      <c r="B27" s="168">
        <f>[2]Results!O46</f>
        <v>0.58424166663825616</v>
      </c>
      <c r="C27" s="134">
        <f t="shared" si="8"/>
        <v>12.269074999403379</v>
      </c>
      <c r="D27" s="169">
        <f t="shared" si="9"/>
        <v>12.269074999403379</v>
      </c>
      <c r="E27" s="111"/>
      <c r="F27" s="88">
        <v>2029</v>
      </c>
      <c r="G27" s="168">
        <f>[3]Results!O46</f>
        <v>0</v>
      </c>
      <c r="H27" s="134">
        <f t="shared" si="10"/>
        <v>0</v>
      </c>
      <c r="I27" s="169">
        <f t="shared" si="11"/>
        <v>0</v>
      </c>
      <c r="K27" s="88">
        <v>2029</v>
      </c>
      <c r="L27" s="170">
        <f>[4]Results!O46</f>
        <v>0.2971530243253524</v>
      </c>
      <c r="M27" s="134">
        <f t="shared" si="12"/>
        <v>6.2402135108324002</v>
      </c>
      <c r="N27" s="169">
        <f t="shared" si="13"/>
        <v>6.2402135108324002</v>
      </c>
      <c r="P27" s="88">
        <v>2029</v>
      </c>
      <c r="Q27" s="170">
        <f>[5]Results!O46</f>
        <v>3.2547407590681067E-2</v>
      </c>
      <c r="R27" s="134">
        <f t="shared" si="14"/>
        <v>0.6834955594043024</v>
      </c>
      <c r="S27" s="169">
        <f t="shared" si="15"/>
        <v>0.6834955594043024</v>
      </c>
    </row>
    <row r="28" spans="1:19" x14ac:dyDescent="0.25">
      <c r="A28" s="88">
        <v>2030</v>
      </c>
      <c r="B28" s="168">
        <f>[2]Results!O47</f>
        <v>0.5970679289652473</v>
      </c>
      <c r="C28" s="134">
        <f t="shared" si="8"/>
        <v>12.538426508270193</v>
      </c>
      <c r="D28" s="169">
        <f t="shared" si="9"/>
        <v>12.538426508270193</v>
      </c>
      <c r="E28" s="111"/>
      <c r="F28" s="88">
        <v>2030</v>
      </c>
      <c r="G28" s="168">
        <f>[3]Results!O47</f>
        <v>0</v>
      </c>
      <c r="H28" s="134">
        <f t="shared" si="10"/>
        <v>0</v>
      </c>
      <c r="I28" s="169">
        <f t="shared" si="11"/>
        <v>0</v>
      </c>
      <c r="K28" s="88">
        <v>2030</v>
      </c>
      <c r="L28" s="170">
        <f>[4]Results!O47</f>
        <v>0.29188896032015571</v>
      </c>
      <c r="M28" s="134">
        <f t="shared" si="12"/>
        <v>6.1296681667232695</v>
      </c>
      <c r="N28" s="169">
        <f t="shared" si="13"/>
        <v>6.1296681667232695</v>
      </c>
      <c r="P28" s="88">
        <v>2030</v>
      </c>
      <c r="Q28" s="170">
        <f>[5]Results!O47</f>
        <v>3.5212055311298722E-2</v>
      </c>
      <c r="R28" s="134">
        <f t="shared" si="14"/>
        <v>0.73945316153727314</v>
      </c>
      <c r="S28" s="169">
        <f t="shared" si="15"/>
        <v>0.73945316153727314</v>
      </c>
    </row>
    <row r="29" spans="1:19" x14ac:dyDescent="0.25">
      <c r="A29" s="88">
        <v>2031</v>
      </c>
      <c r="B29" s="148"/>
      <c r="C29" s="109">
        <f t="shared" si="8"/>
        <v>0</v>
      </c>
      <c r="D29" s="110">
        <f t="shared" si="9"/>
        <v>0</v>
      </c>
      <c r="E29" s="111"/>
      <c r="F29" s="88">
        <v>2031</v>
      </c>
      <c r="G29" s="148"/>
      <c r="H29" s="109">
        <f t="shared" si="10"/>
        <v>0</v>
      </c>
      <c r="I29" s="110">
        <f t="shared" si="11"/>
        <v>0</v>
      </c>
      <c r="K29" s="88">
        <v>2031</v>
      </c>
      <c r="L29" s="147"/>
      <c r="M29" s="109">
        <f t="shared" si="12"/>
        <v>0</v>
      </c>
      <c r="N29" s="110">
        <f t="shared" si="13"/>
        <v>0</v>
      </c>
      <c r="P29" s="88">
        <v>2031</v>
      </c>
      <c r="Q29" s="147"/>
      <c r="R29" s="112">
        <f t="shared" si="14"/>
        <v>0</v>
      </c>
      <c r="S29" s="113">
        <f t="shared" si="15"/>
        <v>0</v>
      </c>
    </row>
    <row r="31" spans="1:19" ht="15.75" thickBot="1" x14ac:dyDescent="0.3">
      <c r="A31" s="114" t="s">
        <v>127</v>
      </c>
    </row>
    <row r="32" spans="1:19" ht="15.75" thickBot="1" x14ac:dyDescent="0.3">
      <c r="A32" s="207" t="s">
        <v>11</v>
      </c>
      <c r="B32" s="209" t="s">
        <v>81</v>
      </c>
      <c r="C32" s="210"/>
      <c r="D32" s="210"/>
      <c r="E32" s="210"/>
      <c r="F32" s="211"/>
    </row>
    <row r="33" spans="1:6" ht="18.75" thickBot="1" x14ac:dyDescent="0.3">
      <c r="A33" s="208"/>
      <c r="B33" s="209" t="s">
        <v>129</v>
      </c>
      <c r="C33" s="211"/>
      <c r="D33" s="209" t="s">
        <v>133</v>
      </c>
      <c r="E33" s="211"/>
      <c r="F33" s="212" t="s">
        <v>130</v>
      </c>
    </row>
    <row r="34" spans="1:6" ht="18" x14ac:dyDescent="0.25">
      <c r="A34" s="208"/>
      <c r="B34" s="115" t="s">
        <v>131</v>
      </c>
      <c r="C34" s="115" t="s">
        <v>132</v>
      </c>
      <c r="D34" s="115" t="s">
        <v>134</v>
      </c>
      <c r="E34" s="115" t="s">
        <v>132</v>
      </c>
      <c r="F34" s="213"/>
    </row>
    <row r="35" spans="1:6" x14ac:dyDescent="0.25">
      <c r="A35" s="88">
        <v>2011</v>
      </c>
      <c r="B35" s="109">
        <f>[6]REKAPITULASI!B6</f>
        <v>1.5337728000000001E-3</v>
      </c>
      <c r="C35" s="109">
        <f>B35*21</f>
        <v>3.2209228800000003E-2</v>
      </c>
      <c r="D35" s="109">
        <f>[6]REKAPITULASI!D6</f>
        <v>1.1503296000000001E-4</v>
      </c>
      <c r="E35" s="109">
        <f>D35*310</f>
        <v>3.5660217600000002E-2</v>
      </c>
      <c r="F35" s="169">
        <f>E35+C35</f>
        <v>6.7869446400000005E-2</v>
      </c>
    </row>
    <row r="36" spans="1:6" x14ac:dyDescent="0.25">
      <c r="A36" s="88">
        <v>2012</v>
      </c>
      <c r="B36" s="109">
        <f>[6]REKAPITULASI!B7</f>
        <v>1.5454908000000001E-3</v>
      </c>
      <c r="C36" s="109">
        <f t="shared" ref="C36:C45" si="16">B36*21</f>
        <v>3.24553068E-2</v>
      </c>
      <c r="D36" s="109">
        <f>[6]REKAPITULASI!D7</f>
        <v>1.1591181E-4</v>
      </c>
      <c r="E36" s="109">
        <f t="shared" ref="E36:E45" si="17">D36*310</f>
        <v>3.5932661099999999E-2</v>
      </c>
      <c r="F36" s="169">
        <f t="shared" ref="F36:F45" si="18">E36+C36</f>
        <v>6.8387967899999999E-2</v>
      </c>
    </row>
    <row r="37" spans="1:6" x14ac:dyDescent="0.25">
      <c r="A37" s="88">
        <v>2013</v>
      </c>
      <c r="B37" s="109">
        <f>[6]REKAPITULASI!B8</f>
        <v>1.5553944000000002E-3</v>
      </c>
      <c r="C37" s="109">
        <f t="shared" si="16"/>
        <v>3.2663282400000007E-2</v>
      </c>
      <c r="D37" s="109">
        <f>[6]REKAPITULASI!D8</f>
        <v>1.1665458000000001E-4</v>
      </c>
      <c r="E37" s="109">
        <f t="shared" si="17"/>
        <v>3.6162919800000005E-2</v>
      </c>
      <c r="F37" s="169">
        <f t="shared" si="18"/>
        <v>6.882620220000002E-2</v>
      </c>
    </row>
    <row r="38" spans="1:6" x14ac:dyDescent="0.25">
      <c r="A38" s="88">
        <v>2014</v>
      </c>
      <c r="B38" s="109">
        <f>[6]REKAPITULASI!B9</f>
        <v>1.5648336000000001E-3</v>
      </c>
      <c r="C38" s="109">
        <f t="shared" si="16"/>
        <v>3.28615056E-2</v>
      </c>
      <c r="D38" s="109">
        <f>[6]REKAPITULASI!D9</f>
        <v>1.1736252E-4</v>
      </c>
      <c r="E38" s="109">
        <f t="shared" si="17"/>
        <v>3.6382381200000001E-2</v>
      </c>
      <c r="F38" s="169">
        <f t="shared" si="18"/>
        <v>6.9243886800000001E-2</v>
      </c>
    </row>
    <row r="39" spans="1:6" x14ac:dyDescent="0.25">
      <c r="A39" s="88">
        <v>2015</v>
      </c>
      <c r="B39" s="109">
        <f>[6]REKAPITULASI!B10</f>
        <v>1.5750504000000003E-3</v>
      </c>
      <c r="C39" s="109">
        <f t="shared" si="16"/>
        <v>3.3076058400000004E-2</v>
      </c>
      <c r="D39" s="109">
        <f>[6]REKAPITULASI!D10</f>
        <v>1.1812878000000002E-4</v>
      </c>
      <c r="E39" s="109">
        <f t="shared" si="17"/>
        <v>3.6619921800000003E-2</v>
      </c>
      <c r="F39" s="169">
        <f t="shared" si="18"/>
        <v>6.9695980200000007E-2</v>
      </c>
    </row>
    <row r="40" spans="1:6" x14ac:dyDescent="0.25">
      <c r="A40" s="88">
        <v>2016</v>
      </c>
      <c r="B40" s="109">
        <f>[6]REKAPITULASI!B11</f>
        <v>1.5801156E-3</v>
      </c>
      <c r="C40" s="109">
        <f t="shared" si="16"/>
        <v>3.3182427600000002E-2</v>
      </c>
      <c r="D40" s="109">
        <f>[6]REKAPITULASI!D11</f>
        <v>1.1850866999999999E-4</v>
      </c>
      <c r="E40" s="109">
        <f t="shared" si="17"/>
        <v>3.67376877E-2</v>
      </c>
      <c r="F40" s="169">
        <f t="shared" si="18"/>
        <v>6.9920115300000002E-2</v>
      </c>
    </row>
    <row r="41" spans="1:6" x14ac:dyDescent="0.25">
      <c r="A41" s="88">
        <v>2017</v>
      </c>
      <c r="B41" s="109">
        <f>[6]REKAPITULASI!B12</f>
        <v>1.6805490471E-3</v>
      </c>
      <c r="C41" s="109">
        <f t="shared" si="16"/>
        <v>3.5291529989099998E-2</v>
      </c>
      <c r="D41" s="109">
        <f>[6]REKAPITULASI!D12</f>
        <v>1.260411785325E-4</v>
      </c>
      <c r="E41" s="109">
        <f t="shared" si="17"/>
        <v>3.9072765345074999E-2</v>
      </c>
      <c r="F41" s="169">
        <f t="shared" si="18"/>
        <v>7.436429533417499E-2</v>
      </c>
    </row>
    <row r="42" spans="1:6" x14ac:dyDescent="0.25">
      <c r="A42" s="88">
        <v>2018</v>
      </c>
      <c r="B42" s="109">
        <f>[6]REKAPITULASI!B13</f>
        <v>1.7316520874655749E-3</v>
      </c>
      <c r="C42" s="109">
        <f t="shared" si="16"/>
        <v>3.6364693836777075E-2</v>
      </c>
      <c r="D42" s="109">
        <f>[6]REKAPITULASI!D13</f>
        <v>1.2987390655991811E-4</v>
      </c>
      <c r="E42" s="109">
        <f t="shared" si="17"/>
        <v>4.0260911033574612E-2</v>
      </c>
      <c r="F42" s="169">
        <f t="shared" si="18"/>
        <v>7.6625604870351693E-2</v>
      </c>
    </row>
    <row r="43" spans="1:6" x14ac:dyDescent="0.25">
      <c r="A43" s="88">
        <v>2019</v>
      </c>
      <c r="B43" s="109">
        <f>[6]REKAPITULASI!B14</f>
        <v>1.7843029751684807E-3</v>
      </c>
      <c r="C43" s="109">
        <f t="shared" si="16"/>
        <v>3.7470362478538091E-2</v>
      </c>
      <c r="D43" s="109">
        <f>[6]REKAPITULASI!D14</f>
        <v>1.3382272313763606E-4</v>
      </c>
      <c r="E43" s="109">
        <f t="shared" si="17"/>
        <v>4.1485044172667178E-2</v>
      </c>
      <c r="F43" s="169">
        <f t="shared" si="18"/>
        <v>7.8955406651205262E-2</v>
      </c>
    </row>
    <row r="44" spans="1:6" x14ac:dyDescent="0.25">
      <c r="A44" s="88">
        <v>2020</v>
      </c>
      <c r="B44" s="109">
        <f>[6]REKAPITULASI!B15</f>
        <v>1.8385484290624082E-3</v>
      </c>
      <c r="C44" s="109">
        <f t="shared" si="16"/>
        <v>3.8609517010310575E-2</v>
      </c>
      <c r="D44" s="109">
        <f>[6]REKAPITULASI!D15</f>
        <v>1.378911321796806E-4</v>
      </c>
      <c r="E44" s="109">
        <f t="shared" si="17"/>
        <v>4.2746250975700985E-2</v>
      </c>
      <c r="F44" s="169">
        <f t="shared" si="18"/>
        <v>8.135576798601156E-2</v>
      </c>
    </row>
    <row r="45" spans="1:6" x14ac:dyDescent="0.25">
      <c r="A45" s="88">
        <v>2021</v>
      </c>
      <c r="B45" s="109">
        <f>[6]REKAPITULASI!B16</f>
        <v>1.8944365737367087E-3</v>
      </c>
      <c r="C45" s="109">
        <f t="shared" si="16"/>
        <v>3.9783168048470881E-2</v>
      </c>
      <c r="D45" s="109">
        <f>[6]REKAPITULASI!D16</f>
        <v>1.4208274303025316E-4</v>
      </c>
      <c r="E45" s="109">
        <f t="shared" si="17"/>
        <v>4.4045650339378475E-2</v>
      </c>
      <c r="F45" s="169">
        <f t="shared" si="18"/>
        <v>8.3828818387849363E-2</v>
      </c>
    </row>
    <row r="46" spans="1:6" x14ac:dyDescent="0.25">
      <c r="A46" s="88">
        <v>2022</v>
      </c>
      <c r="B46" s="109">
        <f>[6]REKAPITULASI!B17</f>
        <v>1.9520169816959392E-3</v>
      </c>
      <c r="C46" s="109">
        <f t="shared" ref="C46:C55" si="19">B46*21</f>
        <v>4.099235661561472E-2</v>
      </c>
      <c r="D46" s="109">
        <f>[6]REKAPITULASI!D17</f>
        <v>1.4640127362719544E-4</v>
      </c>
      <c r="E46" s="109">
        <f t="shared" ref="E46:E55" si="20">D46*310</f>
        <v>4.5384394824430588E-2</v>
      </c>
      <c r="F46" s="169">
        <f t="shared" ref="F46:F55" si="21">E46+C46</f>
        <v>8.6376751440045307E-2</v>
      </c>
    </row>
    <row r="47" spans="1:6" x14ac:dyDescent="0.25">
      <c r="A47" s="88">
        <v>2023</v>
      </c>
      <c r="B47" s="109">
        <f>[6]REKAPITULASI!B18</f>
        <v>2.0113407168018279E-3</v>
      </c>
      <c r="C47" s="109">
        <f t="shared" si="19"/>
        <v>4.2238155052838386E-2</v>
      </c>
      <c r="D47" s="109">
        <f>[6]REKAPITULASI!D18</f>
        <v>1.5085055376013709E-4</v>
      </c>
      <c r="E47" s="109">
        <f t="shared" si="20"/>
        <v>4.6763671665642499E-2</v>
      </c>
      <c r="F47" s="169">
        <f t="shared" si="21"/>
        <v>8.9001826718480892E-2</v>
      </c>
    </row>
    <row r="48" spans="1:6" x14ac:dyDescent="0.25">
      <c r="A48" s="88">
        <v>2024</v>
      </c>
      <c r="B48" s="109">
        <f>[6]REKAPITULASI!B19</f>
        <v>2.0724603790153689E-3</v>
      </c>
      <c r="C48" s="109">
        <f t="shared" si="19"/>
        <v>4.3521667959322746E-2</v>
      </c>
      <c r="D48" s="109">
        <f>[6]REKAPITULASI!D19</f>
        <v>1.5543452842615266E-4</v>
      </c>
      <c r="E48" s="109">
        <f t="shared" si="20"/>
        <v>4.8184703812107328E-2</v>
      </c>
      <c r="F48" s="169">
        <f t="shared" si="21"/>
        <v>9.1706371771430067E-2</v>
      </c>
    </row>
    <row r="49" spans="1:10" x14ac:dyDescent="0.25">
      <c r="A49" s="88">
        <v>2025</v>
      </c>
      <c r="B49" s="109">
        <f>[6]REKAPITULASI!B20</f>
        <v>2.1354301504778604E-3</v>
      </c>
      <c r="C49" s="109">
        <f t="shared" si="19"/>
        <v>4.4844033160035067E-2</v>
      </c>
      <c r="D49" s="109">
        <f>[6]REKAPITULASI!D20</f>
        <v>1.6015726128583953E-4</v>
      </c>
      <c r="E49" s="109">
        <f t="shared" si="20"/>
        <v>4.9648750998610255E-2</v>
      </c>
      <c r="F49" s="169">
        <f t="shared" si="21"/>
        <v>9.4492784158645315E-2</v>
      </c>
    </row>
    <row r="50" spans="1:10" x14ac:dyDescent="0.25">
      <c r="A50" s="88">
        <v>2026</v>
      </c>
      <c r="B50" s="109">
        <f>[6]REKAPITULASI!B21</f>
        <v>2.2003058429708577E-3</v>
      </c>
      <c r="C50" s="109">
        <f t="shared" si="19"/>
        <v>4.6206422702388013E-2</v>
      </c>
      <c r="D50" s="109">
        <f>[6]REKAPITULASI!D21</f>
        <v>1.6502293822281432E-4</v>
      </c>
      <c r="E50" s="109">
        <f t="shared" si="20"/>
        <v>5.1157110849072436E-2</v>
      </c>
      <c r="F50" s="169">
        <f t="shared" si="21"/>
        <v>9.7363533551460449E-2</v>
      </c>
    </row>
    <row r="51" spans="1:10" x14ac:dyDescent="0.25">
      <c r="A51" s="88">
        <v>2027</v>
      </c>
      <c r="B51" s="109">
        <f>[6]REKAPITULASI!B22</f>
        <v>2.2671449467962313E-3</v>
      </c>
      <c r="C51" s="109">
        <f t="shared" si="19"/>
        <v>4.7610043882720859E-2</v>
      </c>
      <c r="D51" s="109">
        <f>[6]REKAPITULASI!D22</f>
        <v>1.7003587100971733E-4</v>
      </c>
      <c r="E51" s="109">
        <f t="shared" si="20"/>
        <v>5.2711120013012376E-2</v>
      </c>
      <c r="F51" s="169">
        <f t="shared" si="21"/>
        <v>0.10032116389573323</v>
      </c>
    </row>
    <row r="52" spans="1:10" x14ac:dyDescent="0.25">
      <c r="A52" s="88">
        <v>2028</v>
      </c>
      <c r="B52" s="109">
        <f>[6]REKAPITULASI!B23</f>
        <v>2.3360066811186977E-3</v>
      </c>
      <c r="C52" s="109">
        <f t="shared" si="19"/>
        <v>4.9056140303492653E-2</v>
      </c>
      <c r="D52" s="109">
        <f>[6]REKAPITULASI!D23</f>
        <v>1.7520050108390232E-4</v>
      </c>
      <c r="E52" s="109">
        <f t="shared" si="20"/>
        <v>5.4312155336009721E-2</v>
      </c>
      <c r="F52" s="169">
        <f t="shared" si="21"/>
        <v>0.10336829563950237</v>
      </c>
    </row>
    <row r="53" spans="1:10" x14ac:dyDescent="0.25">
      <c r="A53" s="88">
        <v>2029</v>
      </c>
      <c r="B53" s="109">
        <f>[6]REKAPITULASI!B24</f>
        <v>2.4069520458145093E-3</v>
      </c>
      <c r="C53" s="109">
        <f t="shared" si="19"/>
        <v>5.0545992962104692E-2</v>
      </c>
      <c r="D53" s="109">
        <f>[6]REKAPITULASI!D24</f>
        <v>1.8052140343608817E-4</v>
      </c>
      <c r="E53" s="109">
        <f t="shared" si="20"/>
        <v>5.596163506518733E-2</v>
      </c>
      <c r="F53" s="169">
        <f t="shared" si="21"/>
        <v>0.10650762802729202</v>
      </c>
    </row>
    <row r="54" spans="1:10" x14ac:dyDescent="0.25">
      <c r="A54" s="88">
        <v>2030</v>
      </c>
      <c r="B54" s="109">
        <f>[6]REKAPITULASI!B25</f>
        <v>2.4791080000000003E-3</v>
      </c>
      <c r="C54" s="109">
        <f t="shared" si="19"/>
        <v>5.2061268000000008E-2</v>
      </c>
      <c r="D54" s="109">
        <f>[6]REKAPITULASI!D25</f>
        <v>1.8593309999999998E-4</v>
      </c>
      <c r="E54" s="109">
        <f t="shared" si="20"/>
        <v>5.763926099999999E-2</v>
      </c>
      <c r="F54" s="169">
        <f t="shared" si="21"/>
        <v>0.10970052899999999</v>
      </c>
    </row>
    <row r="55" spans="1:10" x14ac:dyDescent="0.25">
      <c r="A55" s="88">
        <v>2031</v>
      </c>
      <c r="B55" s="98"/>
      <c r="C55" s="109">
        <f t="shared" si="19"/>
        <v>0</v>
      </c>
      <c r="D55" s="109"/>
      <c r="E55" s="109">
        <f t="shared" si="20"/>
        <v>0</v>
      </c>
      <c r="F55" s="110">
        <f t="shared" si="21"/>
        <v>0</v>
      </c>
    </row>
    <row r="57" spans="1:10" ht="15.75" thickBot="1" x14ac:dyDescent="0.3">
      <c r="A57" s="103" t="s">
        <v>88</v>
      </c>
      <c r="J57" s="94">
        <v>1000</v>
      </c>
    </row>
    <row r="58" spans="1:10" ht="15.75" thickBot="1" x14ac:dyDescent="0.3">
      <c r="A58" s="201" t="s">
        <v>11</v>
      </c>
      <c r="B58" s="203" t="s">
        <v>89</v>
      </c>
      <c r="C58" s="204"/>
      <c r="D58" s="204"/>
      <c r="E58" s="204"/>
      <c r="F58" s="204"/>
    </row>
    <row r="59" spans="1:10" ht="18.75" thickBot="1" x14ac:dyDescent="0.3">
      <c r="A59" s="202"/>
      <c r="B59" s="203" t="s">
        <v>129</v>
      </c>
      <c r="C59" s="205"/>
      <c r="D59" s="203" t="s">
        <v>133</v>
      </c>
      <c r="E59" s="205"/>
      <c r="F59" s="116" t="s">
        <v>135</v>
      </c>
      <c r="H59" s="191" t="s">
        <v>11</v>
      </c>
      <c r="I59" s="191" t="s">
        <v>145</v>
      </c>
      <c r="J59" s="191"/>
    </row>
    <row r="60" spans="1:10" ht="18" x14ac:dyDescent="0.25">
      <c r="A60" s="202"/>
      <c r="B60" s="117" t="s">
        <v>131</v>
      </c>
      <c r="C60" s="117" t="s">
        <v>132</v>
      </c>
      <c r="D60" s="117" t="s">
        <v>134</v>
      </c>
      <c r="E60" s="117" t="s">
        <v>132</v>
      </c>
      <c r="F60" s="117" t="s">
        <v>136</v>
      </c>
      <c r="H60" s="191"/>
      <c r="I60" s="140" t="s">
        <v>146</v>
      </c>
      <c r="J60" s="140" t="s">
        <v>147</v>
      </c>
    </row>
    <row r="61" spans="1:10" x14ac:dyDescent="0.25">
      <c r="A61" s="88">
        <v>2011</v>
      </c>
      <c r="B61" s="135">
        <f>[6]REKAPITULASI!B32</f>
        <v>1.1792653600000001E-2</v>
      </c>
      <c r="C61" s="119">
        <f>B61*21</f>
        <v>0.24764572560000003</v>
      </c>
      <c r="D61" s="135">
        <f>[6]REKAPITULASI!D32</f>
        <v>2.7213816000000001E-4</v>
      </c>
      <c r="E61" s="119">
        <f>D61*310</f>
        <v>8.4362829600000008E-2</v>
      </c>
      <c r="F61" s="169">
        <f>SUM(C61+E61)</f>
        <v>0.33200855520000006</v>
      </c>
      <c r="H61" s="88">
        <v>2011</v>
      </c>
      <c r="I61" s="141">
        <f>D9+I9+N9+F35+F61-S9</f>
        <v>19.072561662750765</v>
      </c>
      <c r="J61" s="171">
        <f>I61*$J$57</f>
        <v>19072.561662750766</v>
      </c>
    </row>
    <row r="62" spans="1:10" x14ac:dyDescent="0.25">
      <c r="A62" s="88">
        <v>2012</v>
      </c>
      <c r="B62" s="135">
        <f>[6]REKAPITULASI!B33</f>
        <v>1.1882749287500001E-2</v>
      </c>
      <c r="C62" s="119">
        <f t="shared" ref="C62:C81" si="22">B62*21</f>
        <v>0.24953773503750001</v>
      </c>
      <c r="D62" s="135">
        <f>[6]REKAPITULASI!D33</f>
        <v>2.7421729125000002E-4</v>
      </c>
      <c r="E62" s="119">
        <f t="shared" ref="E62:E81" si="23">D62*310</f>
        <v>8.50073602875E-2</v>
      </c>
      <c r="F62" s="169">
        <f t="shared" ref="F62:F81" si="24">SUM(C62+E62)</f>
        <v>0.33454509532499999</v>
      </c>
      <c r="H62" s="88">
        <v>2012</v>
      </c>
      <c r="I62" s="141">
        <f t="shared" ref="I62:I81" si="25">D10+I10+N10+F36+F62-S10</f>
        <v>18.37101619889507</v>
      </c>
      <c r="J62" s="171">
        <f t="shared" ref="J62:J70" si="26">I62*$J$57</f>
        <v>18371.016198895071</v>
      </c>
    </row>
    <row r="63" spans="1:10" x14ac:dyDescent="0.25">
      <c r="A63" s="88">
        <v>2013</v>
      </c>
      <c r="B63" s="135">
        <f>[6]REKAPITULASI!B34</f>
        <v>1.1958894675E-2</v>
      </c>
      <c r="C63" s="119">
        <f t="shared" si="22"/>
        <v>0.25113678817500001</v>
      </c>
      <c r="D63" s="135">
        <f>[6]REKAPITULASI!D34</f>
        <v>2.7597449249999999E-4</v>
      </c>
      <c r="E63" s="119">
        <f t="shared" si="23"/>
        <v>8.5552092674999997E-2</v>
      </c>
      <c r="F63" s="169">
        <f t="shared" si="24"/>
        <v>0.33668888085000004</v>
      </c>
      <c r="H63" s="88">
        <v>2013</v>
      </c>
      <c r="I63" s="141">
        <f t="shared" si="25"/>
        <v>17.953002999346261</v>
      </c>
      <c r="J63" s="171">
        <f t="shared" si="26"/>
        <v>17953.002999346259</v>
      </c>
    </row>
    <row r="64" spans="1:10" x14ac:dyDescent="0.25">
      <c r="A64" s="88">
        <v>2014</v>
      </c>
      <c r="B64" s="135">
        <f>[6]REKAPITULASI!B35</f>
        <v>1.2031469449999999E-2</v>
      </c>
      <c r="C64" s="119">
        <f t="shared" si="22"/>
        <v>0.25266085844999997</v>
      </c>
      <c r="D64" s="135">
        <f>[6]REKAPITULASI!D35</f>
        <v>2.77649295E-4</v>
      </c>
      <c r="E64" s="119">
        <f t="shared" si="23"/>
        <v>8.6071281449999995E-2</v>
      </c>
      <c r="F64" s="169">
        <f t="shared" si="24"/>
        <v>0.33873213989999995</v>
      </c>
      <c r="H64" s="88">
        <v>2014</v>
      </c>
      <c r="I64" s="141">
        <f t="shared" si="25"/>
        <v>17.720306048091164</v>
      </c>
      <c r="J64" s="171">
        <f t="shared" si="26"/>
        <v>17720.306048091163</v>
      </c>
    </row>
    <row r="65" spans="1:10" x14ac:dyDescent="0.25">
      <c r="A65" s="88">
        <v>2015</v>
      </c>
      <c r="B65" s="135">
        <f>[6]REKAPITULASI!B36</f>
        <v>1.2110022925E-2</v>
      </c>
      <c r="C65" s="119">
        <f t="shared" si="22"/>
        <v>0.25431048142500001</v>
      </c>
      <c r="D65" s="135">
        <f>[6]REKAPITULASI!D36</f>
        <v>2.7946206749999996E-4</v>
      </c>
      <c r="E65" s="119">
        <f t="shared" si="23"/>
        <v>8.6633240924999994E-2</v>
      </c>
      <c r="F65" s="169">
        <f t="shared" si="24"/>
        <v>0.34094372235000003</v>
      </c>
      <c r="H65" s="88">
        <v>2015</v>
      </c>
      <c r="I65" s="141">
        <f t="shared" si="25"/>
        <v>17.610628732279658</v>
      </c>
      <c r="J65" s="171">
        <f t="shared" si="26"/>
        <v>17610.628732279656</v>
      </c>
    </row>
    <row r="66" spans="1:10" x14ac:dyDescent="0.25">
      <c r="A66" s="88">
        <v>2016</v>
      </c>
      <c r="B66" s="135">
        <f>[6]REKAPITULASI!B37</f>
        <v>1.2148967512500001E-2</v>
      </c>
      <c r="C66" s="119">
        <f t="shared" si="22"/>
        <v>0.2551283177625</v>
      </c>
      <c r="D66" s="135">
        <f>[6]REKAPITULASI!D37</f>
        <v>2.8036078875E-4</v>
      </c>
      <c r="E66" s="119">
        <f t="shared" si="23"/>
        <v>8.6911844512500003E-2</v>
      </c>
      <c r="F66" s="169">
        <f t="shared" si="24"/>
        <v>0.342040162275</v>
      </c>
      <c r="H66" s="88">
        <v>2016</v>
      </c>
      <c r="I66" s="141">
        <f t="shared" si="25"/>
        <v>17.583785879473087</v>
      </c>
      <c r="J66" s="171">
        <f t="shared" si="26"/>
        <v>17583.785879473086</v>
      </c>
    </row>
    <row r="67" spans="1:10" x14ac:dyDescent="0.25">
      <c r="A67" s="88">
        <v>2017</v>
      </c>
      <c r="B67" s="135">
        <f>[6]REKAPITULASI!B38</f>
        <v>1.2563117043749999E-2</v>
      </c>
      <c r="C67" s="119">
        <f t="shared" si="22"/>
        <v>0.26382545791874995</v>
      </c>
      <c r="D67" s="135">
        <f>[6]REKAPITULASI!D38</f>
        <v>2.8991808562499999E-4</v>
      </c>
      <c r="E67" s="119">
        <f t="shared" si="23"/>
        <v>8.9874606543749999E-2</v>
      </c>
      <c r="F67" s="169">
        <f t="shared" si="24"/>
        <v>0.35370006446249996</v>
      </c>
      <c r="H67" s="88">
        <v>2017</v>
      </c>
      <c r="I67" s="141">
        <f t="shared" si="25"/>
        <v>17.61361787708832</v>
      </c>
      <c r="J67" s="171">
        <f t="shared" si="26"/>
        <v>17613.61787708832</v>
      </c>
    </row>
    <row r="68" spans="1:10" x14ac:dyDescent="0.25">
      <c r="A68" s="88">
        <v>2018</v>
      </c>
      <c r="B68" s="135">
        <f>[6]REKAPITULASI!B39</f>
        <v>1.2586429821874998E-2</v>
      </c>
      <c r="C68" s="119">
        <f t="shared" si="22"/>
        <v>0.26431502625937497</v>
      </c>
      <c r="D68" s="135">
        <f>[6]REKAPITULASI!D39</f>
        <v>2.9045607281249998E-4</v>
      </c>
      <c r="E68" s="119">
        <f t="shared" si="23"/>
        <v>9.0041382571874995E-2</v>
      </c>
      <c r="F68" s="169">
        <f t="shared" si="24"/>
        <v>0.35435640883124997</v>
      </c>
      <c r="H68" s="88">
        <v>2018</v>
      </c>
      <c r="I68" s="141">
        <f t="shared" si="25"/>
        <v>17.547406807705766</v>
      </c>
      <c r="J68" s="171">
        <f t="shared" si="26"/>
        <v>17547.406807705767</v>
      </c>
    </row>
    <row r="69" spans="1:10" x14ac:dyDescent="0.25">
      <c r="A69" s="88">
        <v>2019</v>
      </c>
      <c r="B69" s="135">
        <f>[6]REKAPITULASI!B40</f>
        <v>1.26097426E-2</v>
      </c>
      <c r="C69" s="119">
        <f t="shared" si="22"/>
        <v>0.2648045946</v>
      </c>
      <c r="D69" s="135">
        <f>[6]REKAPITULASI!D40</f>
        <v>2.9099406000000002E-4</v>
      </c>
      <c r="E69" s="119">
        <f t="shared" si="23"/>
        <v>9.0208158600000005E-2</v>
      </c>
      <c r="F69" s="169">
        <f t="shared" si="24"/>
        <v>0.35501275320000003</v>
      </c>
      <c r="H69" s="88">
        <v>2019</v>
      </c>
      <c r="I69" s="141">
        <f t="shared" si="25"/>
        <v>17.530933251835812</v>
      </c>
      <c r="J69" s="171">
        <f t="shared" si="26"/>
        <v>17530.933251835813</v>
      </c>
    </row>
    <row r="70" spans="1:10" x14ac:dyDescent="0.25">
      <c r="A70" s="88">
        <v>2020</v>
      </c>
      <c r="B70" s="135">
        <f>[6]REKAPITULASI!B41</f>
        <v>1.2633055378125001E-2</v>
      </c>
      <c r="C70" s="119">
        <f t="shared" si="22"/>
        <v>0.26529416294062502</v>
      </c>
      <c r="D70" s="135">
        <f>[6]REKAPITULASI!D41</f>
        <v>2.915320471875E-4</v>
      </c>
      <c r="E70" s="119">
        <f t="shared" si="23"/>
        <v>9.0374934628125E-2</v>
      </c>
      <c r="F70" s="169">
        <f t="shared" si="24"/>
        <v>0.35566909756875004</v>
      </c>
      <c r="H70" s="88">
        <v>2020</v>
      </c>
      <c r="I70" s="141">
        <f t="shared" si="25"/>
        <v>17.548987826718566</v>
      </c>
      <c r="J70" s="171">
        <f t="shared" si="26"/>
        <v>17548.987826718567</v>
      </c>
    </row>
    <row r="71" spans="1:10" x14ac:dyDescent="0.25">
      <c r="A71" s="88">
        <v>2021</v>
      </c>
      <c r="B71" s="135">
        <f>[6]REKAPITULASI!B42</f>
        <v>1.2656368156249998E-2</v>
      </c>
      <c r="C71" s="119">
        <f t="shared" si="22"/>
        <v>0.26578373128124999</v>
      </c>
      <c r="D71" s="135">
        <f>[6]REKAPITULASI!D42</f>
        <v>2.9207003437499999E-4</v>
      </c>
      <c r="E71" s="119">
        <f t="shared" si="23"/>
        <v>9.0541710656249996E-2</v>
      </c>
      <c r="F71" s="169">
        <f t="shared" si="24"/>
        <v>0.35632544193749999</v>
      </c>
      <c r="H71" s="88">
        <v>2021</v>
      </c>
      <c r="I71" s="141">
        <f t="shared" si="25"/>
        <v>17.591321636312646</v>
      </c>
      <c r="J71" s="171">
        <f>I71*$J$57</f>
        <v>17591.321636312645</v>
      </c>
    </row>
    <row r="72" spans="1:10" x14ac:dyDescent="0.25">
      <c r="A72" s="88">
        <v>2022</v>
      </c>
      <c r="B72" s="135">
        <f>[6]REKAPITULASI!B43</f>
        <v>1.2679680934375E-2</v>
      </c>
      <c r="C72" s="119">
        <f t="shared" si="22"/>
        <v>0.26627329962187501</v>
      </c>
      <c r="D72" s="135">
        <f>[6]REKAPITULASI!D43</f>
        <v>2.9260802156249997E-4</v>
      </c>
      <c r="E72" s="119">
        <f t="shared" si="23"/>
        <v>9.0708486684374992E-2</v>
      </c>
      <c r="F72" s="169">
        <f t="shared" si="24"/>
        <v>0.35698178630624999</v>
      </c>
      <c r="H72" s="88">
        <v>2022</v>
      </c>
      <c r="I72" s="141">
        <f t="shared" si="25"/>
        <v>17.651004310396729</v>
      </c>
      <c r="J72" s="171">
        <f t="shared" ref="J72:J81" si="27">I72*$J$57</f>
        <v>17651.004310396729</v>
      </c>
    </row>
    <row r="73" spans="1:10" x14ac:dyDescent="0.25">
      <c r="A73" s="88">
        <v>2023</v>
      </c>
      <c r="B73" s="135">
        <f>[6]REKAPITULASI!B44</f>
        <v>1.2702993712499997E-2</v>
      </c>
      <c r="C73" s="119">
        <f t="shared" si="22"/>
        <v>0.26676286796249993</v>
      </c>
      <c r="D73" s="135">
        <f>[6]REKAPITULASI!D44</f>
        <v>2.9314600874999995E-4</v>
      </c>
      <c r="E73" s="119">
        <f t="shared" si="23"/>
        <v>9.0875262712499988E-2</v>
      </c>
      <c r="F73" s="169">
        <f t="shared" si="24"/>
        <v>0.35763813067499994</v>
      </c>
      <c r="H73" s="88">
        <v>2023</v>
      </c>
      <c r="I73" s="141">
        <f t="shared" si="25"/>
        <v>17.723322013803685</v>
      </c>
      <c r="J73" s="171">
        <f t="shared" si="27"/>
        <v>17723.322013803685</v>
      </c>
    </row>
    <row r="74" spans="1:10" x14ac:dyDescent="0.25">
      <c r="A74" s="88">
        <v>2024</v>
      </c>
      <c r="B74" s="135">
        <f>[6]REKAPITULASI!B45</f>
        <v>1.2726306490625E-2</v>
      </c>
      <c r="C74" s="119">
        <f t="shared" si="22"/>
        <v>0.26725243630312501</v>
      </c>
      <c r="D74" s="135">
        <f>[6]REKAPITULASI!D45</f>
        <v>2.9368399593749999E-4</v>
      </c>
      <c r="E74" s="119">
        <f t="shared" si="23"/>
        <v>9.1042038740624998E-2</v>
      </c>
      <c r="F74" s="169">
        <f t="shared" si="24"/>
        <v>0.35829447504375</v>
      </c>
      <c r="H74" s="88">
        <v>2024</v>
      </c>
      <c r="I74" s="141">
        <f t="shared" si="25"/>
        <v>17.805037484804405</v>
      </c>
      <c r="J74" s="171">
        <f t="shared" si="27"/>
        <v>17805.037484804405</v>
      </c>
    </row>
    <row r="75" spans="1:10" x14ac:dyDescent="0.25">
      <c r="A75" s="88">
        <v>2025</v>
      </c>
      <c r="B75" s="135">
        <f>[6]REKAPITULASI!B46</f>
        <v>1.2749619268749998E-2</v>
      </c>
      <c r="C75" s="119">
        <f t="shared" si="22"/>
        <v>0.26774200464374998</v>
      </c>
      <c r="D75" s="135">
        <f>[6]REKAPITULASI!D46</f>
        <v>2.9422198312500003E-4</v>
      </c>
      <c r="E75" s="119">
        <f t="shared" si="23"/>
        <v>9.1208814768750007E-2</v>
      </c>
      <c r="F75" s="169">
        <f t="shared" si="24"/>
        <v>0.35895081941249996</v>
      </c>
      <c r="H75" s="88">
        <v>2025</v>
      </c>
      <c r="I75" s="141">
        <f t="shared" si="25"/>
        <v>17.893892798340527</v>
      </c>
      <c r="J75" s="171">
        <f t="shared" si="27"/>
        <v>17893.892798340526</v>
      </c>
    </row>
    <row r="76" spans="1:10" x14ac:dyDescent="0.25">
      <c r="A76" s="88">
        <v>2026</v>
      </c>
      <c r="B76" s="135">
        <f>[6]REKAPITULASI!B47</f>
        <v>1.2772932046875001E-2</v>
      </c>
      <c r="C76" s="119">
        <f t="shared" si="22"/>
        <v>0.268231572984375</v>
      </c>
      <c r="D76" s="135">
        <f>[6]REKAPITULASI!D47</f>
        <v>2.9475997031250001E-4</v>
      </c>
      <c r="E76" s="119">
        <f t="shared" si="23"/>
        <v>9.1375590796875003E-2</v>
      </c>
      <c r="F76" s="169">
        <f t="shared" si="24"/>
        <v>0.35960716378125002</v>
      </c>
      <c r="H76" s="88">
        <v>2026</v>
      </c>
      <c r="I76" s="141">
        <f t="shared" si="25"/>
        <v>17.988274858529927</v>
      </c>
      <c r="J76" s="171">
        <f t="shared" si="27"/>
        <v>17988.274858529927</v>
      </c>
    </row>
    <row r="77" spans="1:10" x14ac:dyDescent="0.25">
      <c r="A77" s="88">
        <v>2027</v>
      </c>
      <c r="B77" s="135">
        <f>[6]REKAPITULASI!B48</f>
        <v>1.2796244824999997E-2</v>
      </c>
      <c r="C77" s="119">
        <f t="shared" si="22"/>
        <v>0.26872114132499991</v>
      </c>
      <c r="D77" s="135">
        <f>[6]REKAPITULASI!D48</f>
        <v>2.9529795749999994E-4</v>
      </c>
      <c r="E77" s="119">
        <f t="shared" si="23"/>
        <v>9.1542366824999985E-2</v>
      </c>
      <c r="F77" s="169">
        <f t="shared" si="24"/>
        <v>0.36026350814999991</v>
      </c>
      <c r="H77" s="88">
        <v>2027</v>
      </c>
      <c r="I77" s="141">
        <f t="shared" si="25"/>
        <v>18.086989977064405</v>
      </c>
      <c r="J77" s="171">
        <f t="shared" si="27"/>
        <v>18086.989977064404</v>
      </c>
    </row>
    <row r="78" spans="1:10" x14ac:dyDescent="0.25">
      <c r="A78" s="88">
        <v>2028</v>
      </c>
      <c r="B78" s="135">
        <f>[6]REKAPITULASI!B49</f>
        <v>1.2819557603124998E-2</v>
      </c>
      <c r="C78" s="119">
        <f t="shared" si="22"/>
        <v>0.26921070966562499</v>
      </c>
      <c r="D78" s="135">
        <f>[6]REKAPITULASI!D49</f>
        <v>2.9583594468749993E-4</v>
      </c>
      <c r="E78" s="119">
        <f t="shared" si="23"/>
        <v>9.1709142853124981E-2</v>
      </c>
      <c r="F78" s="169">
        <f t="shared" si="24"/>
        <v>0.36091985251874997</v>
      </c>
      <c r="H78" s="88">
        <v>2028</v>
      </c>
      <c r="I78" s="141">
        <f t="shared" si="25"/>
        <v>18.189111560773558</v>
      </c>
      <c r="J78" s="171">
        <f t="shared" si="27"/>
        <v>18189.111560773559</v>
      </c>
    </row>
    <row r="79" spans="1:10" x14ac:dyDescent="0.25">
      <c r="A79" s="88">
        <v>2029</v>
      </c>
      <c r="B79" s="135">
        <f>[6]REKAPITULASI!B50</f>
        <v>1.284287038125E-2</v>
      </c>
      <c r="C79" s="119">
        <f t="shared" si="22"/>
        <v>0.26970027800625002</v>
      </c>
      <c r="D79" s="135">
        <f>[6]REKAPITULASI!D50</f>
        <v>2.9637393187499997E-4</v>
      </c>
      <c r="E79" s="119">
        <f t="shared" si="23"/>
        <v>9.1875918881249991E-2</v>
      </c>
      <c r="F79" s="169">
        <f t="shared" si="24"/>
        <v>0.36157619688749998</v>
      </c>
      <c r="H79" s="88">
        <v>2029</v>
      </c>
      <c r="I79" s="141">
        <f t="shared" si="25"/>
        <v>18.29387677574627</v>
      </c>
      <c r="J79" s="171">
        <f t="shared" si="27"/>
        <v>18293.87677574627</v>
      </c>
    </row>
    <row r="80" spans="1:10" x14ac:dyDescent="0.25">
      <c r="A80" s="88">
        <v>2030</v>
      </c>
      <c r="B80" s="135">
        <f>[6]REKAPITULASI!B51</f>
        <v>1.2866183159374999E-2</v>
      </c>
      <c r="C80" s="119">
        <f t="shared" si="22"/>
        <v>0.27018984634687498</v>
      </c>
      <c r="D80" s="135">
        <f>[6]REKAPITULASI!D51</f>
        <v>2.9691191906249995E-4</v>
      </c>
      <c r="E80" s="119">
        <f t="shared" si="23"/>
        <v>9.2042694909374986E-2</v>
      </c>
      <c r="F80" s="169">
        <f t="shared" si="24"/>
        <v>0.36223254125624998</v>
      </c>
      <c r="H80" s="88">
        <v>2030</v>
      </c>
      <c r="I80" s="141">
        <f t="shared" si="25"/>
        <v>18.400574583712441</v>
      </c>
      <c r="J80" s="171">
        <f t="shared" si="27"/>
        <v>18400.574583712441</v>
      </c>
    </row>
    <row r="81" spans="1:10" x14ac:dyDescent="0.25">
      <c r="A81" s="88">
        <v>2031</v>
      </c>
      <c r="B81" s="118"/>
      <c r="C81" s="119">
        <f t="shared" si="22"/>
        <v>0</v>
      </c>
      <c r="D81" s="118"/>
      <c r="E81" s="119">
        <f t="shared" si="23"/>
        <v>0</v>
      </c>
      <c r="F81" s="120">
        <f t="shared" si="24"/>
        <v>0</v>
      </c>
      <c r="H81" s="88">
        <v>2031</v>
      </c>
      <c r="I81" s="141">
        <f t="shared" si="25"/>
        <v>0</v>
      </c>
      <c r="J81" s="142">
        <f t="shared" si="27"/>
        <v>0</v>
      </c>
    </row>
    <row r="84" spans="1:10" x14ac:dyDescent="0.25">
      <c r="A84" s="121"/>
      <c r="B84" s="99"/>
      <c r="C84" s="100"/>
      <c r="D84" s="99"/>
      <c r="E84" s="100"/>
      <c r="F84" s="100"/>
    </row>
    <row r="85" spans="1:10" ht="15.75" thickBot="1" x14ac:dyDescent="0.3">
      <c r="A85" s="122" t="s">
        <v>144</v>
      </c>
      <c r="B85" s="100"/>
      <c r="C85" s="99"/>
      <c r="D85" s="100"/>
      <c r="G85" s="94">
        <v>1000</v>
      </c>
    </row>
    <row r="86" spans="1:10" ht="18.75" thickBot="1" x14ac:dyDescent="0.3">
      <c r="A86" s="194" t="s">
        <v>11</v>
      </c>
      <c r="B86" s="196" t="s">
        <v>137</v>
      </c>
      <c r="C86" s="197"/>
      <c r="D86" s="189" t="s">
        <v>138</v>
      </c>
      <c r="E86" s="190"/>
      <c r="F86" s="192" t="s">
        <v>95</v>
      </c>
      <c r="G86" s="193"/>
    </row>
    <row r="87" spans="1:10" ht="81.75" thickBot="1" x14ac:dyDescent="0.3">
      <c r="A87" s="195"/>
      <c r="B87" s="123" t="s">
        <v>139</v>
      </c>
      <c r="C87" s="123" t="s">
        <v>140</v>
      </c>
      <c r="D87" s="124" t="s">
        <v>141</v>
      </c>
      <c r="E87" s="124" t="s">
        <v>142</v>
      </c>
      <c r="F87" s="125" t="s">
        <v>143</v>
      </c>
      <c r="G87" s="125" t="s">
        <v>148</v>
      </c>
    </row>
    <row r="88" spans="1:10" ht="15.75" thickBot="1" x14ac:dyDescent="0.3">
      <c r="A88" s="195"/>
      <c r="B88" s="198" t="s">
        <v>101</v>
      </c>
      <c r="C88" s="126" t="s">
        <v>102</v>
      </c>
      <c r="D88" s="127" t="s">
        <v>103</v>
      </c>
      <c r="E88" s="128" t="s">
        <v>104</v>
      </c>
      <c r="F88" s="129" t="s">
        <v>105</v>
      </c>
      <c r="G88" s="129" t="s">
        <v>105</v>
      </c>
    </row>
    <row r="89" spans="1:10" x14ac:dyDescent="0.25">
      <c r="A89" s="195"/>
      <c r="B89" s="199"/>
      <c r="C89" s="130" t="s">
        <v>106</v>
      </c>
      <c r="D89" s="131"/>
      <c r="E89" s="132" t="s">
        <v>107</v>
      </c>
      <c r="F89" s="133" t="s">
        <v>108</v>
      </c>
      <c r="G89" s="133" t="s">
        <v>108</v>
      </c>
    </row>
    <row r="90" spans="1:10" x14ac:dyDescent="0.25">
      <c r="A90" s="88">
        <v>2011</v>
      </c>
      <c r="B90" s="136">
        <f>[6]REKAPITULASI!B59</f>
        <v>0.14836661468160001</v>
      </c>
      <c r="C90" s="139">
        <f>B90*21</f>
        <v>3.1156989083136</v>
      </c>
      <c r="D90" s="138">
        <f>[6]REKAPITULASI!D59</f>
        <v>5.0422577919999991E-3</v>
      </c>
      <c r="E90" s="134">
        <f>D90*310</f>
        <v>1.5630999155199996</v>
      </c>
      <c r="F90" s="137">
        <f>C90+E90</f>
        <v>4.6787988238335991</v>
      </c>
      <c r="G90" s="172">
        <f>F90*$G$85</f>
        <v>4678.7988238335993</v>
      </c>
    </row>
    <row r="91" spans="1:10" x14ac:dyDescent="0.25">
      <c r="A91" s="88">
        <v>2012</v>
      </c>
      <c r="B91" s="136">
        <f>[6]REKAPITULASI!B60</f>
        <v>0.14950013327759998</v>
      </c>
      <c r="C91" s="139">
        <f t="shared" ref="C91:C110" si="28">B91*21</f>
        <v>3.1395027988295996</v>
      </c>
      <c r="D91" s="138">
        <f>[6]REKAPITULASI!D60</f>
        <v>4.897733940000001E-3</v>
      </c>
      <c r="E91" s="134">
        <f t="shared" ref="E91:E110" si="29">D91*310</f>
        <v>1.5182975214000003</v>
      </c>
      <c r="F91" s="137">
        <f t="shared" ref="F91:F110" si="30">C91+E91</f>
        <v>4.6578003202296001</v>
      </c>
      <c r="G91" s="172">
        <f t="shared" ref="G91:G109" si="31">F91*$G$85</f>
        <v>4657.8003202296004</v>
      </c>
    </row>
    <row r="92" spans="1:10" x14ac:dyDescent="0.25">
      <c r="A92" s="88">
        <v>2013</v>
      </c>
      <c r="B92" s="136">
        <f>[6]REKAPITULASI!B61</f>
        <v>0.15045813931679999</v>
      </c>
      <c r="C92" s="139">
        <f t="shared" si="28"/>
        <v>3.1596209256528001</v>
      </c>
      <c r="D92" s="138">
        <f>[6]REKAPITULASI!D61</f>
        <v>4.8594142080000003E-3</v>
      </c>
      <c r="E92" s="134">
        <f t="shared" si="29"/>
        <v>1.5064184044800002</v>
      </c>
      <c r="F92" s="137">
        <f t="shared" si="30"/>
        <v>4.6660393301328007</v>
      </c>
      <c r="G92" s="172">
        <f t="shared" si="31"/>
        <v>4666.0393301328004</v>
      </c>
    </row>
    <row r="93" spans="1:10" x14ac:dyDescent="0.25">
      <c r="A93" s="88">
        <v>2014</v>
      </c>
      <c r="B93" s="136">
        <f>[6]REKAPITULASI!B62</f>
        <v>0.15137122249919999</v>
      </c>
      <c r="C93" s="139">
        <f t="shared" si="28"/>
        <v>3.1787956724831998</v>
      </c>
      <c r="D93" s="138">
        <f>[6]REKAPITULASI!D62</f>
        <v>4.9974354739047632E-3</v>
      </c>
      <c r="E93" s="134">
        <f t="shared" si="29"/>
        <v>1.5492049969104766</v>
      </c>
      <c r="F93" s="137">
        <f t="shared" si="30"/>
        <v>4.7280006693936762</v>
      </c>
      <c r="G93" s="172">
        <f t="shared" si="31"/>
        <v>4728.0006693936766</v>
      </c>
    </row>
    <row r="94" spans="1:10" x14ac:dyDescent="0.25">
      <c r="A94" s="88">
        <v>2015</v>
      </c>
      <c r="B94" s="136">
        <f>[6]REKAPITULASI!B63</f>
        <v>0.15235952534880001</v>
      </c>
      <c r="C94" s="139">
        <f t="shared" si="28"/>
        <v>3.1995500323248001</v>
      </c>
      <c r="D94" s="138">
        <f>[6]REKAPITULASI!D63</f>
        <v>5.0300637346666673E-3</v>
      </c>
      <c r="E94" s="134">
        <f t="shared" si="29"/>
        <v>1.5593197577466669</v>
      </c>
      <c r="F94" s="137">
        <f t="shared" si="30"/>
        <v>4.7588697900714667</v>
      </c>
      <c r="G94" s="172">
        <f t="shared" si="31"/>
        <v>4758.8697900714669</v>
      </c>
    </row>
    <row r="95" spans="1:10" x14ac:dyDescent="0.25">
      <c r="A95" s="88">
        <v>2016</v>
      </c>
      <c r="B95" s="136">
        <f>[6]REKAPITULASI!B64</f>
        <v>0.15284949790320002</v>
      </c>
      <c r="C95" s="139">
        <f t="shared" si="28"/>
        <v>3.2098394559672005</v>
      </c>
      <c r="D95" s="138">
        <f>[6]REKAPITULASI!D64</f>
        <v>5.0462399020000008E-3</v>
      </c>
      <c r="E95" s="134">
        <f t="shared" si="29"/>
        <v>1.5643343696200003</v>
      </c>
      <c r="F95" s="137">
        <f t="shared" si="30"/>
        <v>4.7741738255872006</v>
      </c>
      <c r="G95" s="172">
        <f t="shared" si="31"/>
        <v>4774.1738255872006</v>
      </c>
    </row>
    <row r="96" spans="1:10" x14ac:dyDescent="0.25">
      <c r="A96" s="88">
        <v>2017</v>
      </c>
      <c r="B96" s="136">
        <f>[6]REKAPITULASI!B65</f>
        <v>0.15806002693320001</v>
      </c>
      <c r="C96" s="139">
        <f t="shared" si="28"/>
        <v>3.3192605655972001</v>
      </c>
      <c r="D96" s="138">
        <f>[6]REKAPITULASI!D65</f>
        <v>5.2182625769999994E-3</v>
      </c>
      <c r="E96" s="134">
        <f t="shared" si="29"/>
        <v>1.6176613988699997</v>
      </c>
      <c r="F96" s="137">
        <f t="shared" si="30"/>
        <v>4.9369219644671993</v>
      </c>
      <c r="G96" s="172">
        <f t="shared" si="31"/>
        <v>4936.9219644671994</v>
      </c>
    </row>
    <row r="97" spans="1:7" x14ac:dyDescent="0.25">
      <c r="A97" s="88">
        <v>2018</v>
      </c>
      <c r="B97" s="136">
        <f>[6]REKAPITULASI!B66</f>
        <v>0.1583533313994</v>
      </c>
      <c r="C97" s="139">
        <f t="shared" si="28"/>
        <v>3.3254199593873999</v>
      </c>
      <c r="D97" s="138">
        <f>[6]REKAPITULASI!D66</f>
        <v>5.2279458584047625E-3</v>
      </c>
      <c r="E97" s="134">
        <f t="shared" si="29"/>
        <v>1.6206632161054764</v>
      </c>
      <c r="F97" s="137">
        <f t="shared" si="30"/>
        <v>4.946083175492876</v>
      </c>
      <c r="G97" s="172">
        <f t="shared" si="31"/>
        <v>4946.0831754928759</v>
      </c>
    </row>
    <row r="98" spans="1:7" x14ac:dyDescent="0.25">
      <c r="A98" s="88">
        <v>2019</v>
      </c>
      <c r="B98" s="136">
        <f>[6]REKAPITULASI!B67</f>
        <v>0.15864663586560002</v>
      </c>
      <c r="C98" s="139">
        <f t="shared" si="28"/>
        <v>3.3315793531776006</v>
      </c>
      <c r="D98" s="138">
        <f>[6]REKAPITULASI!D67</f>
        <v>5.2376291398095248E-3</v>
      </c>
      <c r="E98" s="134">
        <f t="shared" si="29"/>
        <v>1.6236650333409526</v>
      </c>
      <c r="F98" s="137">
        <f t="shared" si="30"/>
        <v>4.9552443865185527</v>
      </c>
      <c r="G98" s="172">
        <f t="shared" si="31"/>
        <v>4955.2443865185523</v>
      </c>
    </row>
    <row r="99" spans="1:7" x14ac:dyDescent="0.25">
      <c r="A99" s="88">
        <v>2020</v>
      </c>
      <c r="B99" s="136">
        <f>[6]REKAPITULASI!B68</f>
        <v>0.15893994033180001</v>
      </c>
      <c r="C99" s="139">
        <f t="shared" si="28"/>
        <v>3.3377387469677999</v>
      </c>
      <c r="D99" s="138">
        <f>[6]REKAPITULASI!D68</f>
        <v>5.2473124212142862E-3</v>
      </c>
      <c r="E99" s="134">
        <f t="shared" si="29"/>
        <v>1.6266668505764288</v>
      </c>
      <c r="F99" s="137">
        <f t="shared" si="30"/>
        <v>4.9644055975442285</v>
      </c>
      <c r="G99" s="172">
        <f t="shared" si="31"/>
        <v>4964.4055975442288</v>
      </c>
    </row>
    <row r="100" spans="1:7" x14ac:dyDescent="0.25">
      <c r="A100" s="88">
        <v>2021</v>
      </c>
      <c r="B100" s="136">
        <f>[6]REKAPITULASI!B69</f>
        <v>0.159233244798</v>
      </c>
      <c r="C100" s="139">
        <f t="shared" si="28"/>
        <v>3.3438981407579997</v>
      </c>
      <c r="D100" s="138">
        <f>[6]REKAPITULASI!D69</f>
        <v>5.2569957026190476E-3</v>
      </c>
      <c r="E100" s="134">
        <f t="shared" si="29"/>
        <v>1.6296686678119048</v>
      </c>
      <c r="F100" s="137">
        <f t="shared" si="30"/>
        <v>4.9735668085699043</v>
      </c>
      <c r="G100" s="172">
        <f t="shared" si="31"/>
        <v>4973.5668085699044</v>
      </c>
    </row>
    <row r="101" spans="1:7" x14ac:dyDescent="0.25">
      <c r="A101" s="88">
        <v>2022</v>
      </c>
      <c r="B101" s="136">
        <f>[6]REKAPITULASI!B70</f>
        <v>0.15952654926420001</v>
      </c>
      <c r="C101" s="139">
        <f t="shared" si="28"/>
        <v>3.3500575345482004</v>
      </c>
      <c r="D101" s="138">
        <f>[6]REKAPITULASI!D70</f>
        <v>5.2666789840238107E-3</v>
      </c>
      <c r="E101" s="134">
        <f t="shared" si="29"/>
        <v>1.6326704850473812</v>
      </c>
      <c r="F101" s="137">
        <f t="shared" si="30"/>
        <v>4.9827280195955819</v>
      </c>
      <c r="G101" s="172">
        <f t="shared" si="31"/>
        <v>4982.7280195955818</v>
      </c>
    </row>
    <row r="102" spans="1:7" x14ac:dyDescent="0.25">
      <c r="A102" s="88">
        <v>2023</v>
      </c>
      <c r="B102" s="136">
        <f>[6]REKAPITULASI!B71</f>
        <v>0.1598198537304</v>
      </c>
      <c r="C102" s="139">
        <f t="shared" si="28"/>
        <v>3.3562169283384002</v>
      </c>
      <c r="D102" s="138">
        <f>[6]REKAPITULASI!D71</f>
        <v>5.2763622654285721E-3</v>
      </c>
      <c r="E102" s="134">
        <f t="shared" si="29"/>
        <v>1.6356723022828574</v>
      </c>
      <c r="F102" s="137">
        <f t="shared" si="30"/>
        <v>4.9918892306212577</v>
      </c>
      <c r="G102" s="172">
        <f t="shared" si="31"/>
        <v>4991.8892306212574</v>
      </c>
    </row>
    <row r="103" spans="1:7" x14ac:dyDescent="0.25">
      <c r="A103" s="88">
        <v>2024</v>
      </c>
      <c r="B103" s="136">
        <f>[6]REKAPITULASI!B72</f>
        <v>0.16011315819660005</v>
      </c>
      <c r="C103" s="139">
        <f t="shared" si="28"/>
        <v>3.3623763221286009</v>
      </c>
      <c r="D103" s="138">
        <f>[6]REKAPITULASI!D72</f>
        <v>5.2860455468333343E-3</v>
      </c>
      <c r="E103" s="134">
        <f t="shared" si="29"/>
        <v>1.6386741195183336</v>
      </c>
      <c r="F103" s="137">
        <f t="shared" si="30"/>
        <v>5.0010504416469344</v>
      </c>
      <c r="G103" s="172">
        <f t="shared" si="31"/>
        <v>5001.0504416469339</v>
      </c>
    </row>
    <row r="104" spans="1:7" x14ac:dyDescent="0.25">
      <c r="A104" s="88">
        <v>2025</v>
      </c>
      <c r="B104" s="136">
        <f>[6]REKAPITULASI!B73</f>
        <v>0.16040646266280001</v>
      </c>
      <c r="C104" s="139">
        <f t="shared" si="28"/>
        <v>3.3685357159188003</v>
      </c>
      <c r="D104" s="138">
        <f>[6]REKAPITULASI!D73</f>
        <v>5.2957288282380957E-3</v>
      </c>
      <c r="E104" s="134">
        <f t="shared" si="29"/>
        <v>1.6416759367538096</v>
      </c>
      <c r="F104" s="137">
        <f t="shared" si="30"/>
        <v>5.0102116526726101</v>
      </c>
      <c r="G104" s="172">
        <f t="shared" si="31"/>
        <v>5010.2116526726104</v>
      </c>
    </row>
    <row r="105" spans="1:7" x14ac:dyDescent="0.25">
      <c r="A105" s="88">
        <v>2026</v>
      </c>
      <c r="B105" s="136">
        <f>[6]REKAPITULASI!B74</f>
        <v>0.160699767129</v>
      </c>
      <c r="C105" s="139">
        <f t="shared" si="28"/>
        <v>3.3746951097090001</v>
      </c>
      <c r="D105" s="138">
        <f>[6]REKAPITULASI!D74</f>
        <v>5.3054121096428571E-3</v>
      </c>
      <c r="E105" s="134">
        <f t="shared" si="29"/>
        <v>1.6446777539892856</v>
      </c>
      <c r="F105" s="137">
        <f t="shared" si="30"/>
        <v>5.0193728636982859</v>
      </c>
      <c r="G105" s="172">
        <f t="shared" si="31"/>
        <v>5019.372863698286</v>
      </c>
    </row>
    <row r="106" spans="1:7" x14ac:dyDescent="0.25">
      <c r="A106" s="88">
        <v>2027</v>
      </c>
      <c r="B106" s="136">
        <f>[6]REKAPITULASI!B75</f>
        <v>0.16099307159519999</v>
      </c>
      <c r="C106" s="139">
        <f t="shared" si="28"/>
        <v>3.3808545034991999</v>
      </c>
      <c r="D106" s="138">
        <f>[6]REKAPITULASI!D75</f>
        <v>5.3150953910476202E-3</v>
      </c>
      <c r="E106" s="134">
        <f t="shared" si="29"/>
        <v>1.6476795712247623</v>
      </c>
      <c r="F106" s="137">
        <f t="shared" si="30"/>
        <v>5.0285340747239626</v>
      </c>
      <c r="G106" s="172">
        <f t="shared" si="31"/>
        <v>5028.5340747239625</v>
      </c>
    </row>
    <row r="107" spans="1:7" x14ac:dyDescent="0.25">
      <c r="A107" s="88">
        <v>2028</v>
      </c>
      <c r="B107" s="136">
        <f>[6]REKAPITULASI!B76</f>
        <v>0.16128637606139998</v>
      </c>
      <c r="C107" s="139">
        <f t="shared" si="28"/>
        <v>3.3870138972893997</v>
      </c>
      <c r="D107" s="138">
        <f>[6]REKAPITULASI!D76</f>
        <v>5.3247786724523816E-3</v>
      </c>
      <c r="E107" s="134">
        <f t="shared" si="29"/>
        <v>1.6506813884602383</v>
      </c>
      <c r="F107" s="137">
        <f t="shared" si="30"/>
        <v>5.0376952857496384</v>
      </c>
      <c r="G107" s="172">
        <f t="shared" si="31"/>
        <v>5037.6952857496381</v>
      </c>
    </row>
    <row r="108" spans="1:7" x14ac:dyDescent="0.25">
      <c r="A108" s="88">
        <v>2029</v>
      </c>
      <c r="B108" s="136">
        <f>[6]REKAPITULASI!B77</f>
        <v>0.16157968052760002</v>
      </c>
      <c r="C108" s="139">
        <f t="shared" si="28"/>
        <v>3.3931732910796004</v>
      </c>
      <c r="D108" s="138">
        <f>[6]REKAPITULASI!D77</f>
        <v>5.334461953857143E-3</v>
      </c>
      <c r="E108" s="134">
        <f t="shared" si="29"/>
        <v>1.6536832056957143</v>
      </c>
      <c r="F108" s="137">
        <f t="shared" si="30"/>
        <v>5.0468564967753142</v>
      </c>
      <c r="G108" s="172">
        <f t="shared" si="31"/>
        <v>5046.8564967753146</v>
      </c>
    </row>
    <row r="109" spans="1:7" x14ac:dyDescent="0.25">
      <c r="A109" s="88">
        <v>2030</v>
      </c>
      <c r="B109" s="136">
        <f>[6]REKAPITULASI!B78</f>
        <v>0.16187298499379998</v>
      </c>
      <c r="C109" s="139">
        <f t="shared" si="28"/>
        <v>3.3993326848697998</v>
      </c>
      <c r="D109" s="138">
        <f>[6]REKAPITULASI!D78</f>
        <v>5.3441452352619052E-3</v>
      </c>
      <c r="E109" s="134">
        <f t="shared" si="29"/>
        <v>1.6566850229311907</v>
      </c>
      <c r="F109" s="137">
        <f t="shared" si="30"/>
        <v>5.05601770780099</v>
      </c>
      <c r="G109" s="172">
        <f t="shared" si="31"/>
        <v>5056.0177078009901</v>
      </c>
    </row>
    <row r="110" spans="1:7" x14ac:dyDescent="0.25">
      <c r="A110" s="88">
        <v>2031</v>
      </c>
      <c r="B110" s="136"/>
      <c r="C110" s="139">
        <f t="shared" si="28"/>
        <v>0</v>
      </c>
      <c r="D110" s="138"/>
      <c r="E110" s="134">
        <f t="shared" si="29"/>
        <v>0</v>
      </c>
      <c r="F110" s="137">
        <f t="shared" si="30"/>
        <v>0</v>
      </c>
      <c r="G110" s="97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H25" sqref="H25"/>
    </sheetView>
  </sheetViews>
  <sheetFormatPr defaultRowHeight="12.75" x14ac:dyDescent="0.25"/>
  <cols>
    <col min="1" max="2" width="9.140625" style="144"/>
    <col min="3" max="3" width="14.5703125" style="144" customWidth="1"/>
    <col min="4" max="4" width="19.140625" style="144" customWidth="1"/>
    <col min="5" max="16384" width="9.140625" style="144"/>
  </cols>
  <sheetData>
    <row r="3" spans="2:4" x14ac:dyDescent="0.25">
      <c r="B3" s="214" t="s">
        <v>11</v>
      </c>
      <c r="C3" s="214" t="s">
        <v>152</v>
      </c>
      <c r="D3" s="214"/>
    </row>
    <row r="4" spans="2:4" x14ac:dyDescent="0.25">
      <c r="B4" s="214"/>
      <c r="C4" s="145" t="s">
        <v>151</v>
      </c>
      <c r="D4" s="145" t="s">
        <v>147</v>
      </c>
    </row>
    <row r="5" spans="2:4" ht="15" x14ac:dyDescent="0.25">
      <c r="B5" s="88">
        <v>2011</v>
      </c>
      <c r="C5" s="164">
        <f>'[7]4D2_CH4_Industrial_Wastewater'!G12</f>
        <v>957606</v>
      </c>
      <c r="D5" s="164">
        <f>(C5*21)/1000</f>
        <v>20109.725999999999</v>
      </c>
    </row>
    <row r="6" spans="2:4" ht="15" x14ac:dyDescent="0.25">
      <c r="B6" s="88">
        <v>2012</v>
      </c>
      <c r="C6" s="164">
        <f>'[7]4D2_CH4_Industrial_Wastewater'!G13</f>
        <v>907902</v>
      </c>
      <c r="D6" s="164">
        <f t="shared" ref="D6:D15" si="0">(C6*21)/1000</f>
        <v>19065.941999999999</v>
      </c>
    </row>
    <row r="7" spans="2:4" ht="15" x14ac:dyDescent="0.25">
      <c r="B7" s="88">
        <v>2013</v>
      </c>
      <c r="C7" s="164">
        <f>'[7]4D2_CH4_Industrial_Wastewater'!G14</f>
        <v>1222230</v>
      </c>
      <c r="D7" s="164">
        <f t="shared" si="0"/>
        <v>25666.83</v>
      </c>
    </row>
    <row r="8" spans="2:4" ht="15" x14ac:dyDescent="0.25">
      <c r="B8" s="88">
        <v>2014</v>
      </c>
      <c r="C8" s="164">
        <f>'[7]4D2_CH4_Industrial_Wastewater'!G15</f>
        <v>2785194</v>
      </c>
      <c r="D8" s="164">
        <f t="shared" si="0"/>
        <v>58489.074000000001</v>
      </c>
    </row>
    <row r="9" spans="2:4" ht="15" x14ac:dyDescent="0.25">
      <c r="B9" s="88">
        <v>2015</v>
      </c>
      <c r="C9" s="164">
        <f>'[7]4D2_CH4_Industrial_Wastewater'!G16</f>
        <v>3140070</v>
      </c>
      <c r="D9" s="164">
        <f t="shared" si="0"/>
        <v>65941.47</v>
      </c>
    </row>
    <row r="10" spans="2:4" ht="15" x14ac:dyDescent="0.25">
      <c r="B10" s="88">
        <v>2016</v>
      </c>
      <c r="C10" s="164">
        <f>'[7]4D2_CH4_Industrial_Wastewater'!G17</f>
        <v>3513852</v>
      </c>
      <c r="D10" s="164">
        <f t="shared" si="0"/>
        <v>73790.892000000007</v>
      </c>
    </row>
    <row r="11" spans="2:4" ht="15" x14ac:dyDescent="0.25">
      <c r="B11" s="88">
        <v>2017</v>
      </c>
      <c r="C11" s="164">
        <f>'[7]4D2_CH4_Industrial_Wastewater'!G18</f>
        <v>7276328.4000000004</v>
      </c>
      <c r="D11" s="164">
        <f t="shared" si="0"/>
        <v>152802.8964</v>
      </c>
    </row>
    <row r="12" spans="2:4" ht="15" x14ac:dyDescent="0.25">
      <c r="B12" s="88">
        <v>2018</v>
      </c>
      <c r="C12" s="164">
        <f>'[7]4D2_CH4_Industrial_Wastewater'!G19</f>
        <v>9813459.4559999984</v>
      </c>
      <c r="D12" s="164">
        <f t="shared" si="0"/>
        <v>206082.64857599998</v>
      </c>
    </row>
    <row r="13" spans="2:4" ht="15" x14ac:dyDescent="0.25">
      <c r="B13" s="88">
        <v>2019</v>
      </c>
      <c r="C13" s="164">
        <f>'[7]4D2_CH4_Industrial_Wastewater'!G20</f>
        <v>12447204.767999999</v>
      </c>
      <c r="D13" s="164">
        <f t="shared" si="0"/>
        <v>261391.300128</v>
      </c>
    </row>
    <row r="14" spans="2:4" ht="15" x14ac:dyDescent="0.25">
      <c r="B14" s="88">
        <v>2020</v>
      </c>
      <c r="C14" s="164">
        <f>'[7]4D2_CH4_Industrial_Wastewater'!G21</f>
        <v>15177564.335999999</v>
      </c>
      <c r="D14" s="164">
        <f t="shared" si="0"/>
        <v>318728.85105599998</v>
      </c>
    </row>
    <row r="15" spans="2:4" ht="15" x14ac:dyDescent="0.25">
      <c r="B15" s="88">
        <v>2021</v>
      </c>
      <c r="C15" s="164">
        <f>'[7]4D2_CH4_Industrial_Wastewater'!G22</f>
        <v>17834376.886666667</v>
      </c>
      <c r="D15" s="164">
        <f t="shared" si="0"/>
        <v>374521.91462</v>
      </c>
    </row>
    <row r="16" spans="2:4" ht="15" x14ac:dyDescent="0.25">
      <c r="B16" s="88">
        <v>2022</v>
      </c>
      <c r="C16" s="164">
        <f>'[7]4D2_CH4_Industrial_Wastewater'!G23</f>
        <v>20581310.143999998</v>
      </c>
      <c r="D16" s="164">
        <f t="shared" ref="D16:D25" si="1">(C16*21)/1000</f>
        <v>432207.51302399993</v>
      </c>
    </row>
    <row r="17" spans="2:4" ht="15" x14ac:dyDescent="0.25">
      <c r="B17" s="88">
        <v>2023</v>
      </c>
      <c r="C17" s="164">
        <f>'[7]4D2_CH4_Industrial_Wastewater'!G24</f>
        <v>23418364.107999999</v>
      </c>
      <c r="D17" s="164">
        <f t="shared" si="1"/>
        <v>491785.64626800001</v>
      </c>
    </row>
    <row r="18" spans="2:4" ht="15" x14ac:dyDescent="0.25">
      <c r="B18" s="88">
        <v>2024</v>
      </c>
      <c r="C18" s="164">
        <f>'[7]4D2_CH4_Industrial_Wastewater'!G25</f>
        <v>26345538.778666671</v>
      </c>
      <c r="D18" s="164">
        <f t="shared" si="1"/>
        <v>553256.31435200013</v>
      </c>
    </row>
    <row r="19" spans="2:4" ht="15" x14ac:dyDescent="0.25">
      <c r="B19" s="88">
        <v>2025</v>
      </c>
      <c r="C19" s="164">
        <f>'[7]4D2_CH4_Industrial_Wastewater'!G26</f>
        <v>29362834.156000003</v>
      </c>
      <c r="D19" s="164">
        <f t="shared" si="1"/>
        <v>616619.517276</v>
      </c>
    </row>
    <row r="20" spans="2:4" ht="15" x14ac:dyDescent="0.25">
      <c r="B20" s="88">
        <v>2026</v>
      </c>
      <c r="C20" s="164">
        <f>'[7]4D2_CH4_Industrial_Wastewater'!G27</f>
        <v>32470250.239999998</v>
      </c>
      <c r="D20" s="164">
        <f t="shared" si="1"/>
        <v>681875.25503999996</v>
      </c>
    </row>
    <row r="21" spans="2:4" ht="15" x14ac:dyDescent="0.25">
      <c r="B21" s="88">
        <v>2027</v>
      </c>
      <c r="C21" s="164">
        <f>'[7]4D2_CH4_Industrial_Wastewater'!G28</f>
        <v>35667787.030666664</v>
      </c>
      <c r="D21" s="164">
        <f t="shared" si="1"/>
        <v>749023.5276439999</v>
      </c>
    </row>
    <row r="22" spans="2:4" ht="15" x14ac:dyDescent="0.25">
      <c r="B22" s="88">
        <v>2028</v>
      </c>
      <c r="C22" s="164">
        <f>'[7]4D2_CH4_Industrial_Wastewater'!G29</f>
        <v>38955444.527999997</v>
      </c>
      <c r="D22" s="164">
        <f t="shared" si="1"/>
        <v>818064.33508799993</v>
      </c>
    </row>
    <row r="23" spans="2:4" ht="15" x14ac:dyDescent="0.25">
      <c r="B23" s="88">
        <v>2029</v>
      </c>
      <c r="C23" s="164">
        <f>'[7]4D2_CH4_Industrial_Wastewater'!G30</f>
        <v>42333222.732000001</v>
      </c>
      <c r="D23" s="164">
        <f t="shared" si="1"/>
        <v>888997.67737199995</v>
      </c>
    </row>
    <row r="24" spans="2:4" ht="15" x14ac:dyDescent="0.25">
      <c r="B24" s="88">
        <v>2030</v>
      </c>
      <c r="C24" s="164">
        <f>'[7]4D2_CH4_Industrial_Wastewater'!G31</f>
        <v>43033995.695999995</v>
      </c>
      <c r="D24" s="164">
        <f t="shared" si="1"/>
        <v>903713.9096159999</v>
      </c>
    </row>
    <row r="25" spans="2:4" ht="15" x14ac:dyDescent="0.25">
      <c r="B25" s="88">
        <v>2031</v>
      </c>
      <c r="C25" s="146"/>
      <c r="D25" s="146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45" t="s">
        <v>54</v>
      </c>
      <c r="E5" s="245"/>
      <c r="F5" s="246" t="s">
        <v>64</v>
      </c>
      <c r="G5" s="246"/>
      <c r="H5" s="246"/>
      <c r="I5" s="246"/>
    </row>
    <row r="6" spans="1:9" s="20" customFormat="1" ht="16.5" customHeight="1" x14ac:dyDescent="0.25">
      <c r="A6" s="242" t="s">
        <v>48</v>
      </c>
      <c r="B6" s="242" t="s">
        <v>50</v>
      </c>
      <c r="C6" s="243"/>
      <c r="D6" s="231" t="s">
        <v>70</v>
      </c>
      <c r="E6" s="231"/>
      <c r="F6" s="232" t="s">
        <v>56</v>
      </c>
      <c r="G6" s="232"/>
      <c r="H6" s="232"/>
      <c r="I6" s="232"/>
    </row>
    <row r="7" spans="1:9" s="20" customFormat="1" ht="29.25" customHeight="1" x14ac:dyDescent="0.25">
      <c r="A7" s="242"/>
      <c r="B7" s="242"/>
      <c r="C7" s="243"/>
      <c r="D7" s="231"/>
      <c r="E7" s="231"/>
      <c r="F7" s="232" t="s">
        <v>57</v>
      </c>
      <c r="G7" s="232"/>
      <c r="H7" s="232"/>
      <c r="I7" s="232"/>
    </row>
    <row r="8" spans="1:9" s="20" customFormat="1" ht="51" customHeight="1" x14ac:dyDescent="0.25">
      <c r="A8" s="242"/>
      <c r="B8" s="29" t="s">
        <v>59</v>
      </c>
      <c r="C8" s="22"/>
      <c r="D8" s="231" t="s">
        <v>58</v>
      </c>
      <c r="E8" s="231"/>
      <c r="F8" s="232" t="s">
        <v>61</v>
      </c>
      <c r="G8" s="232"/>
      <c r="H8" s="232"/>
      <c r="I8" s="232"/>
    </row>
    <row r="9" spans="1:9" s="20" customFormat="1" ht="31.5" customHeight="1" x14ac:dyDescent="0.25">
      <c r="A9" s="242"/>
      <c r="B9" s="230" t="s">
        <v>51</v>
      </c>
      <c r="C9" s="22"/>
      <c r="D9" s="231" t="s">
        <v>60</v>
      </c>
      <c r="E9" s="231"/>
      <c r="F9" s="239" t="s">
        <v>66</v>
      </c>
      <c r="G9" s="240"/>
      <c r="H9" s="240"/>
      <c r="I9" s="241"/>
    </row>
    <row r="10" spans="1:9" s="20" customFormat="1" ht="20.25" customHeight="1" x14ac:dyDescent="0.25">
      <c r="A10" s="242"/>
      <c r="B10" s="230"/>
      <c r="C10" s="22"/>
      <c r="D10" s="231"/>
      <c r="E10" s="231"/>
      <c r="F10" s="232" t="s">
        <v>62</v>
      </c>
      <c r="G10" s="232"/>
      <c r="H10" s="232"/>
      <c r="I10" s="232"/>
    </row>
    <row r="11" spans="1:9" s="20" customFormat="1" ht="17.25" customHeight="1" x14ac:dyDescent="0.25">
      <c r="A11" s="242"/>
      <c r="B11" s="230"/>
      <c r="C11" s="22"/>
      <c r="D11" s="231"/>
      <c r="E11" s="231"/>
      <c r="F11" s="232" t="s">
        <v>63</v>
      </c>
      <c r="G11" s="232"/>
      <c r="H11" s="232"/>
      <c r="I11" s="232"/>
    </row>
    <row r="12" spans="1:9" s="20" customFormat="1" ht="60" customHeight="1" x14ac:dyDescent="0.25">
      <c r="A12" s="242" t="s">
        <v>49</v>
      </c>
      <c r="B12" s="27" t="s">
        <v>52</v>
      </c>
      <c r="C12" s="23"/>
      <c r="D12" s="24"/>
      <c r="E12" s="22"/>
      <c r="F12" s="233" t="s">
        <v>67</v>
      </c>
      <c r="G12" s="234"/>
      <c r="H12" s="234"/>
      <c r="I12" s="235"/>
    </row>
    <row r="13" spans="1:9" s="20" customFormat="1" ht="30" x14ac:dyDescent="0.25">
      <c r="A13" s="242"/>
      <c r="B13" s="28" t="s">
        <v>53</v>
      </c>
      <c r="C13" s="23"/>
      <c r="D13" s="24"/>
      <c r="E13" s="22"/>
      <c r="F13" s="236"/>
      <c r="G13" s="237"/>
      <c r="H13" s="237"/>
      <c r="I13" s="238"/>
    </row>
    <row r="18" spans="1:22" ht="21" x14ac:dyDescent="0.35">
      <c r="A18" s="244" t="s">
        <v>74</v>
      </c>
      <c r="B18" s="244"/>
      <c r="C18" s="244"/>
      <c r="D18" s="244"/>
      <c r="E18" s="244"/>
      <c r="F18" s="244"/>
      <c r="G18" s="244"/>
      <c r="H18" s="244"/>
      <c r="I18" s="24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5" t="s">
        <v>8</v>
      </c>
      <c r="B21" s="228" t="s">
        <v>40</v>
      </c>
      <c r="C21" s="228"/>
      <c r="D21" s="228"/>
      <c r="E21" s="228"/>
      <c r="F21" s="228"/>
      <c r="G21" s="228"/>
      <c r="H21" s="228"/>
      <c r="I21" s="229"/>
      <c r="K21" t="s">
        <v>22</v>
      </c>
      <c r="L21" t="s">
        <v>25</v>
      </c>
    </row>
    <row r="22" spans="1:22" ht="38.25" x14ac:dyDescent="0.25">
      <c r="A22" s="21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21" t="s">
        <v>71</v>
      </c>
      <c r="C24" s="35">
        <v>0</v>
      </c>
      <c r="D24" s="221" t="s">
        <v>73</v>
      </c>
      <c r="E24" s="221" t="s">
        <v>79</v>
      </c>
      <c r="F24" s="221"/>
      <c r="G24" s="221"/>
      <c r="H24" s="22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21"/>
      <c r="C25" s="35">
        <v>0</v>
      </c>
      <c r="D25" s="221"/>
      <c r="E25" s="221"/>
      <c r="F25" s="221"/>
      <c r="G25" s="221"/>
      <c r="H25" s="221"/>
      <c r="I25" s="34"/>
      <c r="K25" t="s">
        <v>27</v>
      </c>
      <c r="L25" s="219">
        <v>1000</v>
      </c>
      <c r="M25" s="219"/>
      <c r="N25" s="219"/>
      <c r="O25" s="8" t="s">
        <v>28</v>
      </c>
      <c r="R25" s="220">
        <f>L25*1000/365</f>
        <v>2739.7260273972602</v>
      </c>
      <c r="S25" s="220"/>
      <c r="T25" s="220"/>
      <c r="U25" s="11" t="s">
        <v>45</v>
      </c>
    </row>
    <row r="26" spans="1:22" x14ac:dyDescent="0.25">
      <c r="A26" s="2">
        <v>2013</v>
      </c>
      <c r="B26" s="221"/>
      <c r="C26" s="35">
        <v>0</v>
      </c>
      <c r="D26" s="221"/>
      <c r="E26" s="221"/>
      <c r="F26" s="221"/>
      <c r="G26" s="221"/>
      <c r="H26" s="221"/>
      <c r="I26" s="34"/>
      <c r="K26" t="s">
        <v>29</v>
      </c>
      <c r="L26" s="219">
        <v>3000</v>
      </c>
      <c r="M26" s="219"/>
      <c r="N26" s="219"/>
      <c r="O26" s="8" t="s">
        <v>28</v>
      </c>
    </row>
    <row r="27" spans="1:22" x14ac:dyDescent="0.25">
      <c r="A27" s="2">
        <v>2014</v>
      </c>
      <c r="B27" s="221"/>
      <c r="C27" s="35">
        <v>0</v>
      </c>
      <c r="D27" s="221"/>
      <c r="E27" s="221"/>
      <c r="F27" s="221"/>
      <c r="G27" s="221"/>
      <c r="H27" s="22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21"/>
      <c r="C28" s="35">
        <v>0</v>
      </c>
      <c r="D28" s="221"/>
      <c r="E28" s="221"/>
      <c r="F28" s="221"/>
      <c r="G28" s="221"/>
      <c r="H28" s="221"/>
      <c r="I28" s="34"/>
    </row>
    <row r="29" spans="1:22" x14ac:dyDescent="0.25">
      <c r="A29" s="2">
        <v>2016</v>
      </c>
      <c r="B29" s="221"/>
      <c r="C29" s="35">
        <v>0</v>
      </c>
      <c r="D29" s="221"/>
      <c r="E29" s="221"/>
      <c r="F29" s="221"/>
      <c r="G29" s="221"/>
      <c r="H29" s="221"/>
      <c r="I29" s="34"/>
    </row>
    <row r="30" spans="1:22" x14ac:dyDescent="0.25">
      <c r="A30" s="2">
        <v>2017</v>
      </c>
      <c r="B30" s="221"/>
      <c r="C30" s="35">
        <v>0</v>
      </c>
      <c r="D30" s="221"/>
      <c r="E30" s="221"/>
      <c r="F30" s="221"/>
      <c r="G30" s="221"/>
      <c r="H30" s="221"/>
      <c r="I30" s="34"/>
    </row>
    <row r="31" spans="1:22" ht="25.5" x14ac:dyDescent="0.25">
      <c r="A31" s="2">
        <v>2018</v>
      </c>
      <c r="B31" s="221"/>
      <c r="C31" s="35">
        <v>0</v>
      </c>
      <c r="D31" s="221"/>
      <c r="E31" s="221"/>
      <c r="F31" s="221"/>
      <c r="G31" s="221"/>
      <c r="H31" s="22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21"/>
      <c r="C32" s="35">
        <v>0</v>
      </c>
      <c r="D32" s="221"/>
      <c r="E32" s="221"/>
      <c r="F32" s="221"/>
      <c r="G32" s="221"/>
      <c r="H32" s="22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21"/>
      <c r="C33" s="35">
        <v>0</v>
      </c>
      <c r="D33" s="221"/>
      <c r="E33" s="221"/>
      <c r="F33" s="221"/>
      <c r="G33" s="221"/>
      <c r="H33" s="22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5" t="s">
        <v>8</v>
      </c>
      <c r="B37" s="222" t="s">
        <v>78</v>
      </c>
      <c r="C37" s="223"/>
      <c r="D37" s="223"/>
      <c r="E37" s="223"/>
      <c r="F37" s="223"/>
      <c r="G37" s="223"/>
      <c r="H37" s="224"/>
      <c r="I37" s="217" t="s">
        <v>40</v>
      </c>
    </row>
    <row r="38" spans="1:20" ht="38.25" x14ac:dyDescent="0.25">
      <c r="A38" s="21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8"/>
    </row>
    <row r="39" spans="1:20" x14ac:dyDescent="0.25">
      <c r="A39" s="2">
        <v>2010</v>
      </c>
      <c r="B39" s="225" t="s">
        <v>75</v>
      </c>
      <c r="C39" s="225" t="s">
        <v>76</v>
      </c>
      <c r="D39" s="225" t="s">
        <v>75</v>
      </c>
      <c r="E39" s="225" t="s">
        <v>76</v>
      </c>
      <c r="F39" s="225" t="s">
        <v>76</v>
      </c>
      <c r="G39" s="225" t="s">
        <v>76</v>
      </c>
      <c r="H39" s="225" t="s">
        <v>76</v>
      </c>
      <c r="I39" s="14">
        <f>'timbulan sampah'!E5</f>
        <v>28.403200000000002</v>
      </c>
    </row>
    <row r="40" spans="1:20" x14ac:dyDescent="0.25">
      <c r="A40" s="2">
        <v>2011</v>
      </c>
      <c r="B40" s="226"/>
      <c r="C40" s="226"/>
      <c r="D40" s="226"/>
      <c r="E40" s="226"/>
      <c r="F40" s="226"/>
      <c r="G40" s="226"/>
      <c r="H40" s="226"/>
      <c r="I40" s="14">
        <f>'timbulan sampah'!E6</f>
        <v>28.620200000000001</v>
      </c>
      <c r="K40" t="s">
        <v>20</v>
      </c>
      <c r="O40" s="8" t="s">
        <v>21</v>
      </c>
    </row>
    <row r="41" spans="1:20" x14ac:dyDescent="0.25">
      <c r="A41" s="2">
        <v>2012</v>
      </c>
      <c r="B41" s="226"/>
      <c r="C41" s="226"/>
      <c r="D41" s="226"/>
      <c r="E41" s="226"/>
      <c r="F41" s="226"/>
      <c r="G41" s="226"/>
      <c r="H41" s="226"/>
      <c r="I41" s="14">
        <f>'timbulan sampah'!E7</f>
        <v>28.803600000000003</v>
      </c>
      <c r="K41" t="s">
        <v>23</v>
      </c>
      <c r="O41" s="8" t="s">
        <v>24</v>
      </c>
    </row>
    <row r="42" spans="1:20" x14ac:dyDescent="0.25">
      <c r="A42" s="2">
        <v>2013</v>
      </c>
      <c r="B42" s="226"/>
      <c r="C42" s="226"/>
      <c r="D42" s="226"/>
      <c r="E42" s="226"/>
      <c r="F42" s="226"/>
      <c r="G42" s="226"/>
      <c r="H42" s="226"/>
      <c r="I42" s="14">
        <f>'timbulan sampah'!E8</f>
        <v>28.978400000000001</v>
      </c>
    </row>
    <row r="43" spans="1:20" x14ac:dyDescent="0.25">
      <c r="A43" s="2">
        <v>2014</v>
      </c>
      <c r="B43" s="226"/>
      <c r="C43" s="226"/>
      <c r="D43" s="226"/>
      <c r="E43" s="226"/>
      <c r="F43" s="226"/>
      <c r="G43" s="226"/>
      <c r="H43" s="226"/>
      <c r="I43" s="14">
        <f>'timbulan sampah'!E9</f>
        <v>29.167600000000004</v>
      </c>
    </row>
    <row r="44" spans="1:20" x14ac:dyDescent="0.25">
      <c r="A44" s="2">
        <v>2015</v>
      </c>
      <c r="B44" s="226"/>
      <c r="C44" s="226"/>
      <c r="D44" s="226"/>
      <c r="E44" s="226"/>
      <c r="F44" s="226"/>
      <c r="G44" s="226"/>
      <c r="H44" s="226"/>
      <c r="I44" s="14">
        <f>'timbulan sampah'!E10</f>
        <v>29.261400000000002</v>
      </c>
    </row>
    <row r="45" spans="1:20" x14ac:dyDescent="0.25">
      <c r="A45" s="2">
        <v>2016</v>
      </c>
      <c r="B45" s="226"/>
      <c r="C45" s="226"/>
      <c r="D45" s="226"/>
      <c r="E45" s="226"/>
      <c r="F45" s="226"/>
      <c r="G45" s="226"/>
      <c r="H45" s="226"/>
      <c r="I45" s="14">
        <f>'timbulan sampah'!E11</f>
        <v>30.258900000000001</v>
      </c>
    </row>
    <row r="46" spans="1:20" x14ac:dyDescent="0.25">
      <c r="A46" s="2">
        <v>2017</v>
      </c>
      <c r="B46" s="226"/>
      <c r="C46" s="226"/>
      <c r="D46" s="226"/>
      <c r="E46" s="226"/>
      <c r="F46" s="226"/>
      <c r="G46" s="226"/>
      <c r="H46" s="226"/>
      <c r="I46" s="14">
        <f>'timbulan sampah'!E12</f>
        <v>30.315050000000003</v>
      </c>
    </row>
    <row r="47" spans="1:20" x14ac:dyDescent="0.25">
      <c r="A47" s="2">
        <v>2018</v>
      </c>
      <c r="B47" s="226"/>
      <c r="C47" s="226"/>
      <c r="D47" s="226"/>
      <c r="E47" s="226"/>
      <c r="F47" s="226"/>
      <c r="G47" s="226"/>
      <c r="H47" s="226"/>
      <c r="I47" s="14">
        <f>'timbulan sampah'!E13</f>
        <v>30.371200000000002</v>
      </c>
    </row>
    <row r="48" spans="1:20" x14ac:dyDescent="0.25">
      <c r="A48" s="2">
        <v>2019</v>
      </c>
      <c r="B48" s="226"/>
      <c r="C48" s="226"/>
      <c r="D48" s="226"/>
      <c r="E48" s="226"/>
      <c r="F48" s="226"/>
      <c r="G48" s="226"/>
      <c r="H48" s="226"/>
      <c r="I48" s="14">
        <f>'timbulan sampah'!E14</f>
        <v>30.427350000000001</v>
      </c>
    </row>
    <row r="49" spans="1:21" x14ac:dyDescent="0.25">
      <c r="A49" s="2">
        <v>2020</v>
      </c>
      <c r="B49" s="227"/>
      <c r="C49" s="227"/>
      <c r="D49" s="227"/>
      <c r="E49" s="227"/>
      <c r="F49" s="227"/>
      <c r="G49" s="227"/>
      <c r="H49" s="227"/>
      <c r="I49" s="14">
        <f>'timbulan sampah'!E15</f>
        <v>30.483499999999999</v>
      </c>
    </row>
    <row r="52" spans="1:21" x14ac:dyDescent="0.25">
      <c r="A52" s="215" t="s">
        <v>8</v>
      </c>
      <c r="B52" s="216" t="s">
        <v>0</v>
      </c>
      <c r="C52" s="216"/>
      <c r="D52" s="216"/>
      <c r="E52" s="216"/>
      <c r="F52" s="216"/>
      <c r="G52" s="216"/>
      <c r="H52" s="216"/>
      <c r="I52" s="217" t="s">
        <v>10</v>
      </c>
    </row>
    <row r="53" spans="1:21" ht="42.75" customHeight="1" x14ac:dyDescent="0.25">
      <c r="A53" s="21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8"/>
    </row>
    <row r="54" spans="1:21" ht="17.25" customHeight="1" x14ac:dyDescent="0.25">
      <c r="A54" s="2">
        <v>2010</v>
      </c>
      <c r="B54" s="247" t="s">
        <v>77</v>
      </c>
      <c r="C54" s="247" t="s">
        <v>77</v>
      </c>
      <c r="D54" s="247" t="s">
        <v>77</v>
      </c>
      <c r="E54" s="247" t="s">
        <v>77</v>
      </c>
      <c r="F54" s="247" t="s">
        <v>77</v>
      </c>
      <c r="G54" s="247" t="s">
        <v>77</v>
      </c>
      <c r="H54" s="247" t="s">
        <v>77</v>
      </c>
      <c r="I54" s="3">
        <v>1</v>
      </c>
    </row>
    <row r="55" spans="1:21" x14ac:dyDescent="0.25">
      <c r="A55" s="2">
        <v>2011</v>
      </c>
      <c r="B55" s="248"/>
      <c r="C55" s="248"/>
      <c r="D55" s="248"/>
      <c r="E55" s="248"/>
      <c r="F55" s="248"/>
      <c r="G55" s="248"/>
      <c r="H55" s="248"/>
      <c r="I55" s="3">
        <v>1</v>
      </c>
    </row>
    <row r="56" spans="1:21" x14ac:dyDescent="0.25">
      <c r="A56" s="2">
        <v>2012</v>
      </c>
      <c r="B56" s="248"/>
      <c r="C56" s="248"/>
      <c r="D56" s="248"/>
      <c r="E56" s="248"/>
      <c r="F56" s="248"/>
      <c r="G56" s="248"/>
      <c r="H56" s="248"/>
      <c r="I56" s="3">
        <v>1</v>
      </c>
    </row>
    <row r="57" spans="1:21" x14ac:dyDescent="0.25">
      <c r="A57" s="2">
        <v>2013</v>
      </c>
      <c r="B57" s="248"/>
      <c r="C57" s="248"/>
      <c r="D57" s="248"/>
      <c r="E57" s="248"/>
      <c r="F57" s="248"/>
      <c r="G57" s="248"/>
      <c r="H57" s="248"/>
      <c r="I57" s="3">
        <v>1</v>
      </c>
    </row>
    <row r="58" spans="1:21" x14ac:dyDescent="0.25">
      <c r="A58" s="2">
        <v>2014</v>
      </c>
      <c r="B58" s="248"/>
      <c r="C58" s="248"/>
      <c r="D58" s="248"/>
      <c r="E58" s="248"/>
      <c r="F58" s="248"/>
      <c r="G58" s="248"/>
      <c r="H58" s="248"/>
      <c r="I58" s="3">
        <v>1</v>
      </c>
    </row>
    <row r="59" spans="1:21" x14ac:dyDescent="0.25">
      <c r="A59" s="2">
        <v>2015</v>
      </c>
      <c r="B59" s="248"/>
      <c r="C59" s="248"/>
      <c r="D59" s="248"/>
      <c r="E59" s="248"/>
      <c r="F59" s="248"/>
      <c r="G59" s="248"/>
      <c r="H59" s="248"/>
      <c r="I59" s="3">
        <v>1</v>
      </c>
    </row>
    <row r="60" spans="1:21" x14ac:dyDescent="0.25">
      <c r="A60" s="2">
        <v>2016</v>
      </c>
      <c r="B60" s="248"/>
      <c r="C60" s="248"/>
      <c r="D60" s="248"/>
      <c r="E60" s="248"/>
      <c r="F60" s="248"/>
      <c r="G60" s="248"/>
      <c r="H60" s="248"/>
      <c r="I60" s="3">
        <v>1</v>
      </c>
    </row>
    <row r="61" spans="1:21" x14ac:dyDescent="0.25">
      <c r="A61" s="2">
        <v>2017</v>
      </c>
      <c r="B61" s="248"/>
      <c r="C61" s="248"/>
      <c r="D61" s="248"/>
      <c r="E61" s="248"/>
      <c r="F61" s="248"/>
      <c r="G61" s="248"/>
      <c r="H61" s="248"/>
      <c r="I61" s="3">
        <v>1</v>
      </c>
    </row>
    <row r="62" spans="1:21" x14ac:dyDescent="0.25">
      <c r="A62" s="2">
        <v>2018</v>
      </c>
      <c r="B62" s="248"/>
      <c r="C62" s="248"/>
      <c r="D62" s="248"/>
      <c r="E62" s="248"/>
      <c r="F62" s="248"/>
      <c r="G62" s="248"/>
      <c r="H62" s="248"/>
      <c r="I62" s="3">
        <v>1</v>
      </c>
    </row>
    <row r="63" spans="1:21" x14ac:dyDescent="0.25">
      <c r="A63" s="2">
        <v>2019</v>
      </c>
      <c r="B63" s="248"/>
      <c r="C63" s="248"/>
      <c r="D63" s="248"/>
      <c r="E63" s="248"/>
      <c r="F63" s="248"/>
      <c r="G63" s="248"/>
      <c r="H63" s="248"/>
      <c r="I63" s="3">
        <v>1</v>
      </c>
      <c r="U63" s="4"/>
    </row>
    <row r="64" spans="1:21" x14ac:dyDescent="0.25">
      <c r="A64" s="2">
        <v>2020</v>
      </c>
      <c r="B64" s="249"/>
      <c r="C64" s="249"/>
      <c r="D64" s="249"/>
      <c r="E64" s="249"/>
      <c r="F64" s="249"/>
      <c r="G64" s="249"/>
      <c r="H64" s="24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0" t="s">
        <v>11</v>
      </c>
      <c r="B6" s="251" t="s">
        <v>110</v>
      </c>
      <c r="C6" s="251"/>
      <c r="D6" s="251"/>
      <c r="E6" s="71" t="s">
        <v>114</v>
      </c>
      <c r="F6" s="250" t="s">
        <v>11</v>
      </c>
      <c r="G6" s="251" t="s">
        <v>111</v>
      </c>
      <c r="H6" s="251"/>
      <c r="I6" s="251"/>
      <c r="J6" s="72" t="s">
        <v>115</v>
      </c>
      <c r="K6" s="250" t="s">
        <v>11</v>
      </c>
      <c r="L6" s="251" t="s">
        <v>112</v>
      </c>
      <c r="M6" s="251"/>
      <c r="N6" s="251"/>
      <c r="O6" s="72" t="s">
        <v>115</v>
      </c>
      <c r="P6" s="250" t="s">
        <v>11</v>
      </c>
      <c r="Q6" s="251" t="s">
        <v>113</v>
      </c>
      <c r="R6" s="251"/>
      <c r="S6" s="251"/>
    </row>
    <row r="7" spans="1:19" x14ac:dyDescent="0.25">
      <c r="A7" s="250"/>
      <c r="B7" s="250" t="s">
        <v>82</v>
      </c>
      <c r="C7" s="250"/>
      <c r="D7" s="251" t="s">
        <v>84</v>
      </c>
      <c r="E7" s="69"/>
      <c r="F7" s="250"/>
      <c r="G7" s="250" t="s">
        <v>82</v>
      </c>
      <c r="H7" s="250"/>
      <c r="I7" s="251" t="s">
        <v>84</v>
      </c>
      <c r="K7" s="250"/>
      <c r="L7" s="250" t="s">
        <v>82</v>
      </c>
      <c r="M7" s="250"/>
      <c r="N7" s="251" t="s">
        <v>84</v>
      </c>
      <c r="P7" s="250"/>
      <c r="Q7" s="250" t="s">
        <v>82</v>
      </c>
      <c r="R7" s="250"/>
      <c r="S7" s="251" t="s">
        <v>84</v>
      </c>
    </row>
    <row r="8" spans="1:19" x14ac:dyDescent="0.25">
      <c r="A8" s="250"/>
      <c r="B8" s="74" t="s">
        <v>85</v>
      </c>
      <c r="C8" s="74" t="s">
        <v>86</v>
      </c>
      <c r="D8" s="251"/>
      <c r="E8" s="6"/>
      <c r="F8" s="250"/>
      <c r="G8" s="74" t="s">
        <v>85</v>
      </c>
      <c r="H8" s="74" t="s">
        <v>86</v>
      </c>
      <c r="I8" s="251"/>
      <c r="K8" s="250"/>
      <c r="L8" s="74" t="s">
        <v>85</v>
      </c>
      <c r="M8" s="74" t="s">
        <v>86</v>
      </c>
      <c r="N8" s="251"/>
      <c r="P8" s="250"/>
      <c r="Q8" s="74" t="s">
        <v>85</v>
      </c>
      <c r="R8" s="74" t="s">
        <v>86</v>
      </c>
      <c r="S8" s="251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8" t="s">
        <v>11</v>
      </c>
      <c r="B23" s="260" t="s">
        <v>81</v>
      </c>
      <c r="C23" s="261"/>
      <c r="D23" s="261"/>
      <c r="E23" s="261"/>
      <c r="F23" s="262"/>
      <c r="K23" t="s">
        <v>121</v>
      </c>
      <c r="L23">
        <v>280</v>
      </c>
      <c r="M23" t="s">
        <v>123</v>
      </c>
    </row>
    <row r="24" spans="1:19" ht="15.75" thickBot="1" x14ac:dyDescent="0.3">
      <c r="A24" s="259"/>
      <c r="B24" s="260" t="s">
        <v>82</v>
      </c>
      <c r="C24" s="262"/>
      <c r="D24" s="260" t="s">
        <v>83</v>
      </c>
      <c r="E24" s="262"/>
      <c r="F24" s="263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9"/>
      <c r="B25" s="36" t="s">
        <v>85</v>
      </c>
      <c r="C25" s="36" t="s">
        <v>86</v>
      </c>
      <c r="D25" s="36" t="s">
        <v>87</v>
      </c>
      <c r="E25" s="36" t="s">
        <v>86</v>
      </c>
      <c r="F25" s="264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5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6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6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0.31687443326175596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0.31890498409858475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0.32084031826585668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0.32293508499610746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0.32397361099662292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0.33501763749464181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0.335639313773202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0.33626099005176213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0.33688266633032227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0.33750434260888246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0.33812601888744265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2" t="s">
        <v>11</v>
      </c>
      <c r="B58" s="254" t="s">
        <v>93</v>
      </c>
      <c r="C58" s="255"/>
      <c r="D58" s="53" t="s">
        <v>94</v>
      </c>
      <c r="E58" s="54"/>
      <c r="F58" s="55" t="s">
        <v>95</v>
      </c>
    </row>
    <row r="59" spans="1:6" ht="63.75" thickBot="1" x14ac:dyDescent="0.3">
      <c r="A59" s="253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3"/>
      <c r="B60" s="256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3"/>
      <c r="B61" s="257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2017-09-27T07:21:49Z</dcterms:modified>
</cp:coreProperties>
</file>