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PPU\"/>
    </mc:Choice>
  </mc:AlternateContent>
  <bookViews>
    <workbookView xWindow="360" yWindow="45" windowWidth="21015" windowHeight="9975" tabRatio="843" firstSheet="1" activeTab="3"/>
  </bookViews>
  <sheets>
    <sheet name="timbulan sampah" sheetId="4" r:id="rId1"/>
    <sheet name="Fraksi pengelolaan sampah BaU" sheetId="1" r:id="rId2"/>
    <sheet name="Rekapitulasi BaU Emisi GRK" sheetId="3" r:id="rId3"/>
    <sheet name="Rekap BAU Emisi Industri Sawitt" sheetId="6" r:id="rId4"/>
    <sheet name="Frksi pengelolaan smph Mitigasi" sheetId="2" state="hidden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F13" i="1" l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I81" i="3"/>
  <c r="E13" i="1" l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E12" i="1"/>
  <c r="D12" i="1"/>
  <c r="B12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10" i="1"/>
  <c r="C9" i="1"/>
  <c r="C8" i="1"/>
  <c r="C7" i="1"/>
  <c r="C6" i="1"/>
  <c r="H26" i="1" l="1"/>
  <c r="G26" i="1"/>
  <c r="F26" i="1"/>
  <c r="E26" i="1"/>
  <c r="D26" i="1"/>
  <c r="C26" i="1"/>
  <c r="B26" i="1"/>
  <c r="C24" i="6" l="1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53" i="5"/>
  <c r="F52" i="5"/>
  <c r="F51" i="5"/>
  <c r="F50" i="5"/>
  <c r="F49" i="5"/>
  <c r="F48" i="5"/>
  <c r="F47" i="5"/>
  <c r="F46" i="5"/>
  <c r="F45" i="5"/>
  <c r="F44" i="5"/>
  <c r="F43" i="5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5" i="4"/>
  <c r="D16" i="6" l="1"/>
  <c r="D17" i="6"/>
  <c r="D18" i="6"/>
  <c r="D19" i="6"/>
  <c r="D20" i="6"/>
  <c r="D21" i="6"/>
  <c r="D22" i="6"/>
  <c r="D23" i="6"/>
  <c r="D24" i="6"/>
  <c r="D25" i="6"/>
  <c r="J81" i="3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/>
  <c r="M29" i="3"/>
  <c r="N29" i="3"/>
  <c r="H29" i="3"/>
  <c r="I29" i="3"/>
  <c r="C29" i="3"/>
  <c r="D29" i="3"/>
  <c r="D6" i="6" l="1"/>
  <c r="D7" i="6"/>
  <c r="D8" i="6"/>
  <c r="D9" i="6"/>
  <c r="D10" i="6"/>
  <c r="D11" i="6"/>
  <c r="D12" i="6"/>
  <c r="D13" i="6"/>
  <c r="D14" i="6"/>
  <c r="D15" i="6"/>
  <c r="D5" i="6"/>
  <c r="I6" i="1" l="1"/>
  <c r="E91" i="3" l="1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90" i="3"/>
  <c r="F106" i="3" l="1"/>
  <c r="G106" i="3" s="1"/>
  <c r="F98" i="3"/>
  <c r="G98" i="3" s="1"/>
  <c r="F109" i="3"/>
  <c r="G109" i="3" s="1"/>
  <c r="F101" i="3"/>
  <c r="G101" i="3" s="1"/>
  <c r="F93" i="3"/>
  <c r="G93" i="3" s="1"/>
  <c r="F108" i="3"/>
  <c r="G108" i="3" s="1"/>
  <c r="F100" i="3"/>
  <c r="G100" i="3" s="1"/>
  <c r="F92" i="3"/>
  <c r="G92" i="3" s="1"/>
  <c r="F105" i="3"/>
  <c r="G105" i="3" s="1"/>
  <c r="F97" i="3"/>
  <c r="G97" i="3" s="1"/>
  <c r="F104" i="3"/>
  <c r="G104" i="3" s="1"/>
  <c r="F96" i="3"/>
  <c r="G96" i="3" s="1"/>
  <c r="F110" i="3"/>
  <c r="F102" i="3"/>
  <c r="G102" i="3" s="1"/>
  <c r="F94" i="3"/>
  <c r="G94" i="3" s="1"/>
  <c r="F107" i="3"/>
  <c r="G107" i="3" s="1"/>
  <c r="F99" i="3"/>
  <c r="G99" i="3" s="1"/>
  <c r="F91" i="3"/>
  <c r="G91" i="3" s="1"/>
  <c r="F90" i="3"/>
  <c r="G90" i="3" s="1"/>
  <c r="F103" i="3"/>
  <c r="G103" i="3" s="1"/>
  <c r="F95" i="3"/>
  <c r="G95" i="3" s="1"/>
  <c r="E62" i="3" l="1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F81" i="3" s="1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F53" i="3" l="1"/>
  <c r="F49" i="3"/>
  <c r="F52" i="3"/>
  <c r="F48" i="3"/>
  <c r="F73" i="3"/>
  <c r="F54" i="3"/>
  <c r="F77" i="3"/>
  <c r="F80" i="3"/>
  <c r="F72" i="3"/>
  <c r="F79" i="3"/>
  <c r="F78" i="3"/>
  <c r="F71" i="3"/>
  <c r="F63" i="3"/>
  <c r="F70" i="3"/>
  <c r="F66" i="3"/>
  <c r="F65" i="3"/>
  <c r="F64" i="3"/>
  <c r="F69" i="3"/>
  <c r="F68" i="3"/>
  <c r="F67" i="3"/>
  <c r="F76" i="3"/>
  <c r="F75" i="3"/>
  <c r="F74" i="3"/>
  <c r="F51" i="3"/>
  <c r="F50" i="3"/>
  <c r="F46" i="3"/>
  <c r="F47" i="3"/>
  <c r="F55" i="3"/>
  <c r="I17" i="1" l="1"/>
  <c r="I18" i="1"/>
  <c r="I19" i="1"/>
  <c r="I20" i="1"/>
  <c r="I21" i="1"/>
  <c r="I22" i="1"/>
  <c r="I23" i="1"/>
  <c r="I24" i="1"/>
  <c r="I25" i="1"/>
  <c r="D16" i="4" l="1"/>
  <c r="E16" i="4" s="1"/>
  <c r="I40" i="1" s="1"/>
  <c r="D17" i="4"/>
  <c r="E17" i="4" s="1"/>
  <c r="I41" i="1" s="1"/>
  <c r="D18" i="4"/>
  <c r="E18" i="4" s="1"/>
  <c r="I42" i="1" s="1"/>
  <c r="D19" i="4"/>
  <c r="E19" i="4" s="1"/>
  <c r="I43" i="1" s="1"/>
  <c r="D20" i="4"/>
  <c r="E20" i="4" s="1"/>
  <c r="I44" i="1" s="1"/>
  <c r="D21" i="4"/>
  <c r="E21" i="4" s="1"/>
  <c r="I45" i="1" s="1"/>
  <c r="D22" i="4"/>
  <c r="E22" i="4" s="1"/>
  <c r="I46" i="1" s="1"/>
  <c r="D23" i="4"/>
  <c r="E23" i="4" s="1"/>
  <c r="I47" i="1" s="1"/>
  <c r="D24" i="4"/>
  <c r="E24" i="4" s="1"/>
  <c r="I48" i="1" s="1"/>
  <c r="H41" i="1" l="1"/>
  <c r="F41" i="1"/>
  <c r="E41" i="1"/>
  <c r="G41" i="1"/>
  <c r="C41" i="1"/>
  <c r="D41" i="1"/>
  <c r="D40" i="1"/>
  <c r="H40" i="1"/>
  <c r="F40" i="1"/>
  <c r="G40" i="1"/>
  <c r="E40" i="1"/>
  <c r="C40" i="1"/>
  <c r="G47" i="1"/>
  <c r="E47" i="1"/>
  <c r="C47" i="1"/>
  <c r="D47" i="1"/>
  <c r="H47" i="1"/>
  <c r="F47" i="1"/>
  <c r="G43" i="1"/>
  <c r="E43" i="1"/>
  <c r="C43" i="1"/>
  <c r="D43" i="1"/>
  <c r="H43" i="1"/>
  <c r="F43" i="1"/>
  <c r="H45" i="1"/>
  <c r="F45" i="1"/>
  <c r="D45" i="1"/>
  <c r="G45" i="1"/>
  <c r="E45" i="1"/>
  <c r="C45" i="1"/>
  <c r="D48" i="1"/>
  <c r="G48" i="1"/>
  <c r="H48" i="1"/>
  <c r="F48" i="1"/>
  <c r="E48" i="1"/>
  <c r="C48" i="1"/>
  <c r="D44" i="1"/>
  <c r="H44" i="1"/>
  <c r="F44" i="1"/>
  <c r="E44" i="1"/>
  <c r="C44" i="1"/>
  <c r="G44" i="1"/>
  <c r="G46" i="1"/>
  <c r="E46" i="1"/>
  <c r="C46" i="1"/>
  <c r="H46" i="1"/>
  <c r="F46" i="1"/>
  <c r="D46" i="1"/>
  <c r="G42" i="1"/>
  <c r="E42" i="1"/>
  <c r="C42" i="1"/>
  <c r="F42" i="1"/>
  <c r="D42" i="1"/>
  <c r="H42" i="1"/>
  <c r="B42" i="1" l="1"/>
  <c r="B63" i="1" s="1"/>
  <c r="F57" i="1"/>
  <c r="B43" i="1"/>
  <c r="B64" i="1" s="1"/>
  <c r="F58" i="1"/>
  <c r="B46" i="1"/>
  <c r="B67" i="1" s="1"/>
  <c r="F61" i="1"/>
  <c r="B48" i="1"/>
  <c r="F63" i="1"/>
  <c r="B45" i="1"/>
  <c r="B66" i="1" s="1"/>
  <c r="F60" i="1"/>
  <c r="B47" i="1"/>
  <c r="B68" i="1" s="1"/>
  <c r="F62" i="1"/>
  <c r="B41" i="1"/>
  <c r="B62" i="1" s="1"/>
  <c r="F56" i="1"/>
  <c r="B44" i="1"/>
  <c r="F59" i="1"/>
  <c r="B40" i="1"/>
  <c r="B61" i="1" s="1"/>
  <c r="F55" i="1"/>
  <c r="J43" i="1"/>
  <c r="J41" i="1"/>
  <c r="J47" i="1"/>
  <c r="J46" i="1"/>
  <c r="J42" i="1"/>
  <c r="M15" i="1"/>
  <c r="M14" i="1" s="1"/>
  <c r="M13" i="1" s="1"/>
  <c r="M12" i="1" s="1"/>
  <c r="M11" i="1" s="1"/>
  <c r="M10" i="1" s="1"/>
  <c r="M9" i="1" s="1"/>
  <c r="M8" i="1" s="1"/>
  <c r="M7" i="1" s="1"/>
  <c r="J40" i="1" l="1"/>
  <c r="J45" i="1"/>
  <c r="J44" i="1"/>
  <c r="B65" i="1"/>
  <c r="J48" i="1"/>
  <c r="B69" i="1"/>
  <c r="C62" i="3"/>
  <c r="F62" i="3" s="1"/>
  <c r="E61" i="3"/>
  <c r="C61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0" i="1" s="1"/>
  <c r="D7" i="4"/>
  <c r="E7" i="4" s="1"/>
  <c r="I41" i="2" s="1"/>
  <c r="D8" i="4"/>
  <c r="E8" i="4" s="1"/>
  <c r="I32" i="1" s="1"/>
  <c r="C32" i="1" s="1"/>
  <c r="D9" i="4"/>
  <c r="E9" i="4" s="1"/>
  <c r="I33" i="1" s="1"/>
  <c r="C33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I29" i="1" s="1"/>
  <c r="B29" i="1" s="1"/>
  <c r="B50" i="1" s="1"/>
  <c r="L7" i="4"/>
  <c r="L8" i="4" s="1"/>
  <c r="J7" i="4"/>
  <c r="J8" i="4" s="1"/>
  <c r="I39" i="2" l="1"/>
  <c r="F61" i="3"/>
  <c r="F40" i="3"/>
  <c r="F27" i="5"/>
  <c r="F29" i="5"/>
  <c r="F65" i="5"/>
  <c r="F69" i="5"/>
  <c r="I49" i="2"/>
  <c r="I39" i="1"/>
  <c r="C39" i="1" s="1"/>
  <c r="F26" i="5"/>
  <c r="F30" i="5"/>
  <c r="F70" i="5"/>
  <c r="F72" i="5"/>
  <c r="F35" i="3"/>
  <c r="F37" i="3"/>
  <c r="F39" i="3"/>
  <c r="F43" i="3"/>
  <c r="F45" i="3"/>
  <c r="F42" i="3"/>
  <c r="F44" i="3"/>
  <c r="F36" i="3"/>
  <c r="D30" i="1"/>
  <c r="C30" i="1"/>
  <c r="I31" i="1"/>
  <c r="I40" i="2"/>
  <c r="I36" i="1"/>
  <c r="I35" i="1"/>
  <c r="F32" i="1"/>
  <c r="E32" i="1"/>
  <c r="I42" i="2"/>
  <c r="B30" i="1"/>
  <c r="B51" i="1" s="1"/>
  <c r="F30" i="1"/>
  <c r="E30" i="1"/>
  <c r="I34" i="1"/>
  <c r="I37" i="1"/>
  <c r="C37" i="1" s="1"/>
  <c r="I47" i="2"/>
  <c r="F33" i="1"/>
  <c r="B33" i="1"/>
  <c r="B54" i="1" s="1"/>
  <c r="D33" i="1"/>
  <c r="G33" i="1"/>
  <c r="H33" i="1"/>
  <c r="I43" i="2"/>
  <c r="F31" i="5"/>
  <c r="F33" i="5"/>
  <c r="F63" i="5"/>
  <c r="I38" i="1"/>
  <c r="C38" i="1" s="1"/>
  <c r="F35" i="5"/>
  <c r="F67" i="5"/>
  <c r="F38" i="3"/>
  <c r="F41" i="3"/>
  <c r="G30" i="1"/>
  <c r="F36" i="5"/>
  <c r="F66" i="5"/>
  <c r="F71" i="5"/>
  <c r="B32" i="1"/>
  <c r="B53" i="1" s="1"/>
  <c r="E33" i="1"/>
  <c r="G32" i="1"/>
  <c r="H32" i="1"/>
  <c r="D32" i="1"/>
  <c r="H30" i="1"/>
  <c r="J32" i="1" l="1"/>
  <c r="J30" i="1"/>
  <c r="J33" i="1"/>
  <c r="E29" i="1"/>
  <c r="F34" i="1"/>
  <c r="C34" i="1"/>
  <c r="F36" i="1"/>
  <c r="C36" i="1"/>
  <c r="E31" i="1"/>
  <c r="C31" i="1"/>
  <c r="E35" i="1"/>
  <c r="C35" i="1"/>
  <c r="G35" i="1"/>
  <c r="H36" i="1"/>
  <c r="G36" i="1"/>
  <c r="E36" i="1"/>
  <c r="D35" i="1"/>
  <c r="D31" i="1"/>
  <c r="H35" i="1"/>
  <c r="D29" i="1"/>
  <c r="G31" i="1"/>
  <c r="H34" i="1"/>
  <c r="G34" i="1"/>
  <c r="F31" i="1"/>
  <c r="H31" i="1"/>
  <c r="D36" i="1"/>
  <c r="B31" i="1"/>
  <c r="B52" i="1" s="1"/>
  <c r="E34" i="1"/>
  <c r="F35" i="1"/>
  <c r="D34" i="1"/>
  <c r="B34" i="1"/>
  <c r="B55" i="1" s="1"/>
  <c r="D38" i="1"/>
  <c r="E38" i="1"/>
  <c r="F38" i="1"/>
  <c r="G38" i="1"/>
  <c r="F37" i="1"/>
  <c r="D37" i="1"/>
  <c r="E37" i="1"/>
  <c r="G37" i="1"/>
  <c r="H37" i="1"/>
  <c r="H29" i="1"/>
  <c r="C29" i="1"/>
  <c r="G29" i="1"/>
  <c r="H38" i="1"/>
  <c r="E39" i="1"/>
  <c r="G39" i="1"/>
  <c r="F39" i="1"/>
  <c r="H39" i="1"/>
  <c r="D39" i="1"/>
  <c r="F29" i="1"/>
  <c r="I7" i="1"/>
  <c r="I8" i="1"/>
  <c r="I9" i="1"/>
  <c r="I10" i="1"/>
  <c r="I11" i="1"/>
  <c r="I12" i="1"/>
  <c r="I13" i="1"/>
  <c r="I14" i="1"/>
  <c r="I15" i="1"/>
  <c r="I16" i="1"/>
  <c r="B39" i="1" l="1"/>
  <c r="F54" i="1"/>
  <c r="B36" i="1"/>
  <c r="B57" i="1" s="1"/>
  <c r="F51" i="1"/>
  <c r="B35" i="1"/>
  <c r="B56" i="1" s="1"/>
  <c r="F50" i="1"/>
  <c r="B37" i="1"/>
  <c r="B58" i="1" s="1"/>
  <c r="F52" i="1"/>
  <c r="B38" i="1"/>
  <c r="F53" i="1"/>
  <c r="J31" i="1"/>
  <c r="J29" i="1"/>
  <c r="J34" i="1"/>
  <c r="J36" i="1"/>
  <c r="J37" i="1" l="1"/>
  <c r="J38" i="1"/>
  <c r="B59" i="1"/>
  <c r="J39" i="1"/>
  <c r="B60" i="1"/>
  <c r="J35" i="1"/>
  <c r="F64" i="1"/>
  <c r="F65" i="1" s="1"/>
  <c r="C9" i="3"/>
  <c r="D9" i="3" s="1"/>
  <c r="B70" i="1" l="1"/>
  <c r="B71" i="1" s="1"/>
  <c r="C11" i="3"/>
  <c r="D11" i="3" s="1"/>
  <c r="C10" i="3"/>
  <c r="D10" i="3" s="1"/>
  <c r="C12" i="3" l="1"/>
  <c r="D12" i="3" s="1"/>
  <c r="C13" i="3" l="1"/>
  <c r="D13" i="3" s="1"/>
  <c r="C14" i="3" l="1"/>
  <c r="D14" i="3" s="1"/>
  <c r="C15" i="3" l="1"/>
  <c r="D15" i="3" s="1"/>
  <c r="C16" i="3" l="1"/>
  <c r="D16" i="3" s="1"/>
  <c r="C18" i="3" l="1"/>
  <c r="D18" i="3" s="1"/>
  <c r="C17" i="3"/>
  <c r="D17" i="3" s="1"/>
  <c r="C19" i="3" l="1"/>
  <c r="D19" i="3" s="1"/>
  <c r="C20" i="3" l="1"/>
  <c r="D20" i="3" s="1"/>
  <c r="C21" i="3" l="1"/>
  <c r="D21" i="3" s="1"/>
  <c r="C22" i="3" l="1"/>
  <c r="D22" i="3" s="1"/>
  <c r="C23" i="3" l="1"/>
  <c r="D23" i="3" s="1"/>
  <c r="C24" i="3" l="1"/>
  <c r="D24" i="3" s="1"/>
  <c r="C25" i="3" l="1"/>
  <c r="D25" i="3" s="1"/>
  <c r="C27" i="3" l="1"/>
  <c r="D27" i="3" s="1"/>
  <c r="C26" i="3"/>
  <c r="D26" i="3" s="1"/>
  <c r="C28" i="3" l="1"/>
  <c r="D28" i="3" s="1"/>
  <c r="M9" i="3" l="1"/>
  <c r="N9" i="3" s="1"/>
  <c r="M10" i="3" l="1"/>
  <c r="N10" i="3" s="1"/>
  <c r="M11" i="3" l="1"/>
  <c r="N11" i="3" s="1"/>
  <c r="M12" i="3" l="1"/>
  <c r="N12" i="3" s="1"/>
  <c r="M13" i="3" l="1"/>
  <c r="N13" i="3" s="1"/>
  <c r="M14" i="3" l="1"/>
  <c r="N14" i="3" s="1"/>
  <c r="M15" i="3" l="1"/>
  <c r="N15" i="3" s="1"/>
  <c r="M16" i="3" l="1"/>
  <c r="N16" i="3" s="1"/>
  <c r="M17" i="3" l="1"/>
  <c r="N17" i="3" s="1"/>
  <c r="M18" i="3" l="1"/>
  <c r="N18" i="3" s="1"/>
  <c r="M19" i="3" l="1"/>
  <c r="N19" i="3" s="1"/>
  <c r="M20" i="3" l="1"/>
  <c r="N20" i="3" s="1"/>
  <c r="M21" i="3" l="1"/>
  <c r="N21" i="3" s="1"/>
  <c r="M22" i="3" l="1"/>
  <c r="N22" i="3" s="1"/>
  <c r="M23" i="3" l="1"/>
  <c r="N23" i="3" s="1"/>
  <c r="M24" i="3" l="1"/>
  <c r="N24" i="3" s="1"/>
  <c r="M25" i="3" l="1"/>
  <c r="N25" i="3" s="1"/>
  <c r="M26" i="3" l="1"/>
  <c r="N26" i="3" s="1"/>
  <c r="M27" i="3" l="1"/>
  <c r="N27" i="3" s="1"/>
  <c r="M28" i="3" l="1"/>
  <c r="N28" i="3" s="1"/>
  <c r="H9" i="3" l="1"/>
  <c r="I9" i="3" s="1"/>
  <c r="I61" i="3" l="1"/>
  <c r="J61" i="3" s="1"/>
  <c r="H10" i="3"/>
  <c r="I10" i="3" s="1"/>
  <c r="I62" i="3" l="1"/>
  <c r="J62" i="3" s="1"/>
  <c r="H11" i="3"/>
  <c r="I11" i="3" s="1"/>
  <c r="I63" i="3" l="1"/>
  <c r="J63" i="3" s="1"/>
  <c r="H12" i="3"/>
  <c r="I12" i="3" s="1"/>
  <c r="I64" i="3" l="1"/>
  <c r="J64" i="3" s="1"/>
  <c r="H13" i="3"/>
  <c r="I13" i="3" s="1"/>
  <c r="I65" i="3" l="1"/>
  <c r="J65" i="3" s="1"/>
  <c r="H14" i="3"/>
  <c r="I14" i="3" s="1"/>
  <c r="I66" i="3" l="1"/>
  <c r="J66" i="3" s="1"/>
  <c r="H15" i="3"/>
  <c r="I15" i="3" s="1"/>
  <c r="I67" i="3" l="1"/>
  <c r="J67" i="3" s="1"/>
  <c r="H16" i="3"/>
  <c r="I16" i="3" s="1"/>
  <c r="I68" i="3" l="1"/>
  <c r="J68" i="3" s="1"/>
  <c r="H17" i="3"/>
  <c r="I17" i="3" s="1"/>
  <c r="I69" i="3" l="1"/>
  <c r="J69" i="3" s="1"/>
  <c r="H18" i="3"/>
  <c r="I18" i="3" s="1"/>
  <c r="I70" i="3" l="1"/>
  <c r="J70" i="3" s="1"/>
  <c r="H19" i="3"/>
  <c r="I19" i="3" s="1"/>
  <c r="I71" i="3" l="1"/>
  <c r="J71" i="3" s="1"/>
  <c r="H20" i="3"/>
  <c r="I20" i="3" s="1"/>
  <c r="I72" i="3" l="1"/>
  <c r="J72" i="3" s="1"/>
  <c r="H21" i="3"/>
  <c r="I21" i="3" s="1"/>
  <c r="I73" i="3" l="1"/>
  <c r="J73" i="3" s="1"/>
  <c r="H22" i="3"/>
  <c r="I22" i="3" s="1"/>
  <c r="I74" i="3" l="1"/>
  <c r="J74" i="3" s="1"/>
  <c r="H23" i="3"/>
  <c r="I23" i="3" s="1"/>
  <c r="I75" i="3" l="1"/>
  <c r="J75" i="3" s="1"/>
  <c r="H24" i="3"/>
  <c r="I24" i="3" s="1"/>
  <c r="I76" i="3" l="1"/>
  <c r="J76" i="3" s="1"/>
  <c r="H25" i="3"/>
  <c r="I25" i="3" s="1"/>
  <c r="I77" i="3" l="1"/>
  <c r="J77" i="3" s="1"/>
  <c r="H26" i="3"/>
  <c r="I26" i="3" s="1"/>
  <c r="I78" i="3" l="1"/>
  <c r="J78" i="3" s="1"/>
  <c r="H27" i="3"/>
  <c r="I27" i="3" s="1"/>
  <c r="I79" i="3" l="1"/>
  <c r="J79" i="3" s="1"/>
  <c r="H28" i="3"/>
  <c r="I28" i="3" s="1"/>
  <c r="I80" i="3" l="1"/>
  <c r="J80" i="3" s="1"/>
</calcChain>
</file>

<file path=xl/comments1.xml><?xml version="1.0" encoding="utf-8"?>
<comments xmlns="http://schemas.openxmlformats.org/spreadsheetml/2006/main">
  <authors>
    <author>Iwied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Mengurangi jumlah sampah yang masuk ke TPA melalui Kegiatan 3R sebesar 2% dari sampah yang masuk ke TPA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Mengurangi jumlah sampah yang masuk ke TPA melalui Kegiatan 3R sebesar 3% dari fraksi sampah yang masuk ke TPA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<sst xmlns="http://schemas.openxmlformats.org/spreadsheetml/2006/main" count="303" uniqueCount="157">
  <si>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</si>
  <si>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</si>
  <si>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</si>
  <si>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</si>
  <si>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</si>
  <si>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</si>
  <si>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</si>
  <si>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</si>
  <si>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</si>
  <si>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</si>
  <si>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</si>
  <si>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</si>
  <si>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</si>
  <si>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</si>
  <si>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</si>
  <si>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</si>
  <si>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</si>
  <si>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</si>
  <si>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</si>
  <si>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</si>
  <si>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</si>
  <si>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</si>
  <si>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</si>
  <si>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</si>
  <si>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</si>
  <si>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</si>
  <si>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</si>
  <si>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</si>
  <si>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</si>
  <si>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</si>
  <si>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</si>
  <si>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</si>
  <si>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</si>
  <si>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</si>
  <si>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</si>
  <si>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</si>
  <si>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</si>
  <si>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</si>
  <si>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</si>
  <si>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</si>
  <si>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</si>
  <si>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</si>
  <si>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</si>
  <si>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</si>
  <si>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</si>
  <si>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</si>
  <si>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</si>
  <si>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</si>
  <si>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</si>
  <si>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</si>
  <si>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</si>
  <si>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</si>
  <si>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</si>
  <si>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</si>
  <si>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</si>
  <si>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</si>
  <si>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</si>
  <si>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</si>
  <si>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</si>
  <si>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</si>
  <si>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</si>
  <si>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</si>
  <si>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</si>
  <si>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</si>
  <si>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</si>
  <si>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</si>
  <si>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</si>
  <si>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</si>
  <si>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</si>
  <si>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</si>
  <si>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</si>
  <si>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</si>
  <si>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</si>
  <si>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</si>
  <si>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</si>
  <si>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</si>
  <si>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</si>
  <si>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</si>
  <si>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</si>
  <si>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</si>
  <si>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</si>
  <si>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</si>
  <si>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</si>
  <si>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</si>
  <si>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</si>
  <si>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</si>
  <si>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</si>
  <si>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</si>
  <si>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</si>
  <si>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</si>
  <si>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</si>
  <si>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</si>
  <si>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</si>
  <si>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</si>
  <si>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</si>
  <si>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</si>
  <si>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</si>
  <si>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</si>
  <si>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</si>
  <si>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</si>
  <si>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</si>
  <si>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</si>
  <si>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</si>
  <si>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</si>
  <si>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</si>
  <si>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</si>
  <si>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</si>
  <si>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</si>
  <si>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</si>
  <si>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</si>
  <si>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</si>
  <si>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</si>
  <si>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</si>
  <si>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</si>
  <si>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</si>
  <si>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</si>
  <si>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</si>
  <si>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</si>
  <si>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</si>
  <si>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</si>
  <si>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</si>
  <si>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</si>
  <si>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</si>
  <si>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>KOTA BALIKPAPAN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</si>
  <si>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</si>
  <si>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</si>
  <si>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</si>
  <si>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</si>
  <si>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</si>
  <si>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</si>
  <si>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</si>
  <si>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</si>
  <si>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</si>
  <si>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</si>
  <si>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</si>
  <si>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</si>
  <si>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</si>
  <si>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</si>
  <si>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</si>
  <si>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</si>
  <si>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</si>
  <si>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</si>
  <si>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</si>
  <si>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</si>
  <si>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</si>
  <si>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</si>
  <si>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</si>
  <si>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</si>
  <si>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Kompos</t>
  </si>
  <si>
    <t>Total timbulan sampah (Gg/tahun)</t>
  </si>
  <si>
    <t>kg CH4</t>
  </si>
  <si>
    <t>Emisi GRK dari Limbah Cair Industri Sawit</t>
  </si>
  <si>
    <t>KONDISI MITIGASI</t>
  </si>
  <si>
    <t>AM1: Meningkatkan jumlah sampah yang diangkut ke TPA dan mengurangi jumlah fraksi lainnya</t>
  </si>
  <si>
    <t>KABUPATEN PENAJAM PASER UTARA</t>
  </si>
  <si>
    <t xml:space="preserve"> Emisi GRK dari sampah yang dilakukan 3R</t>
  </si>
  <si>
    <t xml:space="preserve">3R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</si>
</sst>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charset val="1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268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43" fontId="1" fillId="0" borderId="1" xfId="0" applyNumberFormat="1" applyFont="1" applyBorder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64" fontId="1" fillId="8" borderId="21" xfId="0" applyNumberFormat="1" applyFont="1" applyFill="1" applyBorder="1" applyAlignment="1">
      <alignment vertical="center"/>
    </xf>
    <xf numFmtId="166" fontId="41" fillId="8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0" fontId="54" fillId="0" borderId="0" xfId="0" applyFont="1" applyFill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Fill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9" fontId="54" fillId="7" borderId="1" xfId="0" applyNumberFormat="1" applyFont="1" applyFill="1" applyBorder="1" applyAlignment="1">
      <alignment horizontal="center" vertical="center"/>
    </xf>
    <xf numFmtId="3" fontId="54" fillId="0" borderId="0" xfId="0" applyNumberFormat="1" applyFont="1" applyFill="1" applyAlignment="1">
      <alignment vertical="center"/>
    </xf>
    <xf numFmtId="0" fontId="54" fillId="0" borderId="0" xfId="0" quotePrefix="1" applyFont="1" applyFill="1" applyAlignment="1">
      <alignment vertical="center"/>
    </xf>
    <xf numFmtId="3" fontId="54" fillId="0" borderId="0" xfId="0" applyNumberFormat="1" applyFont="1" applyFill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8" borderId="1" xfId="0" applyNumberFormat="1" applyFont="1" applyFill="1" applyBorder="1" applyAlignment="1">
      <alignment horizontal="center" vertical="center"/>
    </xf>
    <xf numFmtId="2" fontId="59" fillId="8" borderId="1" xfId="0" applyNumberFormat="1" applyFont="1" applyFill="1" applyBorder="1" applyAlignment="1">
      <alignment horizontal="center" vertical="center"/>
    </xf>
    <xf numFmtId="2" fontId="54" fillId="0" borderId="1" xfId="0" applyNumberFormat="1" applyFont="1" applyFill="1" applyBorder="1" applyAlignment="1">
      <alignment horizontal="center" vertical="center"/>
    </xf>
    <xf numFmtId="2" fontId="54" fillId="0" borderId="0" xfId="0" applyNumberFormat="1" applyFont="1" applyAlignment="1">
      <alignment vertical="center"/>
    </xf>
    <xf numFmtId="168" fontId="54" fillId="0" borderId="1" xfId="1" applyNumberFormat="1" applyFont="1" applyBorder="1" applyAlignment="1">
      <alignment vertical="center"/>
    </xf>
    <xf numFmtId="2" fontId="0" fillId="8" borderId="1" xfId="0" applyNumberFormat="1" applyFill="1" applyBorder="1" applyAlignment="1">
      <alignment vertical="center"/>
    </xf>
    <xf numFmtId="0" fontId="60" fillId="8" borderId="0" xfId="0" applyFont="1" applyFill="1" applyAlignment="1">
      <alignment vertical="center" wrapText="1"/>
    </xf>
    <xf numFmtId="10" fontId="6" fillId="8" borderId="1" xfId="2" applyNumberFormat="1" applyFont="1" applyFill="1" applyBorder="1" applyAlignment="1">
      <alignment horizontal="center" vertical="center" wrapText="1"/>
    </xf>
    <xf numFmtId="10" fontId="0" fillId="19" borderId="0" xfId="2" applyNumberFormat="1" applyFont="1" applyFill="1" applyAlignment="1">
      <alignment vertical="center"/>
    </xf>
    <xf numFmtId="43" fontId="41" fillId="8" borderId="1" xfId="1" applyFont="1" applyFill="1" applyBorder="1" applyAlignment="1">
      <alignment vertical="center" wrapText="1"/>
    </xf>
    <xf numFmtId="43" fontId="41" fillId="0" borderId="1" xfId="1" applyFont="1" applyBorder="1" applyAlignment="1">
      <alignment vertical="center"/>
    </xf>
    <xf numFmtId="43" fontId="1" fillId="8" borderId="21" xfId="1" applyFont="1" applyFill="1" applyBorder="1" applyAlignment="1">
      <alignment vertical="center"/>
    </xf>
    <xf numFmtId="168" fontId="1" fillId="8" borderId="1" xfId="1" applyNumberFormat="1" applyFont="1" applyFill="1" applyBorder="1" applyAlignment="1">
      <alignment vertical="center" wrapText="1"/>
    </xf>
    <xf numFmtId="171" fontId="6" fillId="8" borderId="1" xfId="2" applyNumberFormat="1" applyFont="1" applyFill="1" applyBorder="1" applyAlignment="1">
      <alignment horizontal="center" vertical="center" wrapText="1"/>
    </xf>
    <xf numFmtId="0" fontId="14" fillId="20" borderId="1" xfId="0" applyFont="1" applyFill="1" applyBorder="1" applyAlignment="1">
      <alignment horizontal="center" vertical="center" wrapText="1"/>
    </xf>
    <xf numFmtId="2" fontId="54" fillId="20" borderId="1" xfId="0" applyNumberFormat="1" applyFont="1" applyFill="1" applyBorder="1" applyAlignment="1">
      <alignment horizontal="center" vertical="center"/>
    </xf>
    <xf numFmtId="168" fontId="54" fillId="0" borderId="0" xfId="1" applyNumberFormat="1" applyFont="1" applyAlignment="1">
      <alignment vertical="center"/>
    </xf>
    <xf numFmtId="168" fontId="54" fillId="0" borderId="0" xfId="0" applyNumberFormat="1" applyFont="1" applyAlignment="1">
      <alignment vertical="center"/>
    </xf>
    <xf numFmtId="43" fontId="54" fillId="0" borderId="0" xfId="0" applyNumberFormat="1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8" fillId="3" borderId="6" xfId="0" applyFont="1" applyFill="1" applyBorder="1" applyAlignment="1">
      <alignment horizontal="center" vertical="center"/>
    </xf>
    <xf numFmtId="0" fontId="58" fillId="3" borderId="7" xfId="0" applyFont="1" applyFill="1" applyBorder="1" applyAlignment="1">
      <alignment horizontal="center" vertical="center"/>
    </xf>
    <xf numFmtId="0" fontId="58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53" fillId="1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GRK'!$B$32:$F$32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GRK'!$F$35:$F$54</c:f>
              <c:numCache>
                <c:formatCode>_(* #,##0.00_);_(* \(#,##0.00\);_(* "-"??_);_(@_)</c:formatCode>
                <c:ptCount val="20"/>
                <c:pt idx="0">
                  <c:v>6.9762886199999999E-2</c:v>
                </c:pt>
                <c:pt idx="1">
                  <c:v>7.074544860000001E-2</c:v>
                </c:pt>
                <c:pt idx="2">
                  <c:v>7.1782969500000002E-2</c:v>
                </c:pt>
                <c:pt idx="3">
                  <c:v>7.26976701E-2</c:v>
                </c:pt>
                <c:pt idx="4">
                  <c:v>7.3708906500000004E-2</c:v>
                </c:pt>
                <c:pt idx="5">
                  <c:v>7.4552877900000009E-2</c:v>
                </c:pt>
                <c:pt idx="6">
                  <c:v>7.9686426366360003E-2</c:v>
                </c:pt>
                <c:pt idx="7">
                  <c:v>8.3699237323068332E-2</c:v>
                </c:pt>
                <c:pt idx="8">
                  <c:v>8.7876053204492974E-2</c:v>
                </c:pt>
                <c:pt idx="9">
                  <c:v>9.2222962885643162E-2</c:v>
                </c:pt>
                <c:pt idx="10">
                  <c:v>9.6746269094403564E-2</c:v>
                </c:pt>
                <c:pt idx="11">
                  <c:v>0.10145249565545945</c:v>
                </c:pt>
                <c:pt idx="12">
                  <c:v>0.10634839497342358</c:v>
                </c:pt>
                <c:pt idx="13">
                  <c:v>0.11144095576291552</c:v>
                </c:pt>
                <c:pt idx="14">
                  <c:v>0.11673741103359134</c:v>
                </c:pt>
                <c:pt idx="15">
                  <c:v>0.12224524633837724</c:v>
                </c:pt>
                <c:pt idx="16">
                  <c:v>0.12797220829342396</c:v>
                </c:pt>
                <c:pt idx="17">
                  <c:v>0.13392631337856992</c:v>
                </c:pt>
                <c:pt idx="18">
                  <c:v>0.14011585702738288</c:v>
                </c:pt>
                <c:pt idx="19">
                  <c:v>0.14649412080000002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yang dilakukan 3R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GRK'!$S$9:$S$28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0.10776153584854349</c:v>
                </c:pt>
                <c:pt idx="8">
                  <c:v>0.19432439637692964</c:v>
                </c:pt>
                <c:pt idx="9">
                  <c:v>0.26750025817917361</c:v>
                </c:pt>
                <c:pt idx="10">
                  <c:v>0.33266226698627538</c:v>
                </c:pt>
                <c:pt idx="11">
                  <c:v>0.39355107207903839</c:v>
                </c:pt>
                <c:pt idx="12">
                  <c:v>0.45281674267241062</c:v>
                </c:pt>
                <c:pt idx="13">
                  <c:v>0.5123835515576175</c:v>
                </c:pt>
                <c:pt idx="14">
                  <c:v>0.5736959610918877</c:v>
                </c:pt>
                <c:pt idx="15">
                  <c:v>0.63788493866115958</c:v>
                </c:pt>
                <c:pt idx="16">
                  <c:v>0.70588085067390105</c:v>
                </c:pt>
                <c:pt idx="17">
                  <c:v>0.77849054962982722</c:v>
                </c:pt>
                <c:pt idx="18">
                  <c:v>0.85645047925726969</c:v>
                </c:pt>
                <c:pt idx="19">
                  <c:v>0.94046374056665838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GRK'!$I$9:$I$28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GRK'!$D$9:$D$28</c:f>
              <c:numCache>
                <c:formatCode>_(* #,##0.00_);_(* \(#,##0.00\);_(* "-"??_);_(@_)</c:formatCode>
                <c:ptCount val="20"/>
                <c:pt idx="0">
                  <c:v>8.5794843082427779</c:v>
                </c:pt>
                <c:pt idx="1">
                  <c:v>8.8231149368929813</c:v>
                </c:pt>
                <c:pt idx="2">
                  <c:v>9.0571283468360075</c:v>
                </c:pt>
                <c:pt idx="3">
                  <c:v>9.284376865598972</c:v>
                </c:pt>
                <c:pt idx="4">
                  <c:v>9.5006239075001933</c:v>
                </c:pt>
                <c:pt idx="5">
                  <c:v>9.7111395620897873</c:v>
                </c:pt>
                <c:pt idx="6">
                  <c:v>9.9101509092641287</c:v>
                </c:pt>
                <c:pt idx="7">
                  <c:v>10.068910874929145</c:v>
                </c:pt>
                <c:pt idx="8">
                  <c:v>10.318645905032563</c:v>
                </c:pt>
                <c:pt idx="9">
                  <c:v>10.635169251951949</c:v>
                </c:pt>
                <c:pt idx="10">
                  <c:v>11.002146531493622</c:v>
                </c:pt>
                <c:pt idx="11">
                  <c:v>11.408527479465775</c:v>
                </c:pt>
                <c:pt idx="12">
                  <c:v>11.846819255893109</c:v>
                </c:pt>
                <c:pt idx="13">
                  <c:v>12.31192442662927</c:v>
                </c:pt>
                <c:pt idx="14">
                  <c:v>12.800357920651695</c:v>
                </c:pt>
                <c:pt idx="15">
                  <c:v>13.309718388857766</c:v>
                </c:pt>
                <c:pt idx="16">
                  <c:v>13.838330378079904</c:v>
                </c:pt>
                <c:pt idx="17">
                  <c:v>14.385001219767769</c:v>
                </c:pt>
                <c:pt idx="18">
                  <c:v>14.94885496590175</c:v>
                </c:pt>
                <c:pt idx="19">
                  <c:v>15.529218068103363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GRK'!$B$58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GRK'!$F$61:$F$80</c:f>
              <c:numCache>
                <c:formatCode>_(* #,##0.00_);_(* \(#,##0.00\);_(* "-"??_);_(@_)</c:formatCode>
                <c:ptCount val="20"/>
                <c:pt idx="0">
                  <c:v>0.34127101785000002</c:v>
                </c:pt>
                <c:pt idx="1">
                  <c:v>0.34607758604999994</c:v>
                </c:pt>
                <c:pt idx="2">
                  <c:v>0.35115300412500006</c:v>
                </c:pt>
                <c:pt idx="3">
                  <c:v>0.35562760117499997</c:v>
                </c:pt>
                <c:pt idx="4">
                  <c:v>0.36057443887500007</c:v>
                </c:pt>
                <c:pt idx="5">
                  <c:v>0.36470303782499996</c:v>
                </c:pt>
                <c:pt idx="6">
                  <c:v>0.37901379977999999</c:v>
                </c:pt>
                <c:pt idx="7">
                  <c:v>0.38706854203499996</c:v>
                </c:pt>
                <c:pt idx="8">
                  <c:v>0.3951232842900001</c:v>
                </c:pt>
                <c:pt idx="9">
                  <c:v>0.4031780265449999</c:v>
                </c:pt>
                <c:pt idx="10">
                  <c:v>0.41123276879999993</c:v>
                </c:pt>
                <c:pt idx="11">
                  <c:v>0.41928751105499995</c:v>
                </c:pt>
                <c:pt idx="12">
                  <c:v>0.42734225331000003</c:v>
                </c:pt>
                <c:pt idx="13">
                  <c:v>0.435396995565</c:v>
                </c:pt>
                <c:pt idx="14">
                  <c:v>0.44345173781999991</c:v>
                </c:pt>
                <c:pt idx="15">
                  <c:v>0.45150648007500005</c:v>
                </c:pt>
                <c:pt idx="16">
                  <c:v>0.45956122233000002</c:v>
                </c:pt>
                <c:pt idx="17">
                  <c:v>0.46761596458499993</c:v>
                </c:pt>
                <c:pt idx="18">
                  <c:v>0.47567070684000001</c:v>
                </c:pt>
                <c:pt idx="19">
                  <c:v>0.48372544909500015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879856"/>
        <c:axId val="135880248"/>
        <c:axId val="0"/>
      </c:bar3DChart>
      <c:catAx>
        <c:axId val="13587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5880248"/>
        <c:crosses val="autoZero"/>
        <c:auto val="1"/>
        <c:lblAlgn val="ctr"/>
        <c:lblOffset val="100"/>
        <c:noMultiLvlLbl val="0"/>
      </c:catAx>
      <c:valAx>
        <c:axId val="13588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35879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GRK'!$D$86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GRK'!$E$90:$E$100</c:f>
              <c:numCache>
                <c:formatCode>_(* #,##0.00_);_(* \(#,##0.00\);_(* "-"??_);_(@_)</c:formatCode>
                <c:ptCount val="11"/>
                <c:pt idx="0">
                  <c:v>1.6067076911600002</c:v>
                </c:pt>
                <c:pt idx="1">
                  <c:v>1.5706365104571434</c:v>
                </c:pt>
                <c:pt idx="2">
                  <c:v>1.5711340002285716</c:v>
                </c:pt>
                <c:pt idx="3">
                  <c:v>1.6264770651590477</c:v>
                </c:pt>
                <c:pt idx="4">
                  <c:v>1.6491016253380952</c:v>
                </c:pt>
                <c:pt idx="5">
                  <c:v>1.6679839378504762</c:v>
                </c:pt>
                <c:pt idx="6">
                  <c:v>1.7334347803268573</c:v>
                </c:pt>
                <c:pt idx="7">
                  <c:v>1.7702734663575235</c:v>
                </c:pt>
                <c:pt idx="8">
                  <c:v>1.8071121523881906</c:v>
                </c:pt>
                <c:pt idx="9">
                  <c:v>1.8439508384188572</c:v>
                </c:pt>
                <c:pt idx="10">
                  <c:v>1.8807895244495241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GRK'!$B$86:$C$86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GRK'!$C$90:$C$100</c:f>
              <c:numCache>
                <c:formatCode>_(* #,##0.00_);_(* \(#,##0.00\);_(* "-"??_);_(@_)</c:formatCode>
                <c:ptCount val="11"/>
                <c:pt idx="0">
                  <c:v>3.2026215020688</c:v>
                </c:pt>
                <c:pt idx="1">
                  <c:v>3.2477282291664</c:v>
                </c:pt>
                <c:pt idx="2">
                  <c:v>3.2953579492679999</c:v>
                </c:pt>
                <c:pt idx="3">
                  <c:v>3.3373493284823992</c:v>
                </c:pt>
                <c:pt idx="4">
                  <c:v>3.3837723997560003</c:v>
                </c:pt>
                <c:pt idx="5">
                  <c:v>3.4225167966696004</c:v>
                </c:pt>
                <c:pt idx="6">
                  <c:v>3.5568146173190396</c:v>
                </c:pt>
                <c:pt idx="7">
                  <c:v>3.63240348771888</c:v>
                </c:pt>
                <c:pt idx="8">
                  <c:v>3.7079923581187209</c:v>
                </c:pt>
                <c:pt idx="9">
                  <c:v>3.7835812285185608</c:v>
                </c:pt>
                <c:pt idx="10">
                  <c:v>3.8591700989183995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881424"/>
        <c:axId val="135881816"/>
        <c:axId val="0"/>
      </c:bar3DChart>
      <c:catAx>
        <c:axId val="1358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1816"/>
        <c:crosses val="autoZero"/>
        <c:auto val="1"/>
        <c:lblAlgn val="ctr"/>
        <c:lblOffset val="100"/>
        <c:noMultiLvlLbl val="0"/>
      </c:catAx>
      <c:valAx>
        <c:axId val="13588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1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2011 - 2030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GRK'!$A$86:$A$89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_(* #,##0.00_);_(* \(#,##0.00\);_(* "-"??_);_(@_)</c:formatCode>
                <c:ptCount val="20"/>
                <c:pt idx="0">
                  <c:v>4809.3291932288002</c:v>
                </c:pt>
                <c:pt idx="1">
                  <c:v>4818.3647396235438</c:v>
                </c:pt>
                <c:pt idx="2">
                  <c:v>4866.4919494965716</c:v>
                </c:pt>
                <c:pt idx="3">
                  <c:v>4963.8263936414469</c:v>
                </c:pt>
                <c:pt idx="4">
                  <c:v>5032.8740250940955</c:v>
                </c:pt>
                <c:pt idx="5">
                  <c:v>5090.5007345200765</c:v>
                </c:pt>
                <c:pt idx="6">
                  <c:v>5290.2493976458973</c:v>
                </c:pt>
                <c:pt idx="7">
                  <c:v>5402.6769540764035</c:v>
                </c:pt>
                <c:pt idx="8">
                  <c:v>5515.1045105069115</c:v>
                </c:pt>
                <c:pt idx="9">
                  <c:v>5627.5320669374178</c:v>
                </c:pt>
                <c:pt idx="10">
                  <c:v>5739.9596233679231</c:v>
                </c:pt>
                <c:pt idx="11">
                  <c:v>5852.3871797984311</c:v>
                </c:pt>
                <c:pt idx="12">
                  <c:v>5964.8147362289374</c:v>
                </c:pt>
                <c:pt idx="13">
                  <c:v>6077.2422926594445</c:v>
                </c:pt>
                <c:pt idx="14">
                  <c:v>6189.6698490899516</c:v>
                </c:pt>
                <c:pt idx="15">
                  <c:v>6302.097405520457</c:v>
                </c:pt>
                <c:pt idx="16">
                  <c:v>6414.524961950965</c:v>
                </c:pt>
                <c:pt idx="17">
                  <c:v>6526.9525183814703</c:v>
                </c:pt>
                <c:pt idx="18">
                  <c:v>6639.3800748119784</c:v>
                </c:pt>
                <c:pt idx="19">
                  <c:v>6751.8076312424855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84560"/>
        <c:axId val="135884952"/>
      </c:lineChart>
      <c:catAx>
        <c:axId val="1358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4952"/>
        <c:crosses val="autoZero"/>
        <c:auto val="1"/>
        <c:lblAlgn val="ctr"/>
        <c:lblOffset val="100"/>
        <c:noMultiLvlLbl val="0"/>
      </c:catAx>
      <c:valAx>
        <c:axId val="13588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2011 - 2030 Limbah Padat Domestik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GRK'!$H$61:$H$80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_-* #,##0_-;\-* #,##0_-;_-* "-"??_-;_-@_-</c:formatCode>
                <c:ptCount val="20"/>
                <c:pt idx="0">
                  <c:v>15074.596676499363</c:v>
                </c:pt>
                <c:pt idx="1">
                  <c:v>15496.785311795848</c:v>
                </c:pt>
                <c:pt idx="2">
                  <c:v>15902.860556546928</c:v>
                </c:pt>
                <c:pt idx="3">
                  <c:v>16296.649995756181</c:v>
                </c:pt>
                <c:pt idx="4">
                  <c:v>16672.205117807949</c:v>
                </c:pt>
                <c:pt idx="5">
                  <c:v>17036.978977460618</c:v>
                </c:pt>
                <c:pt idx="6">
                  <c:v>17396.562074419184</c:v>
                </c:pt>
                <c:pt idx="7">
                  <c:v>17600.335179661379</c:v>
                </c:pt>
                <c:pt idx="8">
                  <c:v>17881.304868124804</c:v>
                </c:pt>
                <c:pt idx="9">
                  <c:v>18216.293699807389</c:v>
                </c:pt>
                <c:pt idx="10">
                  <c:v>18589.751662984745</c:v>
                </c:pt>
                <c:pt idx="11">
                  <c:v>18991.232824114177</c:v>
                </c:pt>
                <c:pt idx="12">
                  <c:v>19413.700903772133</c:v>
                </c:pt>
                <c:pt idx="13">
                  <c:v>19852.390586739675</c:v>
                </c:pt>
                <c:pt idx="14">
                  <c:v>20304.041391471947</c:v>
                </c:pt>
                <c:pt idx="15">
                  <c:v>20766.381269316</c:v>
                </c:pt>
                <c:pt idx="16">
                  <c:v>21237.777558250411</c:v>
                </c:pt>
                <c:pt idx="17">
                  <c:v>21717.000036330595</c:v>
                </c:pt>
                <c:pt idx="18">
                  <c:v>22203.059001649508</c:v>
                </c:pt>
                <c:pt idx="19">
                  <c:v>22695.038192544962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85736"/>
        <c:axId val="135886128"/>
      </c:lineChart>
      <c:catAx>
        <c:axId val="13588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6128"/>
        <c:crosses val="autoZero"/>
        <c:auto val="1"/>
        <c:lblAlgn val="ctr"/>
        <c:lblOffset val="100"/>
        <c:noMultiLvlLbl val="0"/>
      </c:catAx>
      <c:valAx>
        <c:axId val="1358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29</xdr:row>
      <xdr:rowOff>118582</xdr:rowOff>
    </xdr:from>
    <xdr:to>
      <xdr:col>18</xdr:col>
      <xdr:colOff>95757</xdr:colOff>
      <xdr:row>49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84</xdr:row>
      <xdr:rowOff>134472</xdr:rowOff>
    </xdr:from>
    <xdr:to>
      <xdr:col>18</xdr:col>
      <xdr:colOff>129378</xdr:colOff>
      <xdr:row>97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98</xdr:row>
      <xdr:rowOff>112779</xdr:rowOff>
    </xdr:from>
    <xdr:to>
      <xdr:col>18</xdr:col>
      <xdr:colOff>212912</xdr:colOff>
      <xdr:row>115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57</xdr:row>
      <xdr:rowOff>169209</xdr:rowOff>
    </xdr:from>
    <xdr:to>
      <xdr:col>18</xdr:col>
      <xdr:colOff>44823</xdr:colOff>
      <xdr:row>71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PU_IPCC%204A-TPA%20-%201_Diangkut%20TPA_Mitig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PU_IPCC%204A-TPA%20-%203_Dibuang%20Sembarangan_Mitigas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PU_IPCC%204A-TPA%20-%202_Open%20Dumping_Mitigas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PU_IPCC%204A-TPA%20-%204_Buang%20ke%20sungai_Mitigas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PU_IPCC%204A-TPA%20-%205_Air%20Limbah_Mitigas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PU_Palm%20Oil%20Wastewater%20Industry_Mitig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4">
          <cell r="H14">
            <v>145978</v>
          </cell>
        </row>
        <row r="15">
          <cell r="H15">
            <v>148034</v>
          </cell>
        </row>
        <row r="16">
          <cell r="H16">
            <v>150205</v>
          </cell>
        </row>
        <row r="17">
          <cell r="H17">
            <v>152119</v>
          </cell>
        </row>
        <row r="18">
          <cell r="H18">
            <v>154235</v>
          </cell>
        </row>
        <row r="19">
          <cell r="H19">
            <v>156001</v>
          </cell>
        </row>
        <row r="20">
          <cell r="H20">
            <v>162122.4</v>
          </cell>
        </row>
        <row r="21">
          <cell r="H21">
            <v>165567.79999999999</v>
          </cell>
        </row>
        <row r="22">
          <cell r="H22">
            <v>169013.2</v>
          </cell>
        </row>
        <row r="23">
          <cell r="H23">
            <v>172458.6</v>
          </cell>
        </row>
        <row r="24">
          <cell r="H24">
            <v>175904</v>
          </cell>
        </row>
        <row r="25">
          <cell r="H25">
            <v>179349.40000000002</v>
          </cell>
        </row>
        <row r="26">
          <cell r="H26">
            <v>182794.8</v>
          </cell>
        </row>
        <row r="27">
          <cell r="H27">
            <v>186240.2</v>
          </cell>
        </row>
        <row r="28">
          <cell r="H28">
            <v>189685.6</v>
          </cell>
        </row>
        <row r="29">
          <cell r="H29">
            <v>193131</v>
          </cell>
        </row>
        <row r="30">
          <cell r="H30">
            <v>196576.40000000002</v>
          </cell>
        </row>
        <row r="31">
          <cell r="H31">
            <v>200021.8</v>
          </cell>
        </row>
        <row r="32">
          <cell r="H32">
            <v>203467.2</v>
          </cell>
        </row>
        <row r="33">
          <cell r="H33">
            <v>206912.6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0.40854687182108468</v>
          </cell>
        </row>
        <row r="29">
          <cell r="O29">
            <v>0.42014833032823717</v>
          </cell>
        </row>
        <row r="30">
          <cell r="O30">
            <v>0.43129182603980987</v>
          </cell>
        </row>
        <row r="31">
          <cell r="O31">
            <v>0.44211318407614153</v>
          </cell>
        </row>
        <row r="32">
          <cell r="O32">
            <v>0.45241066226191395</v>
          </cell>
        </row>
        <row r="33">
          <cell r="O33">
            <v>0.46243521724237086</v>
          </cell>
        </row>
        <row r="34">
          <cell r="O34">
            <v>0.4719119480601966</v>
          </cell>
        </row>
        <row r="35">
          <cell r="O35">
            <v>0.47947194642519736</v>
          </cell>
        </row>
        <row r="36">
          <cell r="O36">
            <v>0.49136409071583631</v>
          </cell>
        </row>
        <row r="37">
          <cell r="O37">
            <v>0.50643663104533088</v>
          </cell>
        </row>
        <row r="38">
          <cell r="O38">
            <v>0.52391173959493442</v>
          </cell>
        </row>
        <row r="39">
          <cell r="O39">
            <v>0.54326321330789407</v>
          </cell>
        </row>
        <row r="40">
          <cell r="O40">
            <v>0.56413425028062425</v>
          </cell>
        </row>
        <row r="41">
          <cell r="O41">
            <v>0.58628211555377474</v>
          </cell>
        </row>
        <row r="42">
          <cell r="O42">
            <v>0.60954085336436648</v>
          </cell>
        </row>
        <row r="43">
          <cell r="O43">
            <v>0.63379611375513167</v>
          </cell>
        </row>
        <row r="44">
          <cell r="O44">
            <v>0.65896811324190019</v>
          </cell>
        </row>
        <row r="45">
          <cell r="O45">
            <v>0.68500005808417952</v>
          </cell>
        </row>
        <row r="46">
          <cell r="O46">
            <v>0.71185023647151191</v>
          </cell>
        </row>
        <row r="47">
          <cell r="O47">
            <v>0.73948657467158874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0.28971802210507552</v>
          </cell>
        </row>
        <row r="29">
          <cell r="O29">
            <v>0.29794511144061264</v>
          </cell>
        </row>
        <row r="30">
          <cell r="O30">
            <v>0.30584743981361528</v>
          </cell>
        </row>
        <row r="31">
          <cell r="O31">
            <v>0.31352132661343846</v>
          </cell>
        </row>
        <row r="32">
          <cell r="O32">
            <v>0.3208237078539406</v>
          </cell>
        </row>
        <row r="33">
          <cell r="O33">
            <v>0.32793254760218243</v>
          </cell>
        </row>
        <row r="34">
          <cell r="O34">
            <v>0.33465290185755681</v>
          </cell>
        </row>
        <row r="35">
          <cell r="O35">
            <v>0.34135324101060516</v>
          </cell>
        </row>
        <row r="36">
          <cell r="O36">
            <v>0.3463801915226038</v>
          </cell>
        </row>
        <row r="37">
          <cell r="O37">
            <v>0.35015351031447473</v>
          </cell>
        </row>
        <row r="38">
          <cell r="O38">
            <v>0.35296611240871406</v>
          </cell>
        </row>
        <row r="39">
          <cell r="O39">
            <v>0.35502459095318967</v>
          </cell>
        </row>
        <row r="40">
          <cell r="O40">
            <v>0.35647655915561949</v>
          </cell>
        </row>
        <row r="41">
          <cell r="O41">
            <v>0.35742913144476707</v>
          </cell>
        </row>
        <row r="42">
          <cell r="O42">
            <v>0.35796144205040736</v>
          </cell>
        </row>
        <row r="43">
          <cell r="O43">
            <v>0.35813314727171497</v>
          </cell>
        </row>
        <row r="44">
          <cell r="O44">
            <v>0.35799021905814205</v>
          </cell>
        </row>
        <row r="45">
          <cell r="O45">
            <v>0.35756890896328952</v>
          </cell>
        </row>
        <row r="46">
          <cell r="O46">
            <v>0.35689847386369733</v>
          </cell>
        </row>
        <row r="47">
          <cell r="O47">
            <v>0.35600306167205997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5.1315017070734997E-3</v>
          </cell>
        </row>
        <row r="36">
          <cell r="O36">
            <v>9.2535426846156975E-3</v>
          </cell>
        </row>
        <row r="37">
          <cell r="O37">
            <v>1.2738107532341602E-2</v>
          </cell>
        </row>
        <row r="38">
          <cell r="O38">
            <v>1.584106033267978E-2</v>
          </cell>
        </row>
        <row r="39">
          <cell r="O39">
            <v>1.874052724185897E-2</v>
          </cell>
        </row>
        <row r="40">
          <cell r="O40">
            <v>2.1562702032019553E-2</v>
          </cell>
        </row>
        <row r="41">
          <cell r="O41">
            <v>2.4399216740838926E-2</v>
          </cell>
        </row>
        <row r="42">
          <cell r="O42">
            <v>2.7318855290089889E-2</v>
          </cell>
        </row>
        <row r="43">
          <cell r="O43">
            <v>3.0375473269579026E-2</v>
          </cell>
        </row>
        <row r="44">
          <cell r="O44">
            <v>3.3613373841614336E-2</v>
          </cell>
        </row>
        <row r="45">
          <cell r="O45">
            <v>3.7070978553801294E-2</v>
          </cell>
        </row>
        <row r="46">
          <cell r="O46">
            <v>4.0783356155108079E-2</v>
          </cell>
        </row>
        <row r="47">
          <cell r="O47">
            <v>4.4783987646031351E-2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REKAPITULASI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</sheetNames>
    <sheetDataSet>
      <sheetData sheetId="0"/>
      <sheetData sheetId="1"/>
      <sheetData sheetId="2"/>
      <sheetData sheetId="3">
        <row r="6">
          <cell r="B6">
            <v>1.5765624E-3</v>
          </cell>
          <cell r="D6">
            <v>1.1824218E-4</v>
          </cell>
        </row>
        <row r="7">
          <cell r="B7">
            <v>1.5987672000000001E-3</v>
          </cell>
          <cell r="D7">
            <v>1.1990754000000001E-4</v>
          </cell>
        </row>
        <row r="8">
          <cell r="B8">
            <v>1.6222140000000001E-3</v>
          </cell>
          <cell r="D8">
            <v>1.2166605E-4</v>
          </cell>
        </row>
        <row r="9">
          <cell r="B9">
            <v>1.6428852000000002E-3</v>
          </cell>
          <cell r="D9">
            <v>1.2321639000000001E-4</v>
          </cell>
        </row>
        <row r="10">
          <cell r="B10">
            <v>1.6657379999999999E-3</v>
          </cell>
          <cell r="D10">
            <v>1.2493035E-4</v>
          </cell>
        </row>
        <row r="11">
          <cell r="B11">
            <v>1.6848108000000002E-3</v>
          </cell>
          <cell r="D11">
            <v>1.2636081000000002E-4</v>
          </cell>
        </row>
        <row r="12">
          <cell r="B12">
            <v>1.8008231947200001E-3</v>
          </cell>
          <cell r="D12">
            <v>1.3506173960399999E-4</v>
          </cell>
        </row>
        <row r="13">
          <cell r="B13">
            <v>1.8915081880919397E-3</v>
          </cell>
          <cell r="D13">
            <v>1.4186311410689548E-4</v>
          </cell>
        </row>
        <row r="14">
          <cell r="B14">
            <v>1.985899507446169E-3</v>
          </cell>
          <cell r="D14">
            <v>1.4894246305846267E-4</v>
          </cell>
        </row>
        <row r="15">
          <cell r="B15">
            <v>2.0841347544778115E-3</v>
          </cell>
          <cell r="D15">
            <v>1.5631010658583586E-4</v>
          </cell>
        </row>
        <row r="16">
          <cell r="B16">
            <v>2.1863563637153352E-3</v>
          </cell>
          <cell r="D16">
            <v>1.6397672727865012E-4</v>
          </cell>
        </row>
        <row r="17">
          <cell r="B17">
            <v>2.2927117662250723E-3</v>
          </cell>
          <cell r="D17">
            <v>1.7195338246688043E-4</v>
          </cell>
        </row>
        <row r="18">
          <cell r="B18">
            <v>2.4033535587214367E-3</v>
          </cell>
          <cell r="D18">
            <v>1.8025151690410777E-4</v>
          </cell>
        </row>
        <row r="19">
          <cell r="B19">
            <v>2.5184396782579779E-3</v>
          </cell>
          <cell r="D19">
            <v>1.8888297586934835E-4</v>
          </cell>
        </row>
        <row r="20">
          <cell r="B20">
            <v>2.6381335826800305E-3</v>
          </cell>
          <cell r="D20">
            <v>1.9786001870100226E-4</v>
          </cell>
        </row>
        <row r="21">
          <cell r="B21">
            <v>2.7626044370254745E-3</v>
          </cell>
          <cell r="D21">
            <v>2.0719533277691057E-4</v>
          </cell>
        </row>
        <row r="22">
          <cell r="B22">
            <v>2.892027306066078E-3</v>
          </cell>
          <cell r="D22">
            <v>2.1690204795495586E-4</v>
          </cell>
        </row>
        <row r="23">
          <cell r="B23">
            <v>3.0265833531880203E-3</v>
          </cell>
          <cell r="D23">
            <v>2.2699375148910151E-4</v>
          </cell>
        </row>
        <row r="24">
          <cell r="B24">
            <v>3.1664600458165622E-3</v>
          </cell>
          <cell r="D24">
            <v>2.3748450343624218E-4</v>
          </cell>
        </row>
        <row r="25">
          <cell r="B25">
            <v>3.3106016000000005E-3</v>
          </cell>
          <cell r="D25">
            <v>2.4829512000000006E-4</v>
          </cell>
        </row>
        <row r="32">
          <cell r="B32">
            <v>1.2121648175000001E-2</v>
          </cell>
          <cell r="D32">
            <v>2.7973034249999999E-4</v>
          </cell>
        </row>
        <row r="33">
          <cell r="B33">
            <v>1.2292373274999997E-2</v>
          </cell>
          <cell r="D33">
            <v>2.8367015249999996E-4</v>
          </cell>
        </row>
        <row r="34">
          <cell r="B34">
            <v>1.2472647687500001E-2</v>
          </cell>
          <cell r="D34">
            <v>2.8783033125000002E-4</v>
          </cell>
        </row>
        <row r="35">
          <cell r="B35">
            <v>1.2631581462499998E-2</v>
          </cell>
          <cell r="D35">
            <v>2.9149803374999998E-4</v>
          </cell>
        </row>
        <row r="36">
          <cell r="B36">
            <v>1.2807288812500001E-2</v>
          </cell>
          <cell r="D36">
            <v>2.9555281875000001E-4</v>
          </cell>
        </row>
        <row r="37">
          <cell r="B37">
            <v>1.2953933037499999E-2</v>
          </cell>
          <cell r="D37">
            <v>2.9893691624999994E-4</v>
          </cell>
        </row>
        <row r="38">
          <cell r="B38">
            <v>1.3462238789999999E-2</v>
          </cell>
          <cell r="D38">
            <v>3.1066704900000001E-4</v>
          </cell>
        </row>
        <row r="39">
          <cell r="B39">
            <v>1.3748336192499998E-2</v>
          </cell>
          <cell r="D39">
            <v>3.1726929675000002E-4</v>
          </cell>
        </row>
        <row r="40">
          <cell r="B40">
            <v>1.4034433595000003E-2</v>
          </cell>
          <cell r="D40">
            <v>3.2387154450000009E-4</v>
          </cell>
        </row>
        <row r="41">
          <cell r="B41">
            <v>1.4320530997499996E-2</v>
          </cell>
          <cell r="D41">
            <v>3.3047379224999994E-4</v>
          </cell>
        </row>
        <row r="42">
          <cell r="B42">
            <v>1.4606628399999998E-2</v>
          </cell>
          <cell r="D42">
            <v>3.370760399999999E-4</v>
          </cell>
        </row>
        <row r="43">
          <cell r="B43">
            <v>1.4892725802499999E-2</v>
          </cell>
          <cell r="D43">
            <v>3.4367828774999997E-4</v>
          </cell>
        </row>
        <row r="44">
          <cell r="B44">
            <v>1.5178823205000001E-2</v>
          </cell>
          <cell r="D44">
            <v>3.5028053549999999E-4</v>
          </cell>
        </row>
        <row r="45">
          <cell r="B45">
            <v>1.54649206075E-2</v>
          </cell>
          <cell r="D45">
            <v>3.5688278325E-4</v>
          </cell>
        </row>
        <row r="46">
          <cell r="B46">
            <v>1.5751018009999999E-2</v>
          </cell>
          <cell r="D46">
            <v>3.6348503099999991E-4</v>
          </cell>
        </row>
        <row r="47">
          <cell r="B47">
            <v>1.6037115412500001E-2</v>
          </cell>
          <cell r="D47">
            <v>3.7008727874999998E-4</v>
          </cell>
        </row>
        <row r="48">
          <cell r="B48">
            <v>1.6323212815000002E-2</v>
          </cell>
          <cell r="D48">
            <v>3.7668952650000005E-4</v>
          </cell>
        </row>
        <row r="49">
          <cell r="B49">
            <v>1.6609310217499999E-2</v>
          </cell>
          <cell r="D49">
            <v>3.8329177424999996E-4</v>
          </cell>
        </row>
        <row r="50">
          <cell r="B50">
            <v>1.689540762E-2</v>
          </cell>
          <cell r="D50">
            <v>3.8989402200000008E-4</v>
          </cell>
        </row>
        <row r="51">
          <cell r="B51">
            <v>1.7181505022500005E-2</v>
          </cell>
          <cell r="D51">
            <v>3.9649626975000009E-4</v>
          </cell>
        </row>
        <row r="59">
          <cell r="B59">
            <v>0.1525057858128</v>
          </cell>
          <cell r="D59">
            <v>5.1829280360000006E-3</v>
          </cell>
        </row>
        <row r="60">
          <cell r="B60">
            <v>0.15465372519840001</v>
          </cell>
          <cell r="D60">
            <v>5.0665693885714302E-3</v>
          </cell>
        </row>
        <row r="61">
          <cell r="B61">
            <v>0.15692180710799999</v>
          </cell>
          <cell r="D61">
            <v>5.0681741942857151E-3</v>
          </cell>
        </row>
        <row r="62">
          <cell r="B62">
            <v>0.15892139659439997</v>
          </cell>
          <cell r="D62">
            <v>5.2467002101904761E-3</v>
          </cell>
        </row>
        <row r="63">
          <cell r="B63">
            <v>0.16113201903600002</v>
          </cell>
          <cell r="D63">
            <v>5.3196826623809522E-3</v>
          </cell>
        </row>
        <row r="64">
          <cell r="B64">
            <v>0.16297699031760002</v>
          </cell>
          <cell r="D64">
            <v>5.3805933479047618E-3</v>
          </cell>
        </row>
        <row r="65">
          <cell r="B65">
            <v>0.16937212463423998</v>
          </cell>
          <cell r="D65">
            <v>5.5917250978285721E-3</v>
          </cell>
        </row>
        <row r="66">
          <cell r="B66">
            <v>0.17297159465327999</v>
          </cell>
          <cell r="D66">
            <v>5.7105595688952369E-3</v>
          </cell>
        </row>
        <row r="67">
          <cell r="B67">
            <v>0.17657106467232003</v>
          </cell>
          <cell r="D67">
            <v>5.8293940399619052E-3</v>
          </cell>
        </row>
        <row r="68">
          <cell r="B68">
            <v>0.18017053469136005</v>
          </cell>
          <cell r="D68">
            <v>5.9482285110285717E-3</v>
          </cell>
        </row>
        <row r="69">
          <cell r="B69">
            <v>0.18377000471039998</v>
          </cell>
          <cell r="D69">
            <v>6.0670629820952391E-3</v>
          </cell>
        </row>
        <row r="70">
          <cell r="B70">
            <v>0.18736947472944004</v>
          </cell>
          <cell r="D70">
            <v>6.1858974531619065E-3</v>
          </cell>
        </row>
        <row r="71">
          <cell r="B71">
            <v>0.19096894474847997</v>
          </cell>
          <cell r="D71">
            <v>6.3047319242285731E-3</v>
          </cell>
        </row>
        <row r="72">
          <cell r="B72">
            <v>0.19456841476752001</v>
          </cell>
          <cell r="D72">
            <v>6.4235663952952396E-3</v>
          </cell>
        </row>
        <row r="73">
          <cell r="B73">
            <v>0.19816788478656006</v>
          </cell>
          <cell r="D73">
            <v>6.5424008663619053E-3</v>
          </cell>
        </row>
        <row r="74">
          <cell r="B74">
            <v>0.20176735480560001</v>
          </cell>
          <cell r="D74">
            <v>6.6612353374285709E-3</v>
          </cell>
        </row>
        <row r="75">
          <cell r="B75">
            <v>0.20536682482464003</v>
          </cell>
          <cell r="D75">
            <v>6.7800698084952401E-3</v>
          </cell>
        </row>
        <row r="76">
          <cell r="B76">
            <v>0.20896629484368001</v>
          </cell>
          <cell r="D76">
            <v>6.8989042795619048E-3</v>
          </cell>
        </row>
        <row r="77">
          <cell r="B77">
            <v>0.21256576486272</v>
          </cell>
          <cell r="D77">
            <v>7.0177387506285731E-3</v>
          </cell>
        </row>
        <row r="78">
          <cell r="B78">
            <v>0.21616523488176004</v>
          </cell>
          <cell r="D78">
            <v>7.1365732216952379E-3</v>
          </cell>
        </row>
      </sheetData>
      <sheetData sheetId="4"/>
      <sheetData sheetId="5">
        <row r="14">
          <cell r="M14">
            <v>0.32779777816696448</v>
          </cell>
        </row>
        <row r="15">
          <cell r="M15">
            <v>0.33260511280900951</v>
          </cell>
        </row>
        <row r="16">
          <cell r="M16">
            <v>0.33684336177486568</v>
          </cell>
        </row>
        <row r="17">
          <cell r="M17">
            <v>0.34152890765352412</v>
          </cell>
        </row>
        <row r="18">
          <cell r="M18">
            <v>0.34543943412881245</v>
          </cell>
        </row>
        <row r="19">
          <cell r="M19">
            <v>0.35899430205963417</v>
          </cell>
        </row>
        <row r="20">
          <cell r="M20">
            <v>0.36662359306640602</v>
          </cell>
        </row>
        <row r="21">
          <cell r="M21">
            <v>0.37425288407317786</v>
          </cell>
        </row>
        <row r="22">
          <cell r="M22">
            <v>0.38188217507994959</v>
          </cell>
        </row>
        <row r="23">
          <cell r="M23">
            <v>0.38951146608672138</v>
          </cell>
        </row>
        <row r="24">
          <cell r="M24">
            <v>0.39714075709349334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3081840</v>
          </cell>
        </row>
        <row r="13">
          <cell r="G13">
            <v>2831292</v>
          </cell>
        </row>
        <row r="14">
          <cell r="G14">
            <v>2203596</v>
          </cell>
        </row>
        <row r="15">
          <cell r="G15">
            <v>2667972</v>
          </cell>
        </row>
        <row r="16">
          <cell r="G16">
            <v>2775696</v>
          </cell>
        </row>
        <row r="17">
          <cell r="G17">
            <v>2719554</v>
          </cell>
        </row>
        <row r="18">
          <cell r="G18">
            <v>4665707.34</v>
          </cell>
        </row>
        <row r="19">
          <cell r="G19">
            <v>4973672.4479999989</v>
          </cell>
        </row>
        <row r="20">
          <cell r="G20">
            <v>5290202.1239999998</v>
          </cell>
        </row>
        <row r="21">
          <cell r="G21">
            <v>5615296.3679999989</v>
          </cell>
        </row>
        <row r="22">
          <cell r="G22">
            <v>5594525.5799999982</v>
          </cell>
        </row>
        <row r="23">
          <cell r="G23">
            <v>5568793.919999999</v>
          </cell>
        </row>
        <row r="24">
          <cell r="G24">
            <v>5538101.3879999984</v>
          </cell>
        </row>
        <row r="25">
          <cell r="G25">
            <v>5502447.9839999992</v>
          </cell>
        </row>
        <row r="26">
          <cell r="G26">
            <v>5461833.7079999987</v>
          </cell>
        </row>
        <row r="27">
          <cell r="G27">
            <v>5416258.5599999987</v>
          </cell>
        </row>
        <row r="28">
          <cell r="G28">
            <v>5365722.5399999991</v>
          </cell>
        </row>
        <row r="29">
          <cell r="G29">
            <v>5310225.6479999982</v>
          </cell>
        </row>
        <row r="30">
          <cell r="G30">
            <v>5249767.8839999977</v>
          </cell>
        </row>
        <row r="31">
          <cell r="G31">
            <v>5336671.1519999979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3" zoomScale="85" zoomScaleNormal="85" workbookViewId="0">
      <selection activeCell="C5" sqref="C5:C24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123</v>
      </c>
    </row>
    <row r="2" spans="1:14" ht="21" x14ac:dyDescent="0.25">
      <c r="G2" s="80" t="s">
        <v>17</v>
      </c>
    </row>
    <row r="3" spans="1:14" ht="15.75" customHeight="1" x14ac:dyDescent="0.25">
      <c r="A3" s="181" t="s">
        <v>10</v>
      </c>
      <c r="B3" s="181" t="s">
        <v>124</v>
      </c>
      <c r="C3" s="78" t="s">
        <v>11</v>
      </c>
      <c r="D3" s="180" t="s">
        <v>11</v>
      </c>
      <c r="E3" s="180"/>
      <c r="G3" s="81" t="s">
        <v>15</v>
      </c>
      <c r="H3" s="81"/>
      <c r="I3" s="81"/>
    </row>
    <row r="4" spans="1:14" x14ac:dyDescent="0.25">
      <c r="A4" s="182"/>
      <c r="B4" s="182"/>
      <c r="C4" s="78" t="s">
        <v>118</v>
      </c>
      <c r="D4" s="78" t="s">
        <v>13</v>
      </c>
      <c r="E4" s="78" t="s">
        <v>14</v>
      </c>
      <c r="G4" s="81" t="s">
        <v>16</v>
      </c>
      <c r="H4" s="81"/>
      <c r="I4" s="81"/>
    </row>
    <row r="5" spans="1:14" x14ac:dyDescent="0.25">
      <c r="A5" s="88">
        <v>2011</v>
      </c>
      <c r="B5" s="89">
        <f>[1]Sheet3!H14</f>
        <v>145978</v>
      </c>
      <c r="C5" s="166">
        <v>0.2</v>
      </c>
      <c r="D5" s="151">
        <f t="shared" ref="D5:D24" si="0">C5*B5</f>
        <v>29195.600000000002</v>
      </c>
      <c r="E5" s="151">
        <f>D5/1000</f>
        <v>29.195600000000002</v>
      </c>
    </row>
    <row r="6" spans="1:14" x14ac:dyDescent="0.25">
      <c r="A6" s="88">
        <v>2012</v>
      </c>
      <c r="B6" s="89">
        <f>[1]Sheet3!H15</f>
        <v>148034</v>
      </c>
      <c r="C6" s="166">
        <v>0.2</v>
      </c>
      <c r="D6" s="151">
        <f t="shared" si="0"/>
        <v>29606.800000000003</v>
      </c>
      <c r="E6" s="151">
        <f t="shared" ref="E6:E24" si="1">D6/1000</f>
        <v>29.606800000000003</v>
      </c>
      <c r="G6" s="82" t="s">
        <v>36</v>
      </c>
      <c r="H6" s="82"/>
      <c r="I6" s="82"/>
      <c r="J6" s="83">
        <v>2</v>
      </c>
      <c r="K6" s="84" t="s">
        <v>32</v>
      </c>
      <c r="L6" s="83">
        <v>3</v>
      </c>
      <c r="M6" s="82" t="s">
        <v>37</v>
      </c>
      <c r="N6" s="82"/>
    </row>
    <row r="7" spans="1:14" x14ac:dyDescent="0.25">
      <c r="A7" s="88">
        <v>2013</v>
      </c>
      <c r="B7" s="89">
        <f>[1]Sheet3!H16</f>
        <v>150205</v>
      </c>
      <c r="C7" s="166">
        <v>0.2</v>
      </c>
      <c r="D7" s="151">
        <f t="shared" si="0"/>
        <v>30041</v>
      </c>
      <c r="E7" s="151">
        <f t="shared" si="1"/>
        <v>30.041</v>
      </c>
      <c r="G7" s="82"/>
      <c r="H7" s="82"/>
      <c r="I7" s="82"/>
      <c r="J7" s="83">
        <f>(2*250)/1000</f>
        <v>0.5</v>
      </c>
      <c r="K7" s="84" t="s">
        <v>32</v>
      </c>
      <c r="L7" s="83">
        <f>(3*250)/1000</f>
        <v>0.75</v>
      </c>
      <c r="M7" s="82" t="s">
        <v>12</v>
      </c>
      <c r="N7" s="82"/>
    </row>
    <row r="8" spans="1:14" x14ac:dyDescent="0.25">
      <c r="A8" s="88">
        <v>2014</v>
      </c>
      <c r="B8" s="89">
        <f>[1]Sheet3!H17</f>
        <v>152119</v>
      </c>
      <c r="C8" s="166">
        <v>0.2</v>
      </c>
      <c r="D8" s="151">
        <f t="shared" si="0"/>
        <v>30423.800000000003</v>
      </c>
      <c r="E8" s="151">
        <f t="shared" si="1"/>
        <v>30.423800000000004</v>
      </c>
      <c r="G8" s="82"/>
      <c r="H8" s="82"/>
      <c r="I8" s="82"/>
      <c r="J8" s="85">
        <f>J7*(365/1000)</f>
        <v>0.1825</v>
      </c>
      <c r="K8" s="86" t="s">
        <v>32</v>
      </c>
      <c r="L8" s="85">
        <f>L7*(365/1000)</f>
        <v>0.27374999999999999</v>
      </c>
      <c r="M8" s="82" t="s">
        <v>38</v>
      </c>
      <c r="N8" s="82"/>
    </row>
    <row r="9" spans="1:14" x14ac:dyDescent="0.25">
      <c r="A9" s="88">
        <v>2015</v>
      </c>
      <c r="B9" s="89">
        <f>[1]Sheet3!H18</f>
        <v>154235</v>
      </c>
      <c r="C9" s="166">
        <v>0.2</v>
      </c>
      <c r="D9" s="151">
        <f t="shared" si="0"/>
        <v>30847</v>
      </c>
      <c r="E9" s="151">
        <f t="shared" si="1"/>
        <v>30.847000000000001</v>
      </c>
    </row>
    <row r="10" spans="1:14" x14ac:dyDescent="0.25">
      <c r="A10" s="88">
        <v>2016</v>
      </c>
      <c r="B10" s="89">
        <f>[1]Sheet3!H19</f>
        <v>156001</v>
      </c>
      <c r="C10" s="166">
        <v>0.2</v>
      </c>
      <c r="D10" s="151">
        <f t="shared" si="0"/>
        <v>31200.2</v>
      </c>
      <c r="E10" s="151">
        <f t="shared" si="1"/>
        <v>31.200200000000002</v>
      </c>
      <c r="G10" s="87" t="s">
        <v>33</v>
      </c>
      <c r="H10" s="87"/>
      <c r="I10" s="87" t="s">
        <v>34</v>
      </c>
      <c r="J10" s="87"/>
      <c r="K10" s="87"/>
    </row>
    <row r="11" spans="1:14" x14ac:dyDescent="0.25">
      <c r="A11" s="88">
        <v>2017</v>
      </c>
      <c r="B11" s="89">
        <f>[1]Sheet3!H20</f>
        <v>162122.4</v>
      </c>
      <c r="C11" s="166">
        <v>0.2</v>
      </c>
      <c r="D11" s="151">
        <f t="shared" si="0"/>
        <v>32424.48</v>
      </c>
      <c r="E11" s="151">
        <f t="shared" si="1"/>
        <v>32.424480000000003</v>
      </c>
      <c r="G11" s="87"/>
      <c r="H11" s="87"/>
      <c r="I11" s="87" t="s">
        <v>35</v>
      </c>
      <c r="J11" s="87"/>
      <c r="K11" s="87"/>
    </row>
    <row r="12" spans="1:14" x14ac:dyDescent="0.25">
      <c r="A12" s="88">
        <v>2018</v>
      </c>
      <c r="B12" s="89">
        <f>[1]Sheet3!H21</f>
        <v>165567.79999999999</v>
      </c>
      <c r="C12" s="166">
        <v>0.2</v>
      </c>
      <c r="D12" s="151">
        <f t="shared" si="0"/>
        <v>33113.56</v>
      </c>
      <c r="E12" s="151">
        <f t="shared" si="1"/>
        <v>33.11356</v>
      </c>
    </row>
    <row r="13" spans="1:14" x14ac:dyDescent="0.25">
      <c r="A13" s="88">
        <v>2019</v>
      </c>
      <c r="B13" s="89">
        <f>[1]Sheet3!H22</f>
        <v>169013.2</v>
      </c>
      <c r="C13" s="166">
        <v>0.2</v>
      </c>
      <c r="D13" s="151">
        <f t="shared" si="0"/>
        <v>33802.640000000007</v>
      </c>
      <c r="E13" s="151">
        <f t="shared" si="1"/>
        <v>33.802640000000004</v>
      </c>
    </row>
    <row r="14" spans="1:14" x14ac:dyDescent="0.25">
      <c r="A14" s="88">
        <v>2020</v>
      </c>
      <c r="B14" s="89">
        <f>[1]Sheet3!H23</f>
        <v>172458.6</v>
      </c>
      <c r="C14" s="166">
        <v>0.2</v>
      </c>
      <c r="D14" s="151">
        <f t="shared" si="0"/>
        <v>34491.72</v>
      </c>
      <c r="E14" s="151">
        <f t="shared" si="1"/>
        <v>34.491720000000001</v>
      </c>
    </row>
    <row r="15" spans="1:14" x14ac:dyDescent="0.25">
      <c r="A15" s="88">
        <v>2021</v>
      </c>
      <c r="B15" s="89">
        <f>[1]Sheet3!H24</f>
        <v>175904</v>
      </c>
      <c r="C15" s="166">
        <v>0.2</v>
      </c>
      <c r="D15" s="151">
        <f t="shared" si="0"/>
        <v>35180.800000000003</v>
      </c>
      <c r="E15" s="151">
        <f t="shared" si="1"/>
        <v>35.180800000000005</v>
      </c>
    </row>
    <row r="16" spans="1:14" x14ac:dyDescent="0.25">
      <c r="A16" s="88">
        <v>2022</v>
      </c>
      <c r="B16" s="89">
        <f>[1]Sheet3!H25</f>
        <v>179349.40000000002</v>
      </c>
      <c r="C16" s="166">
        <v>0.2</v>
      </c>
      <c r="D16" s="151">
        <f t="shared" si="0"/>
        <v>35869.880000000005</v>
      </c>
      <c r="E16" s="151">
        <f t="shared" si="1"/>
        <v>35.869880000000002</v>
      </c>
    </row>
    <row r="17" spans="1:10" x14ac:dyDescent="0.25">
      <c r="A17" s="88">
        <v>2023</v>
      </c>
      <c r="B17" s="89">
        <f>[1]Sheet3!H26</f>
        <v>182794.8</v>
      </c>
      <c r="C17" s="166">
        <v>0.2</v>
      </c>
      <c r="D17" s="151">
        <f t="shared" si="0"/>
        <v>36558.959999999999</v>
      </c>
      <c r="E17" s="151">
        <f t="shared" si="1"/>
        <v>36.558959999999999</v>
      </c>
      <c r="G17" s="90"/>
      <c r="H17" s="90"/>
      <c r="I17" s="90"/>
      <c r="J17" s="90"/>
    </row>
    <row r="18" spans="1:10" x14ac:dyDescent="0.25">
      <c r="A18" s="88">
        <v>2024</v>
      </c>
      <c r="B18" s="89">
        <f>[1]Sheet3!H27</f>
        <v>186240.2</v>
      </c>
      <c r="C18" s="166">
        <v>0.2</v>
      </c>
      <c r="D18" s="151">
        <f t="shared" si="0"/>
        <v>37248.04</v>
      </c>
      <c r="E18" s="151">
        <f t="shared" si="1"/>
        <v>37.248040000000003</v>
      </c>
      <c r="G18" s="90"/>
      <c r="H18" s="90"/>
      <c r="I18" s="90"/>
      <c r="J18" s="90"/>
    </row>
    <row r="19" spans="1:10" x14ac:dyDescent="0.25">
      <c r="A19" s="88">
        <v>2025</v>
      </c>
      <c r="B19" s="89">
        <f>[1]Sheet3!H28</f>
        <v>189685.6</v>
      </c>
      <c r="C19" s="166">
        <v>0.2</v>
      </c>
      <c r="D19" s="151">
        <f t="shared" si="0"/>
        <v>37937.120000000003</v>
      </c>
      <c r="E19" s="151">
        <f t="shared" si="1"/>
        <v>37.93712</v>
      </c>
      <c r="G19" s="90"/>
      <c r="H19" s="90"/>
      <c r="I19" s="90"/>
      <c r="J19" s="90"/>
    </row>
    <row r="20" spans="1:10" x14ac:dyDescent="0.25">
      <c r="A20" s="88">
        <v>2026</v>
      </c>
      <c r="B20" s="89">
        <f>[1]Sheet3!H29</f>
        <v>193131</v>
      </c>
      <c r="C20" s="166">
        <v>0.2</v>
      </c>
      <c r="D20" s="151">
        <f t="shared" si="0"/>
        <v>38626.200000000004</v>
      </c>
      <c r="E20" s="151">
        <f t="shared" si="1"/>
        <v>38.626200000000004</v>
      </c>
      <c r="G20" s="90"/>
      <c r="H20" s="90"/>
      <c r="I20" s="90"/>
      <c r="J20" s="90"/>
    </row>
    <row r="21" spans="1:10" x14ac:dyDescent="0.25">
      <c r="A21" s="88">
        <v>2027</v>
      </c>
      <c r="B21" s="89">
        <f>[1]Sheet3!H30</f>
        <v>196576.40000000002</v>
      </c>
      <c r="C21" s="166">
        <v>0.2</v>
      </c>
      <c r="D21" s="151">
        <f t="shared" si="0"/>
        <v>39315.280000000006</v>
      </c>
      <c r="E21" s="151">
        <f t="shared" si="1"/>
        <v>39.315280000000008</v>
      </c>
      <c r="G21" s="90"/>
      <c r="H21" s="90"/>
      <c r="I21" s="90"/>
      <c r="J21" s="90"/>
    </row>
    <row r="22" spans="1:10" x14ac:dyDescent="0.25">
      <c r="A22" s="88">
        <v>2028</v>
      </c>
      <c r="B22" s="89">
        <f>[1]Sheet3!H31</f>
        <v>200021.8</v>
      </c>
      <c r="C22" s="166">
        <v>0.2</v>
      </c>
      <c r="D22" s="151">
        <f t="shared" si="0"/>
        <v>40004.36</v>
      </c>
      <c r="E22" s="151">
        <f t="shared" si="1"/>
        <v>40.004359999999998</v>
      </c>
      <c r="G22" s="90"/>
      <c r="H22" s="90"/>
      <c r="I22" s="90"/>
      <c r="J22" s="90"/>
    </row>
    <row r="23" spans="1:10" x14ac:dyDescent="0.25">
      <c r="A23" s="88">
        <v>2029</v>
      </c>
      <c r="B23" s="89">
        <f>[1]Sheet3!H32</f>
        <v>203467.2</v>
      </c>
      <c r="C23" s="166">
        <v>0.2</v>
      </c>
      <c r="D23" s="151">
        <f t="shared" si="0"/>
        <v>40693.440000000002</v>
      </c>
      <c r="E23" s="151">
        <f t="shared" si="1"/>
        <v>40.693440000000002</v>
      </c>
      <c r="G23" s="90"/>
      <c r="H23" s="90"/>
      <c r="I23" s="90"/>
      <c r="J23" s="90"/>
    </row>
    <row r="24" spans="1:10" x14ac:dyDescent="0.25">
      <c r="A24" s="88">
        <v>2030</v>
      </c>
      <c r="B24" s="89">
        <f>[1]Sheet3!H33</f>
        <v>206912.6</v>
      </c>
      <c r="C24" s="166">
        <v>0.2</v>
      </c>
      <c r="D24" s="151">
        <f t="shared" si="0"/>
        <v>41382.520000000004</v>
      </c>
      <c r="E24" s="151">
        <f t="shared" si="1"/>
        <v>41.382520000000007</v>
      </c>
      <c r="G24" s="90"/>
      <c r="H24" s="90"/>
      <c r="I24" s="90"/>
      <c r="J24" s="90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71"/>
  <sheetViews>
    <sheetView topLeftCell="A51" zoomScaleNormal="100" workbookViewId="0">
      <selection activeCell="B72" sqref="B72"/>
    </sheetView>
  </sheetViews>
  <sheetFormatPr defaultRowHeight="12.75" x14ac:dyDescent="0.25"/>
  <cols>
    <col min="1" max="1" width="9.140625" style="145"/>
    <col min="2" max="2" width="15.5703125" style="145" customWidth="1"/>
    <col min="3" max="3" width="11" style="145" customWidth="1"/>
    <col min="4" max="6" width="9.140625" style="145"/>
    <col min="7" max="7" width="12.28515625" style="145" customWidth="1"/>
    <col min="8" max="8" width="9.140625" style="145"/>
    <col min="9" max="9" width="16.85546875" style="145" customWidth="1"/>
    <col min="10" max="10" width="28.140625" style="145" customWidth="1"/>
    <col min="11" max="11" width="9.140625" style="145"/>
    <col min="12" max="12" width="9" style="152" bestFit="1" customWidth="1"/>
    <col min="13" max="13" width="12" style="152" bestFit="1" customWidth="1"/>
    <col min="14" max="14" width="2.42578125" style="152" customWidth="1"/>
    <col min="15" max="15" width="7.140625" style="152" customWidth="1"/>
    <col min="16" max="19" width="9.140625" style="152"/>
    <col min="20" max="20" width="1.42578125" style="152" customWidth="1"/>
    <col min="21" max="21" width="7.140625" style="152" customWidth="1"/>
    <col min="22" max="22" width="50.28515625" style="152" customWidth="1"/>
    <col min="23" max="25" width="9.140625" style="152"/>
    <col min="26" max="16384" width="9.140625" style="145"/>
  </cols>
  <sheetData>
    <row r="2" spans="1:21" ht="51" x14ac:dyDescent="0.25">
      <c r="A2" s="183" t="s">
        <v>152</v>
      </c>
      <c r="B2" s="183"/>
      <c r="C2" s="183"/>
      <c r="D2" s="183"/>
      <c r="E2" s="183"/>
      <c r="F2" s="183"/>
      <c r="G2" s="183"/>
      <c r="H2" s="183"/>
      <c r="I2" s="183"/>
      <c r="J2" s="167" t="s">
        <v>153</v>
      </c>
    </row>
    <row r="3" spans="1:21" x14ac:dyDescent="0.25">
      <c r="A3" s="153" t="s">
        <v>154</v>
      </c>
    </row>
    <row r="4" spans="1:21" x14ac:dyDescent="0.25">
      <c r="A4" s="184" t="s">
        <v>8</v>
      </c>
      <c r="B4" s="184" t="s">
        <v>0</v>
      </c>
      <c r="C4" s="184"/>
      <c r="D4" s="184"/>
      <c r="E4" s="184"/>
      <c r="F4" s="184"/>
      <c r="G4" s="184"/>
      <c r="H4" s="184"/>
      <c r="I4" s="188" t="s">
        <v>9</v>
      </c>
    </row>
    <row r="5" spans="1:21" ht="25.5" x14ac:dyDescent="0.25">
      <c r="A5" s="184"/>
      <c r="B5" s="150" t="s">
        <v>1</v>
      </c>
      <c r="C5" s="150" t="s">
        <v>2</v>
      </c>
      <c r="D5" s="150" t="s">
        <v>148</v>
      </c>
      <c r="E5" s="150" t="s">
        <v>4</v>
      </c>
      <c r="F5" s="175" t="s">
        <v>156</v>
      </c>
      <c r="G5" s="150" t="s">
        <v>127</v>
      </c>
      <c r="H5" s="150" t="s">
        <v>7</v>
      </c>
      <c r="I5" s="189"/>
      <c r="P5" s="154"/>
    </row>
    <row r="6" spans="1:21" ht="17.25" customHeight="1" x14ac:dyDescent="0.25">
      <c r="A6" s="155">
        <v>2011</v>
      </c>
      <c r="B6" s="174">
        <v>0.31609999999999999</v>
      </c>
      <c r="C6" s="174">
        <f>4%+9.35%+8.46%+6.21%</f>
        <v>0.2802</v>
      </c>
      <c r="D6" s="174">
        <v>1.35E-2</v>
      </c>
      <c r="E6" s="174">
        <v>0.39019999999999999</v>
      </c>
      <c r="F6" s="168">
        <v>0</v>
      </c>
      <c r="G6" s="168"/>
      <c r="H6" s="168"/>
      <c r="I6" s="156">
        <f>SUM(B6:H6)</f>
        <v>1</v>
      </c>
      <c r="L6" s="91"/>
    </row>
    <row r="7" spans="1:21" x14ac:dyDescent="0.25">
      <c r="A7" s="155">
        <v>2012</v>
      </c>
      <c r="B7" s="174">
        <v>0.31609999999999999</v>
      </c>
      <c r="C7" s="174">
        <f t="shared" ref="C7:C11" si="0">4%+9.35%+8.46%+6.21%</f>
        <v>0.2802</v>
      </c>
      <c r="D7" s="174">
        <v>1.35E-2</v>
      </c>
      <c r="E7" s="174">
        <v>0.39019999999999999</v>
      </c>
      <c r="F7" s="168">
        <v>0</v>
      </c>
      <c r="G7" s="168"/>
      <c r="H7" s="168"/>
      <c r="I7" s="156">
        <f t="shared" ref="I7:I25" si="1">SUM(B7:H7)</f>
        <v>1</v>
      </c>
      <c r="L7" s="152">
        <v>2000</v>
      </c>
      <c r="M7" s="152">
        <f>M8-(M8*0.024)</f>
        <v>0</v>
      </c>
      <c r="N7" s="92"/>
      <c r="O7" s="93"/>
      <c r="P7" s="154"/>
      <c r="S7" s="157"/>
      <c r="T7" s="158"/>
      <c r="U7" s="157"/>
    </row>
    <row r="8" spans="1:21" x14ac:dyDescent="0.25">
      <c r="A8" s="155">
        <v>2013</v>
      </c>
      <c r="B8" s="174">
        <v>0.31609999999999999</v>
      </c>
      <c r="C8" s="174">
        <f t="shared" si="0"/>
        <v>0.2802</v>
      </c>
      <c r="D8" s="174">
        <v>1.35E-2</v>
      </c>
      <c r="E8" s="174">
        <v>0.39019999999999999</v>
      </c>
      <c r="F8" s="168">
        <v>0</v>
      </c>
      <c r="G8" s="168"/>
      <c r="H8" s="168"/>
      <c r="I8" s="156">
        <f t="shared" si="1"/>
        <v>1</v>
      </c>
      <c r="L8" s="152">
        <v>2001</v>
      </c>
      <c r="M8" s="152">
        <f t="shared" ref="M8:M10" si="2">M9-(M9*0.024)</f>
        <v>0</v>
      </c>
      <c r="N8" s="93"/>
      <c r="O8" s="93"/>
      <c r="P8" s="154"/>
      <c r="S8" s="159"/>
      <c r="T8" s="159"/>
      <c r="U8" s="159"/>
    </row>
    <row r="9" spans="1:21" x14ac:dyDescent="0.25">
      <c r="A9" s="155">
        <v>2014</v>
      </c>
      <c r="B9" s="174">
        <v>0.31609999999999999</v>
      </c>
      <c r="C9" s="174">
        <f t="shared" si="0"/>
        <v>0.2802</v>
      </c>
      <c r="D9" s="174">
        <v>1.35E-2</v>
      </c>
      <c r="E9" s="174">
        <v>0.39019999999999999</v>
      </c>
      <c r="F9" s="168">
        <v>0</v>
      </c>
      <c r="G9" s="168"/>
      <c r="H9" s="168"/>
      <c r="I9" s="156">
        <f t="shared" si="1"/>
        <v>1</v>
      </c>
      <c r="L9" s="152">
        <v>2002</v>
      </c>
      <c r="M9" s="152">
        <f t="shared" si="2"/>
        <v>0</v>
      </c>
      <c r="N9" s="93"/>
      <c r="O9" s="93"/>
      <c r="P9" s="154"/>
    </row>
    <row r="10" spans="1:21" x14ac:dyDescent="0.25">
      <c r="A10" s="155">
        <v>2015</v>
      </c>
      <c r="B10" s="174">
        <v>0.31609999999999999</v>
      </c>
      <c r="C10" s="174">
        <f t="shared" si="0"/>
        <v>0.2802</v>
      </c>
      <c r="D10" s="174">
        <v>1.35E-2</v>
      </c>
      <c r="E10" s="174">
        <v>0.39019999999999999</v>
      </c>
      <c r="F10" s="168">
        <v>0</v>
      </c>
      <c r="G10" s="168"/>
      <c r="H10" s="168"/>
      <c r="I10" s="156">
        <f t="shared" si="1"/>
        <v>1</v>
      </c>
      <c r="L10" s="152">
        <v>2003</v>
      </c>
      <c r="M10" s="152">
        <f t="shared" si="2"/>
        <v>0</v>
      </c>
      <c r="N10" s="92"/>
      <c r="O10" s="93"/>
      <c r="P10" s="154"/>
    </row>
    <row r="11" spans="1:21" x14ac:dyDescent="0.25">
      <c r="A11" s="155">
        <v>2016</v>
      </c>
      <c r="B11" s="174">
        <v>0.31609999999999999</v>
      </c>
      <c r="C11" s="174">
        <f t="shared" si="0"/>
        <v>0.2802</v>
      </c>
      <c r="D11" s="174">
        <v>1.35E-2</v>
      </c>
      <c r="E11" s="174">
        <v>0.39019999999999999</v>
      </c>
      <c r="F11" s="168">
        <v>0</v>
      </c>
      <c r="G11" s="168"/>
      <c r="H11" s="168"/>
      <c r="I11" s="156">
        <f t="shared" si="1"/>
        <v>1</v>
      </c>
      <c r="L11" s="152">
        <v>2004</v>
      </c>
      <c r="M11" s="152">
        <f>M12-(M12*0.024)</f>
        <v>0</v>
      </c>
    </row>
    <row r="12" spans="1:21" x14ac:dyDescent="0.25">
      <c r="A12" s="155">
        <v>2017</v>
      </c>
      <c r="B12" s="174">
        <f>B11*1.0255</f>
        <v>0.32416054999999999</v>
      </c>
      <c r="C12" s="174">
        <f>C11*(1-0.0238)</f>
        <v>0.27353124000000001</v>
      </c>
      <c r="D12" s="174">
        <f t="shared" ref="D12:D24" si="3">D11*1.0285</f>
        <v>1.388475E-2</v>
      </c>
      <c r="E12" s="174">
        <f>E11*(1-0.0119)</f>
        <v>0.38555661999999996</v>
      </c>
      <c r="F12" s="168">
        <v>0.02</v>
      </c>
      <c r="G12" s="168"/>
      <c r="H12" s="168"/>
      <c r="I12" s="156">
        <f t="shared" si="1"/>
        <v>1.01713316</v>
      </c>
      <c r="L12" s="152">
        <v>2005</v>
      </c>
      <c r="M12" s="152">
        <f>M13-(M13*O29)</f>
        <v>0</v>
      </c>
    </row>
    <row r="13" spans="1:21" x14ac:dyDescent="0.25">
      <c r="A13" s="155">
        <v>2018</v>
      </c>
      <c r="B13" s="174">
        <f t="shared" ref="B13:B24" si="4">B12*1.0255</f>
        <v>0.332426644025</v>
      </c>
      <c r="C13" s="174">
        <f t="shared" ref="C13:C24" si="5">C12*(1-0.0238)</f>
        <v>0.26702119648799999</v>
      </c>
      <c r="D13" s="174">
        <f t="shared" si="3"/>
        <v>1.4280465374999999E-2</v>
      </c>
      <c r="E13" s="174">
        <f t="shared" ref="E13:E24" si="6">E12*(1-0.0119)</f>
        <v>0.38096849622199996</v>
      </c>
      <c r="F13" s="168">
        <f>F12*1.073</f>
        <v>2.146E-2</v>
      </c>
      <c r="G13" s="168"/>
      <c r="H13" s="168"/>
      <c r="I13" s="156">
        <f t="shared" si="1"/>
        <v>1.01615680211</v>
      </c>
      <c r="L13" s="152">
        <v>2006</v>
      </c>
      <c r="M13" s="152">
        <f>M14-(M14*O29)</f>
        <v>0</v>
      </c>
    </row>
    <row r="14" spans="1:21" x14ac:dyDescent="0.25">
      <c r="A14" s="155">
        <v>2019</v>
      </c>
      <c r="B14" s="174">
        <f t="shared" si="4"/>
        <v>0.34090352344763752</v>
      </c>
      <c r="C14" s="174">
        <f t="shared" si="5"/>
        <v>0.26066609201158558</v>
      </c>
      <c r="D14" s="174">
        <f t="shared" si="3"/>
        <v>1.4687458638187498E-2</v>
      </c>
      <c r="E14" s="174">
        <f t="shared" si="6"/>
        <v>0.37643497111695817</v>
      </c>
      <c r="F14" s="168">
        <f t="shared" ref="F14:F24" si="7">F13*1.073</f>
        <v>2.3026579999999998E-2</v>
      </c>
      <c r="G14" s="168"/>
      <c r="H14" s="168"/>
      <c r="I14" s="156">
        <f t="shared" si="1"/>
        <v>1.0157186252143688</v>
      </c>
      <c r="L14" s="152">
        <v>2007</v>
      </c>
      <c r="M14" s="152">
        <f>M15-(M15*O29)</f>
        <v>0</v>
      </c>
      <c r="P14" s="154"/>
    </row>
    <row r="15" spans="1:21" x14ac:dyDescent="0.25">
      <c r="A15" s="155">
        <v>2020</v>
      </c>
      <c r="B15" s="174">
        <f t="shared" si="4"/>
        <v>0.34959656329555233</v>
      </c>
      <c r="C15" s="174">
        <f t="shared" si="5"/>
        <v>0.25446223902170984</v>
      </c>
      <c r="D15" s="174">
        <f t="shared" si="3"/>
        <v>1.5106051209375842E-2</v>
      </c>
      <c r="E15" s="174">
        <f t="shared" si="6"/>
        <v>0.37195539496066637</v>
      </c>
      <c r="F15" s="168">
        <f t="shared" si="7"/>
        <v>2.4707520339999997E-2</v>
      </c>
      <c r="G15" s="168"/>
      <c r="H15" s="168"/>
      <c r="I15" s="156">
        <f t="shared" si="1"/>
        <v>1.0158277688273043</v>
      </c>
      <c r="L15" s="152">
        <v>2008</v>
      </c>
      <c r="M15" s="152">
        <f>M27-(M27*O29)</f>
        <v>0</v>
      </c>
      <c r="S15" s="157"/>
    </row>
    <row r="16" spans="1:21" x14ac:dyDescent="0.25">
      <c r="A16" s="155">
        <v>2021</v>
      </c>
      <c r="B16" s="174">
        <f t="shared" si="4"/>
        <v>0.35851127565958896</v>
      </c>
      <c r="C16" s="174">
        <f t="shared" si="5"/>
        <v>0.24840603773299313</v>
      </c>
      <c r="D16" s="174">
        <f t="shared" si="3"/>
        <v>1.5536573668843054E-2</v>
      </c>
      <c r="E16" s="174">
        <f t="shared" si="6"/>
        <v>0.36752912576063446</v>
      </c>
      <c r="F16" s="168">
        <f t="shared" si="7"/>
        <v>2.6511169324819995E-2</v>
      </c>
      <c r="G16" s="168"/>
      <c r="H16" s="168"/>
      <c r="I16" s="156">
        <f t="shared" si="1"/>
        <v>1.0164941821468796</v>
      </c>
      <c r="S16" s="157"/>
    </row>
    <row r="17" spans="1:19" x14ac:dyDescent="0.25">
      <c r="A17" s="155">
        <v>2022</v>
      </c>
      <c r="B17" s="174">
        <f t="shared" si="4"/>
        <v>0.36765331318890848</v>
      </c>
      <c r="C17" s="174">
        <f t="shared" si="5"/>
        <v>0.24249397403494788</v>
      </c>
      <c r="D17" s="174">
        <f t="shared" si="3"/>
        <v>1.5979366018405081E-2</v>
      </c>
      <c r="E17" s="174">
        <f t="shared" si="6"/>
        <v>0.36315552916408289</v>
      </c>
      <c r="F17" s="168">
        <f t="shared" si="7"/>
        <v>2.8446484685531855E-2</v>
      </c>
      <c r="G17" s="168"/>
      <c r="H17" s="168"/>
      <c r="I17" s="156">
        <f t="shared" si="1"/>
        <v>1.0177286670918761</v>
      </c>
      <c r="S17" s="157"/>
    </row>
    <row r="18" spans="1:19" x14ac:dyDescent="0.25">
      <c r="A18" s="155">
        <v>2023</v>
      </c>
      <c r="B18" s="174">
        <f t="shared" si="4"/>
        <v>0.37702847267522566</v>
      </c>
      <c r="C18" s="174">
        <f t="shared" si="5"/>
        <v>0.23672261745291612</v>
      </c>
      <c r="D18" s="174">
        <f t="shared" si="3"/>
        <v>1.6434777949929626E-2</v>
      </c>
      <c r="E18" s="174">
        <f t="shared" si="6"/>
        <v>0.35883397836703029</v>
      </c>
      <c r="F18" s="168">
        <f t="shared" si="7"/>
        <v>3.052307806757568E-2</v>
      </c>
      <c r="G18" s="168"/>
      <c r="H18" s="168"/>
      <c r="I18" s="156">
        <f t="shared" si="1"/>
        <v>1.0195429245126773</v>
      </c>
      <c r="S18" s="157"/>
    </row>
    <row r="19" spans="1:19" x14ac:dyDescent="0.25">
      <c r="A19" s="155">
        <v>2024</v>
      </c>
      <c r="B19" s="174">
        <f t="shared" si="4"/>
        <v>0.38664269872844392</v>
      </c>
      <c r="C19" s="174">
        <f t="shared" si="5"/>
        <v>0.2310886191575367</v>
      </c>
      <c r="D19" s="174">
        <f t="shared" si="3"/>
        <v>1.690316912150262E-2</v>
      </c>
      <c r="E19" s="174">
        <f t="shared" si="6"/>
        <v>0.35456385402446261</v>
      </c>
      <c r="F19" s="168">
        <f t="shared" si="7"/>
        <v>3.27512627665087E-2</v>
      </c>
      <c r="G19" s="168"/>
      <c r="H19" s="168"/>
      <c r="I19" s="156">
        <f t="shared" si="1"/>
        <v>1.0219496037984546</v>
      </c>
      <c r="S19" s="157"/>
    </row>
    <row r="20" spans="1:19" x14ac:dyDescent="0.25">
      <c r="A20" s="155">
        <v>2025</v>
      </c>
      <c r="B20" s="174">
        <f t="shared" si="4"/>
        <v>0.39650208754601929</v>
      </c>
      <c r="C20" s="174">
        <f t="shared" si="5"/>
        <v>0.22558871002158731</v>
      </c>
      <c r="D20" s="174">
        <f t="shared" si="3"/>
        <v>1.7384909441465445E-2</v>
      </c>
      <c r="E20" s="174">
        <f t="shared" si="6"/>
        <v>0.35034454416157151</v>
      </c>
      <c r="F20" s="168">
        <f t="shared" si="7"/>
        <v>3.5142104948463836E-2</v>
      </c>
      <c r="G20" s="168"/>
      <c r="H20" s="168"/>
      <c r="I20" s="156">
        <f t="shared" si="1"/>
        <v>1.0249623561191075</v>
      </c>
      <c r="S20" s="157"/>
    </row>
    <row r="21" spans="1:19" x14ac:dyDescent="0.25">
      <c r="A21" s="155">
        <v>2026</v>
      </c>
      <c r="B21" s="174">
        <f t="shared" si="4"/>
        <v>0.40661289077844281</v>
      </c>
      <c r="C21" s="174">
        <f t="shared" si="5"/>
        <v>0.22021969872307354</v>
      </c>
      <c r="D21" s="174">
        <f t="shared" si="3"/>
        <v>1.7880379360547208E-2</v>
      </c>
      <c r="E21" s="174">
        <f t="shared" si="6"/>
        <v>0.34617544408604878</v>
      </c>
      <c r="F21" s="168">
        <f t="shared" si="7"/>
        <v>3.7707478609701695E-2</v>
      </c>
      <c r="G21" s="168"/>
      <c r="H21" s="168"/>
      <c r="I21" s="156">
        <f t="shared" si="1"/>
        <v>1.0285958915578139</v>
      </c>
      <c r="S21" s="157"/>
    </row>
    <row r="22" spans="1:19" x14ac:dyDescent="0.25">
      <c r="A22" s="155">
        <v>2027</v>
      </c>
      <c r="B22" s="174">
        <f t="shared" si="4"/>
        <v>0.41698151949329315</v>
      </c>
      <c r="C22" s="174">
        <f t="shared" si="5"/>
        <v>0.21497846989346436</v>
      </c>
      <c r="D22" s="174">
        <f t="shared" si="3"/>
        <v>1.8389970172322804E-2</v>
      </c>
      <c r="E22" s="174">
        <f t="shared" si="6"/>
        <v>0.34205595630142477</v>
      </c>
      <c r="F22" s="168">
        <f t="shared" si="7"/>
        <v>4.0460124548209915E-2</v>
      </c>
      <c r="G22" s="168"/>
      <c r="H22" s="168"/>
      <c r="I22" s="156">
        <f t="shared" si="1"/>
        <v>1.0328660404087151</v>
      </c>
      <c r="S22" s="157"/>
    </row>
    <row r="23" spans="1:19" x14ac:dyDescent="0.25">
      <c r="A23" s="155">
        <v>2028</v>
      </c>
      <c r="B23" s="174">
        <f t="shared" si="4"/>
        <v>0.42761454824037215</v>
      </c>
      <c r="C23" s="174">
        <f t="shared" si="5"/>
        <v>0.20986198230999989</v>
      </c>
      <c r="D23" s="174">
        <f t="shared" si="3"/>
        <v>1.8914084322234005E-2</v>
      </c>
      <c r="E23" s="174">
        <f t="shared" si="6"/>
        <v>0.33798549042143783</v>
      </c>
      <c r="F23" s="168">
        <f t="shared" si="7"/>
        <v>4.3413713640229237E-2</v>
      </c>
      <c r="G23" s="168"/>
      <c r="H23" s="168"/>
      <c r="I23" s="156">
        <f t="shared" si="1"/>
        <v>1.0377898189342731</v>
      </c>
      <c r="S23" s="157"/>
    </row>
    <row r="24" spans="1:19" x14ac:dyDescent="0.25">
      <c r="A24" s="155">
        <v>2029</v>
      </c>
      <c r="B24" s="174">
        <f t="shared" si="4"/>
        <v>0.43851871922050167</v>
      </c>
      <c r="C24" s="174">
        <f t="shared" si="5"/>
        <v>0.20486726713102188</v>
      </c>
      <c r="D24" s="174">
        <f t="shared" si="3"/>
        <v>1.9453135725417674E-2</v>
      </c>
      <c r="E24" s="174">
        <f t="shared" si="6"/>
        <v>0.33396346308542268</v>
      </c>
      <c r="F24" s="168">
        <f t="shared" si="7"/>
        <v>4.6582914735965972E-2</v>
      </c>
      <c r="G24" s="168"/>
      <c r="H24" s="168"/>
      <c r="I24" s="156">
        <f t="shared" si="1"/>
        <v>1.0433854998983298</v>
      </c>
      <c r="S24" s="157"/>
    </row>
    <row r="25" spans="1:19" x14ac:dyDescent="0.25">
      <c r="A25" s="155">
        <v>2030</v>
      </c>
      <c r="B25" s="174">
        <v>0.45</v>
      </c>
      <c r="C25" s="174">
        <v>0.2</v>
      </c>
      <c r="D25" s="174">
        <v>0.02</v>
      </c>
      <c r="E25" s="174">
        <v>0.33</v>
      </c>
      <c r="F25" s="168">
        <v>0.05</v>
      </c>
      <c r="G25" s="168"/>
      <c r="H25" s="168"/>
      <c r="I25" s="156">
        <f t="shared" si="1"/>
        <v>1.05</v>
      </c>
      <c r="S25" s="157"/>
    </row>
    <row r="26" spans="1:19" ht="14.25" customHeight="1" x14ac:dyDescent="0.25">
      <c r="B26" s="169">
        <f>((B25/B11)^(1/14)-1)</f>
        <v>2.5548696592848197E-2</v>
      </c>
      <c r="C26" s="169">
        <f t="shared" ref="C26:H26" si="8">((C25/C11)^(1/14)-1)</f>
        <v>-2.379701072791307E-2</v>
      </c>
      <c r="D26" s="169">
        <f t="shared" si="8"/>
        <v>2.8472272495493778E-2</v>
      </c>
      <c r="E26" s="169">
        <f>((E25/E11)^(1/14)-1)</f>
        <v>-1.1897711048976523E-2</v>
      </c>
      <c r="F26" s="169" t="e">
        <f t="shared" si="8"/>
        <v>#DIV/0!</v>
      </c>
      <c r="G26" s="169" t="e">
        <f t="shared" si="8"/>
        <v>#DIV/0!</v>
      </c>
      <c r="H26" s="169" t="e">
        <f t="shared" si="8"/>
        <v>#DIV/0!</v>
      </c>
    </row>
    <row r="27" spans="1:19" x14ac:dyDescent="0.25">
      <c r="A27" s="184" t="s">
        <v>10</v>
      </c>
      <c r="B27" s="185" t="s">
        <v>149</v>
      </c>
      <c r="C27" s="186"/>
      <c r="D27" s="186"/>
      <c r="E27" s="186"/>
      <c r="F27" s="186"/>
      <c r="G27" s="186"/>
      <c r="H27" s="187"/>
      <c r="I27" s="188" t="s">
        <v>39</v>
      </c>
    </row>
    <row r="28" spans="1:19" ht="25.5" x14ac:dyDescent="0.25">
      <c r="A28" s="184"/>
      <c r="B28" s="150" t="s">
        <v>1</v>
      </c>
      <c r="C28" s="150" t="s">
        <v>2</v>
      </c>
      <c r="D28" s="150" t="s">
        <v>148</v>
      </c>
      <c r="E28" s="144" t="s">
        <v>4</v>
      </c>
      <c r="F28" s="175" t="s">
        <v>156</v>
      </c>
      <c r="G28" s="150" t="s">
        <v>127</v>
      </c>
      <c r="H28" s="144" t="s">
        <v>7</v>
      </c>
      <c r="I28" s="189"/>
    </row>
    <row r="29" spans="1:19" x14ac:dyDescent="0.25">
      <c r="A29" s="155">
        <v>2011</v>
      </c>
      <c r="B29" s="160">
        <f t="shared" ref="B29:H29" si="9">$I$29*B6</f>
        <v>9.2287291600000003</v>
      </c>
      <c r="C29" s="160">
        <f t="shared" si="9"/>
        <v>8.1806071200000012</v>
      </c>
      <c r="D29" s="160">
        <f t="shared" si="9"/>
        <v>0.39414060000000001</v>
      </c>
      <c r="E29" s="161">
        <f t="shared" si="9"/>
        <v>11.392123120000001</v>
      </c>
      <c r="F29" s="160">
        <f t="shared" si="9"/>
        <v>0</v>
      </c>
      <c r="G29" s="160">
        <f t="shared" si="9"/>
        <v>0</v>
      </c>
      <c r="H29" s="162">
        <f t="shared" si="9"/>
        <v>0</v>
      </c>
      <c r="I29" s="163">
        <f>'timbulan sampah'!E5</f>
        <v>29.195600000000002</v>
      </c>
      <c r="J29" s="164">
        <f>SUM(B29:H29)</f>
        <v>29.195600000000002</v>
      </c>
    </row>
    <row r="30" spans="1:19" x14ac:dyDescent="0.25">
      <c r="A30" s="155">
        <v>2012</v>
      </c>
      <c r="B30" s="160">
        <f t="shared" ref="B30:H30" si="10">$I$30*B7</f>
        <v>9.3587094800000017</v>
      </c>
      <c r="C30" s="160">
        <f t="shared" si="10"/>
        <v>8.2958253600000003</v>
      </c>
      <c r="D30" s="160">
        <f t="shared" si="10"/>
        <v>0.39969180000000004</v>
      </c>
      <c r="E30" s="161">
        <f t="shared" si="10"/>
        <v>11.55257336</v>
      </c>
      <c r="F30" s="160">
        <f t="shared" si="10"/>
        <v>0</v>
      </c>
      <c r="G30" s="160">
        <f t="shared" si="10"/>
        <v>0</v>
      </c>
      <c r="H30" s="162">
        <f t="shared" si="10"/>
        <v>0</v>
      </c>
      <c r="I30" s="163">
        <f>'timbulan sampah'!E6</f>
        <v>29.606800000000003</v>
      </c>
      <c r="J30" s="164">
        <f t="shared" ref="J30:J48" si="11">SUM(B30:H30)</f>
        <v>29.606800000000003</v>
      </c>
    </row>
    <row r="31" spans="1:19" x14ac:dyDescent="0.25">
      <c r="A31" s="155">
        <v>2013</v>
      </c>
      <c r="B31" s="160">
        <f t="shared" ref="B31:H31" si="12">$I$31*B8</f>
        <v>9.4959600999999996</v>
      </c>
      <c r="C31" s="160">
        <f t="shared" si="12"/>
        <v>8.4174882000000011</v>
      </c>
      <c r="D31" s="160">
        <f t="shared" si="12"/>
        <v>0.40555350000000001</v>
      </c>
      <c r="E31" s="161">
        <f t="shared" si="12"/>
        <v>11.7219982</v>
      </c>
      <c r="F31" s="160">
        <f t="shared" si="12"/>
        <v>0</v>
      </c>
      <c r="G31" s="160">
        <f t="shared" si="12"/>
        <v>0</v>
      </c>
      <c r="H31" s="162">
        <f t="shared" si="12"/>
        <v>0</v>
      </c>
      <c r="I31" s="163">
        <f>'timbulan sampah'!E7</f>
        <v>30.041</v>
      </c>
      <c r="J31" s="164">
        <f t="shared" si="11"/>
        <v>30.040999999999997</v>
      </c>
    </row>
    <row r="32" spans="1:19" x14ac:dyDescent="0.25">
      <c r="A32" s="155">
        <v>2014</v>
      </c>
      <c r="B32" s="160">
        <f t="shared" ref="B32:H32" si="13">$I$32*B9</f>
        <v>9.6169631800000008</v>
      </c>
      <c r="C32" s="160">
        <f t="shared" si="13"/>
        <v>8.5247487600000014</v>
      </c>
      <c r="D32" s="160">
        <f t="shared" si="13"/>
        <v>0.41072130000000007</v>
      </c>
      <c r="E32" s="161">
        <f t="shared" si="13"/>
        <v>11.871366760000001</v>
      </c>
      <c r="F32" s="160">
        <f t="shared" si="13"/>
        <v>0</v>
      </c>
      <c r="G32" s="160">
        <f t="shared" si="13"/>
        <v>0</v>
      </c>
      <c r="H32" s="162">
        <f t="shared" si="13"/>
        <v>0</v>
      </c>
      <c r="I32" s="163">
        <f>'timbulan sampah'!E8</f>
        <v>30.423800000000004</v>
      </c>
      <c r="J32" s="164">
        <f t="shared" si="11"/>
        <v>30.4238</v>
      </c>
      <c r="P32" s="154"/>
    </row>
    <row r="33" spans="1:16" x14ac:dyDescent="0.25">
      <c r="A33" s="155">
        <v>2015</v>
      </c>
      <c r="B33" s="160">
        <f t="shared" ref="B33:H33" si="14">$I$33*B10</f>
        <v>9.7507367000000009</v>
      </c>
      <c r="C33" s="160">
        <f t="shared" si="14"/>
        <v>8.6433294000000007</v>
      </c>
      <c r="D33" s="160">
        <f t="shared" si="14"/>
        <v>0.41643449999999999</v>
      </c>
      <c r="E33" s="161">
        <f t="shared" si="14"/>
        <v>12.0364994</v>
      </c>
      <c r="F33" s="160">
        <f t="shared" si="14"/>
        <v>0</v>
      </c>
      <c r="G33" s="160">
        <f t="shared" si="14"/>
        <v>0</v>
      </c>
      <c r="H33" s="162">
        <f t="shared" si="14"/>
        <v>0</v>
      </c>
      <c r="I33" s="163">
        <f>'timbulan sampah'!E9</f>
        <v>30.847000000000001</v>
      </c>
      <c r="J33" s="164">
        <f t="shared" si="11"/>
        <v>30.847000000000005</v>
      </c>
      <c r="P33" s="154"/>
    </row>
    <row r="34" spans="1:16" x14ac:dyDescent="0.25">
      <c r="A34" s="155">
        <v>2016</v>
      </c>
      <c r="B34" s="160">
        <f t="shared" ref="B34:H34" si="15">$I$34*B11</f>
        <v>9.8623832199999999</v>
      </c>
      <c r="C34" s="160">
        <f t="shared" si="15"/>
        <v>8.7422960400000012</v>
      </c>
      <c r="D34" s="160">
        <f t="shared" si="15"/>
        <v>0.42120270000000004</v>
      </c>
      <c r="E34" s="161">
        <f t="shared" si="15"/>
        <v>12.174318040000001</v>
      </c>
      <c r="F34" s="160">
        <f t="shared" si="15"/>
        <v>0</v>
      </c>
      <c r="G34" s="160">
        <f t="shared" si="15"/>
        <v>0</v>
      </c>
      <c r="H34" s="162">
        <f t="shared" si="15"/>
        <v>0</v>
      </c>
      <c r="I34" s="163">
        <f>'timbulan sampah'!E10</f>
        <v>31.200200000000002</v>
      </c>
      <c r="J34" s="164">
        <f t="shared" si="11"/>
        <v>31.200200000000002</v>
      </c>
    </row>
    <row r="35" spans="1:16" x14ac:dyDescent="0.25">
      <c r="A35" s="155">
        <v>2017</v>
      </c>
      <c r="B35" s="176">
        <f>(I35*B12)-F35</f>
        <v>9.8622476702640007</v>
      </c>
      <c r="C35" s="160">
        <f t="shared" ref="C35:H35" si="16">$I$35*C12</f>
        <v>8.8691082207552014</v>
      </c>
      <c r="D35" s="160">
        <f t="shared" si="16"/>
        <v>0.45020579868000005</v>
      </c>
      <c r="E35" s="161">
        <f t="shared" si="16"/>
        <v>12.501472914057599</v>
      </c>
      <c r="F35" s="160">
        <f t="shared" si="16"/>
        <v>0.64848960000000011</v>
      </c>
      <c r="G35" s="160">
        <f t="shared" si="16"/>
        <v>0</v>
      </c>
      <c r="H35" s="162">
        <f t="shared" si="16"/>
        <v>0</v>
      </c>
      <c r="I35" s="163">
        <f>'timbulan sampah'!E11</f>
        <v>32.424480000000003</v>
      </c>
      <c r="J35" s="164">
        <f t="shared" si="11"/>
        <v>32.3315242037568</v>
      </c>
    </row>
    <row r="36" spans="1:16" x14ac:dyDescent="0.25">
      <c r="A36" s="155">
        <v>2018</v>
      </c>
      <c r="B36" s="176">
        <f t="shared" ref="B36:B48" si="17">(I36*B13)-F36</f>
        <v>10.297212624920478</v>
      </c>
      <c r="C36" s="160">
        <f t="shared" ref="C36:H36" si="18">$I$36*C13</f>
        <v>8.8420224111771777</v>
      </c>
      <c r="D36" s="160">
        <f t="shared" si="18"/>
        <v>0.47287704702298494</v>
      </c>
      <c r="E36" s="161">
        <f t="shared" si="18"/>
        <v>12.615223157756969</v>
      </c>
      <c r="F36" s="160">
        <f t="shared" si="18"/>
        <v>0.71061699759999997</v>
      </c>
      <c r="G36" s="160">
        <f t="shared" si="18"/>
        <v>0</v>
      </c>
      <c r="H36" s="162">
        <f t="shared" si="18"/>
        <v>0</v>
      </c>
      <c r="I36" s="163">
        <f>'timbulan sampah'!E12</f>
        <v>33.11356</v>
      </c>
      <c r="J36" s="164">
        <f t="shared" si="11"/>
        <v>32.937952238477607</v>
      </c>
    </row>
    <row r="37" spans="1:16" x14ac:dyDescent="0.25">
      <c r="A37" s="155">
        <v>2019</v>
      </c>
      <c r="B37" s="176">
        <f t="shared" si="17"/>
        <v>10.745079883660852</v>
      </c>
      <c r="C37" s="160">
        <f t="shared" ref="C37:H37" si="19">$I$37*C14</f>
        <v>8.811202068474504</v>
      </c>
      <c r="D37" s="160">
        <f t="shared" si="19"/>
        <v>0.49647487686154229</v>
      </c>
      <c r="E37" s="161">
        <f t="shared" si="19"/>
        <v>12.724495812076936</v>
      </c>
      <c r="F37" s="160">
        <f t="shared" si="19"/>
        <v>0.77835919417120003</v>
      </c>
      <c r="G37" s="160">
        <f t="shared" si="19"/>
        <v>0</v>
      </c>
      <c r="H37" s="162">
        <f t="shared" si="19"/>
        <v>0</v>
      </c>
      <c r="I37" s="163">
        <f>'timbulan sampah'!E13</f>
        <v>33.802640000000004</v>
      </c>
      <c r="J37" s="164">
        <f t="shared" si="11"/>
        <v>33.555611835245038</v>
      </c>
    </row>
    <row r="38" spans="1:16" x14ac:dyDescent="0.25">
      <c r="A38" s="155">
        <v>2020</v>
      </c>
      <c r="B38" s="176">
        <f t="shared" si="17"/>
        <v>11.205981900690885</v>
      </c>
      <c r="C38" s="160">
        <f t="shared" ref="C38:H38" si="20">$I$38*C15</f>
        <v>8.7768402989098906</v>
      </c>
      <c r="D38" s="160">
        <f t="shared" si="20"/>
        <v>0.52103368861945287</v>
      </c>
      <c r="E38" s="161">
        <f t="shared" si="20"/>
        <v>12.829381335472716</v>
      </c>
      <c r="F38" s="160">
        <f t="shared" si="20"/>
        <v>0.85220487346158469</v>
      </c>
      <c r="G38" s="160">
        <f t="shared" si="20"/>
        <v>0</v>
      </c>
      <c r="H38" s="162">
        <f t="shared" si="20"/>
        <v>0</v>
      </c>
      <c r="I38" s="163">
        <f>'timbulan sampah'!E14</f>
        <v>34.491720000000001</v>
      </c>
      <c r="J38" s="164">
        <f t="shared" si="11"/>
        <v>34.185442097154535</v>
      </c>
    </row>
    <row r="39" spans="1:16" x14ac:dyDescent="0.25">
      <c r="A39" s="155">
        <v>2021</v>
      </c>
      <c r="B39" s="176">
        <f t="shared" si="17"/>
        <v>11.680029340942243</v>
      </c>
      <c r="C39" s="160">
        <f t="shared" ref="C39:H39" si="21">$I$39*C16</f>
        <v>8.7391231322768856</v>
      </c>
      <c r="D39" s="160">
        <f t="shared" si="21"/>
        <v>0.54658909092883379</v>
      </c>
      <c r="E39" s="161">
        <f t="shared" si="21"/>
        <v>12.929968667559731</v>
      </c>
      <c r="F39" s="160">
        <f t="shared" si="21"/>
        <v>0.93268414578262737</v>
      </c>
      <c r="G39" s="160">
        <f t="shared" si="21"/>
        <v>0</v>
      </c>
      <c r="H39" s="162">
        <f t="shared" si="21"/>
        <v>0</v>
      </c>
      <c r="I39" s="163">
        <f>'timbulan sampah'!E15</f>
        <v>35.180800000000005</v>
      </c>
      <c r="J39" s="164">
        <f t="shared" si="11"/>
        <v>34.828394377490326</v>
      </c>
    </row>
    <row r="40" spans="1:16" x14ac:dyDescent="0.25">
      <c r="A40" s="155">
        <v>2022</v>
      </c>
      <c r="B40" s="176">
        <f t="shared" si="17"/>
        <v>12.1673082335967</v>
      </c>
      <c r="C40" s="160">
        <f t="shared" ref="C40:H40" si="22">$I$40*C17</f>
        <v>8.6982297493566971</v>
      </c>
      <c r="D40" s="160">
        <f t="shared" si="22"/>
        <v>0.57317794155626811</v>
      </c>
      <c r="E40" s="161">
        <f t="shared" si="22"/>
        <v>13.026345252452154</v>
      </c>
      <c r="F40" s="160">
        <f t="shared" si="22"/>
        <v>1.0203719920918655</v>
      </c>
      <c r="G40" s="160">
        <f t="shared" si="22"/>
        <v>0</v>
      </c>
      <c r="H40" s="162">
        <f t="shared" si="22"/>
        <v>0</v>
      </c>
      <c r="I40" s="163">
        <f>'timbulan sampah'!E16</f>
        <v>35.869880000000002</v>
      </c>
      <c r="J40" s="164">
        <f t="shared" si="11"/>
        <v>35.485433169053685</v>
      </c>
    </row>
    <row r="41" spans="1:16" x14ac:dyDescent="0.25">
      <c r="A41" s="155">
        <v>2023</v>
      </c>
      <c r="B41" s="176">
        <f t="shared" si="17"/>
        <v>12.66787686124529</v>
      </c>
      <c r="C41" s="160">
        <f t="shared" ref="C41:H41" si="23">$I$41*C18</f>
        <v>8.6543327025564611</v>
      </c>
      <c r="D41" s="160">
        <f t="shared" si="23"/>
        <v>0.60083838968035919</v>
      </c>
      <c r="E41" s="161">
        <f t="shared" si="23"/>
        <v>13.118597061761125</v>
      </c>
      <c r="F41" s="160">
        <f t="shared" si="23"/>
        <v>1.1158919901493765</v>
      </c>
      <c r="G41" s="160">
        <f t="shared" si="23"/>
        <v>0</v>
      </c>
      <c r="H41" s="162">
        <f t="shared" si="23"/>
        <v>0</v>
      </c>
      <c r="I41" s="163">
        <f>'timbulan sampah'!E17</f>
        <v>36.558959999999999</v>
      </c>
      <c r="J41" s="164">
        <f t="shared" si="11"/>
        <v>36.157537005392612</v>
      </c>
    </row>
    <row r="42" spans="1:16" x14ac:dyDescent="0.25">
      <c r="A42" s="155">
        <v>2024</v>
      </c>
      <c r="B42" s="176">
        <f t="shared" si="17"/>
        <v>13.181762362367603</v>
      </c>
      <c r="C42" s="160">
        <f t="shared" ref="C42:H42" si="24">$I$42*C19</f>
        <v>8.6075981299246944</v>
      </c>
      <c r="D42" s="160">
        <f t="shared" si="24"/>
        <v>0.62960991956449452</v>
      </c>
      <c r="E42" s="161">
        <f t="shared" si="24"/>
        <v>13.206808617257346</v>
      </c>
      <c r="F42" s="160">
        <f t="shared" si="24"/>
        <v>1.2199203455774268</v>
      </c>
      <c r="G42" s="160">
        <f t="shared" si="24"/>
        <v>0</v>
      </c>
      <c r="H42" s="162">
        <f t="shared" si="24"/>
        <v>0</v>
      </c>
      <c r="I42" s="163">
        <f>'timbulan sampah'!E18</f>
        <v>37.248040000000003</v>
      </c>
      <c r="J42" s="164">
        <f t="shared" si="11"/>
        <v>36.845699374691563</v>
      </c>
    </row>
    <row r="43" spans="1:16" x14ac:dyDescent="0.25">
      <c r="A43" s="155">
        <v>2025</v>
      </c>
      <c r="B43" s="176">
        <f t="shared" si="17"/>
        <v>13.708957023001373</v>
      </c>
      <c r="C43" s="160">
        <f t="shared" ref="C43:H43" si="25">$I$43*C20</f>
        <v>8.5581859627341608</v>
      </c>
      <c r="D43" s="160">
        <f t="shared" si="25"/>
        <v>0.65953339567000757</v>
      </c>
      <c r="E43" s="161">
        <f t="shared" si="25"/>
        <v>13.291063013202837</v>
      </c>
      <c r="F43" s="160">
        <f t="shared" si="25"/>
        <v>1.3331902524824664</v>
      </c>
      <c r="G43" s="160">
        <f t="shared" si="25"/>
        <v>0</v>
      </c>
      <c r="H43" s="162">
        <f t="shared" si="25"/>
        <v>0</v>
      </c>
      <c r="I43" s="163">
        <f>'timbulan sampah'!E19</f>
        <v>37.93712</v>
      </c>
      <c r="J43" s="164">
        <f t="shared" si="11"/>
        <v>37.55092964709084</v>
      </c>
    </row>
    <row r="44" spans="1:16" x14ac:dyDescent="0.25">
      <c r="A44" s="155">
        <v>2026</v>
      </c>
      <c r="B44" s="176">
        <f t="shared" si="17"/>
        <v>14.24941423151223</v>
      </c>
      <c r="C44" s="160">
        <f t="shared" ref="C44:H44" si="26">$I$44*C21</f>
        <v>8.506250126817184</v>
      </c>
      <c r="D44" s="160">
        <f t="shared" si="26"/>
        <v>0.69065110925636863</v>
      </c>
      <c r="E44" s="161">
        <f t="shared" si="26"/>
        <v>13.371441938356538</v>
      </c>
      <c r="F44" s="160">
        <f t="shared" si="26"/>
        <v>1.4564966102740597</v>
      </c>
      <c r="G44" s="160">
        <f t="shared" si="26"/>
        <v>0</v>
      </c>
      <c r="H44" s="162">
        <f t="shared" si="26"/>
        <v>0</v>
      </c>
      <c r="I44" s="163">
        <f>'timbulan sampah'!E20</f>
        <v>38.626200000000004</v>
      </c>
      <c r="J44" s="164">
        <f t="shared" si="11"/>
        <v>38.274254016216375</v>
      </c>
    </row>
    <row r="45" spans="1:16" x14ac:dyDescent="0.25">
      <c r="A45" s="155">
        <v>2027</v>
      </c>
      <c r="B45" s="176">
        <f t="shared" si="17"/>
        <v>14.803044068256533</v>
      </c>
      <c r="C45" s="160">
        <f t="shared" ref="C45:H45" si="27">$I$45*C22</f>
        <v>8.4519387378331228</v>
      </c>
      <c r="D45" s="160">
        <f t="shared" si="27"/>
        <v>0.72300682651651949</v>
      </c>
      <c r="E45" s="161">
        <f t="shared" si="27"/>
        <v>13.448025697658283</v>
      </c>
      <c r="F45" s="160">
        <f t="shared" si="27"/>
        <v>1.5907011254477466</v>
      </c>
      <c r="G45" s="160">
        <f t="shared" si="27"/>
        <v>0</v>
      </c>
      <c r="H45" s="162">
        <f t="shared" si="27"/>
        <v>0</v>
      </c>
      <c r="I45" s="163">
        <f>'timbulan sampah'!E21</f>
        <v>39.315280000000008</v>
      </c>
      <c r="J45" s="164">
        <f t="shared" si="11"/>
        <v>39.016716455712206</v>
      </c>
    </row>
    <row r="46" spans="1:16" x14ac:dyDescent="0.25">
      <c r="A46" s="155">
        <v>2028</v>
      </c>
      <c r="B46" s="176">
        <f t="shared" si="17"/>
        <v>15.369708499644572</v>
      </c>
      <c r="C46" s="160">
        <f t="shared" ref="C46:H46" si="28">$I$46*C23</f>
        <v>8.3953942906428676</v>
      </c>
      <c r="D46" s="160">
        <f t="shared" si="28"/>
        <v>0.75664583829700505</v>
      </c>
      <c r="E46" s="161">
        <f t="shared" si="28"/>
        <v>13.52089323359575</v>
      </c>
      <c r="F46" s="160">
        <f t="shared" si="28"/>
        <v>1.7367378294006408</v>
      </c>
      <c r="G46" s="160">
        <f t="shared" si="28"/>
        <v>0</v>
      </c>
      <c r="H46" s="161">
        <f t="shared" si="28"/>
        <v>0</v>
      </c>
      <c r="I46" s="163">
        <f>'timbulan sampah'!E22</f>
        <v>40.004359999999998</v>
      </c>
      <c r="J46" s="164">
        <f t="shared" si="11"/>
        <v>39.779379691580829</v>
      </c>
    </row>
    <row r="47" spans="1:16" x14ac:dyDescent="0.25">
      <c r="A47" s="155">
        <v>2029</v>
      </c>
      <c r="B47" s="176">
        <f t="shared" si="17"/>
        <v>15.949216143643184</v>
      </c>
      <c r="C47" s="160">
        <f t="shared" ref="C47:H47" si="29">$I$47*C24</f>
        <v>8.3367538429602117</v>
      </c>
      <c r="D47" s="160">
        <f t="shared" si="29"/>
        <v>0.79161501145414059</v>
      </c>
      <c r="E47" s="161">
        <f t="shared" si="29"/>
        <v>13.590122147258864</v>
      </c>
      <c r="F47" s="160">
        <f t="shared" si="29"/>
        <v>1.8956190458331472</v>
      </c>
      <c r="G47" s="160">
        <f t="shared" si="29"/>
        <v>0</v>
      </c>
      <c r="H47" s="161">
        <f t="shared" si="29"/>
        <v>0</v>
      </c>
      <c r="I47" s="163">
        <f>'timbulan sampah'!E23</f>
        <v>40.693440000000002</v>
      </c>
      <c r="J47" s="164">
        <f t="shared" si="11"/>
        <v>40.56332619114955</v>
      </c>
    </row>
    <row r="48" spans="1:16" x14ac:dyDescent="0.25">
      <c r="A48" s="155">
        <v>2030</v>
      </c>
      <c r="B48" s="176">
        <f t="shared" si="17"/>
        <v>16.553008000000002</v>
      </c>
      <c r="C48" s="160">
        <f t="shared" ref="C48:H48" si="30">$I$48*C25</f>
        <v>8.276504000000001</v>
      </c>
      <c r="D48" s="160">
        <f t="shared" si="30"/>
        <v>0.82765040000000012</v>
      </c>
      <c r="E48" s="161">
        <f t="shared" si="30"/>
        <v>13.656231600000003</v>
      </c>
      <c r="F48" s="160">
        <f t="shared" si="30"/>
        <v>2.0691260000000002</v>
      </c>
      <c r="G48" s="160">
        <f t="shared" si="30"/>
        <v>0</v>
      </c>
      <c r="H48" s="161">
        <f t="shared" si="30"/>
        <v>0</v>
      </c>
      <c r="I48" s="163">
        <f>'timbulan sampah'!E24</f>
        <v>41.382520000000007</v>
      </c>
      <c r="J48" s="164">
        <f t="shared" si="11"/>
        <v>41.38252</v>
      </c>
    </row>
    <row r="50" spans="2:6" x14ac:dyDescent="0.25">
      <c r="B50" s="177">
        <f>B29*1000</f>
        <v>9228.7291600000008</v>
      </c>
      <c r="E50" s="155">
        <v>2017</v>
      </c>
      <c r="F50" s="177">
        <f>F35*1000</f>
        <v>648.48960000000011</v>
      </c>
    </row>
    <row r="51" spans="2:6" x14ac:dyDescent="0.25">
      <c r="B51" s="177">
        <f t="shared" ref="B51:B69" si="31">B30*1000</f>
        <v>9358.7094800000013</v>
      </c>
      <c r="E51" s="155">
        <v>2018</v>
      </c>
      <c r="F51" s="177">
        <f t="shared" ref="F51:F63" si="32">F36*1000</f>
        <v>710.61699759999999</v>
      </c>
    </row>
    <row r="52" spans="2:6" x14ac:dyDescent="0.25">
      <c r="B52" s="177">
        <f t="shared" si="31"/>
        <v>9495.9601000000002</v>
      </c>
      <c r="E52" s="155">
        <v>2019</v>
      </c>
      <c r="F52" s="177">
        <f t="shared" si="32"/>
        <v>778.35919417119999</v>
      </c>
    </row>
    <row r="53" spans="2:6" x14ac:dyDescent="0.25">
      <c r="B53" s="177">
        <f t="shared" si="31"/>
        <v>9616.9631800000006</v>
      </c>
      <c r="E53" s="155">
        <v>2020</v>
      </c>
      <c r="F53" s="177">
        <f t="shared" si="32"/>
        <v>852.20487346158473</v>
      </c>
    </row>
    <row r="54" spans="2:6" x14ac:dyDescent="0.25">
      <c r="B54" s="177">
        <f t="shared" si="31"/>
        <v>9750.7367000000013</v>
      </c>
      <c r="E54" s="155">
        <v>2021</v>
      </c>
      <c r="F54" s="177">
        <f t="shared" si="32"/>
        <v>932.68414578262741</v>
      </c>
    </row>
    <row r="55" spans="2:6" x14ac:dyDescent="0.25">
      <c r="B55" s="177">
        <f t="shared" si="31"/>
        <v>9862.3832199999997</v>
      </c>
      <c r="E55" s="155">
        <v>2022</v>
      </c>
      <c r="F55" s="177">
        <f t="shared" si="32"/>
        <v>1020.3719920918654</v>
      </c>
    </row>
    <row r="56" spans="2:6" x14ac:dyDescent="0.25">
      <c r="B56" s="177">
        <f t="shared" si="31"/>
        <v>9862.2476702640015</v>
      </c>
      <c r="E56" s="155">
        <v>2023</v>
      </c>
      <c r="F56" s="177">
        <f t="shared" si="32"/>
        <v>1115.8919901493764</v>
      </c>
    </row>
    <row r="57" spans="2:6" x14ac:dyDescent="0.25">
      <c r="B57" s="177">
        <f t="shared" si="31"/>
        <v>10297.212624920478</v>
      </c>
      <c r="E57" s="155">
        <v>2024</v>
      </c>
      <c r="F57" s="177">
        <f t="shared" si="32"/>
        <v>1219.9203455774268</v>
      </c>
    </row>
    <row r="58" spans="2:6" x14ac:dyDescent="0.25">
      <c r="B58" s="177">
        <f t="shared" si="31"/>
        <v>10745.079883660852</v>
      </c>
      <c r="E58" s="155">
        <v>2025</v>
      </c>
      <c r="F58" s="177">
        <f t="shared" si="32"/>
        <v>1333.1902524824663</v>
      </c>
    </row>
    <row r="59" spans="2:6" x14ac:dyDescent="0.25">
      <c r="B59" s="177">
        <f t="shared" si="31"/>
        <v>11205.981900690886</v>
      </c>
      <c r="E59" s="155">
        <v>2026</v>
      </c>
      <c r="F59" s="177">
        <f t="shared" si="32"/>
        <v>1456.4966102740598</v>
      </c>
    </row>
    <row r="60" spans="2:6" x14ac:dyDescent="0.25">
      <c r="B60" s="177">
        <f t="shared" si="31"/>
        <v>11680.029340942243</v>
      </c>
      <c r="E60" s="155">
        <v>2027</v>
      </c>
      <c r="F60" s="177">
        <f t="shared" si="32"/>
        <v>1590.7011254477466</v>
      </c>
    </row>
    <row r="61" spans="2:6" x14ac:dyDescent="0.25">
      <c r="B61" s="177">
        <f t="shared" si="31"/>
        <v>12167.308233596699</v>
      </c>
      <c r="E61" s="155">
        <v>2028</v>
      </c>
      <c r="F61" s="177">
        <f t="shared" si="32"/>
        <v>1736.7378294006407</v>
      </c>
    </row>
    <row r="62" spans="2:6" x14ac:dyDescent="0.25">
      <c r="B62" s="177">
        <f t="shared" si="31"/>
        <v>12667.87686124529</v>
      </c>
      <c r="E62" s="155">
        <v>2029</v>
      </c>
      <c r="F62" s="177">
        <f t="shared" si="32"/>
        <v>1895.6190458331473</v>
      </c>
    </row>
    <row r="63" spans="2:6" x14ac:dyDescent="0.25">
      <c r="B63" s="177">
        <f t="shared" si="31"/>
        <v>13181.762362367603</v>
      </c>
      <c r="E63" s="155">
        <v>2030</v>
      </c>
      <c r="F63" s="177">
        <f t="shared" si="32"/>
        <v>2069.1260000000002</v>
      </c>
    </row>
    <row r="64" spans="2:6" x14ac:dyDescent="0.25">
      <c r="B64" s="177">
        <f t="shared" si="31"/>
        <v>13708.957023001372</v>
      </c>
      <c r="F64" s="178">
        <f>SUM(F50:F63)</f>
        <v>17360.410002272143</v>
      </c>
    </row>
    <row r="65" spans="2:6" x14ac:dyDescent="0.25">
      <c r="B65" s="177">
        <f t="shared" si="31"/>
        <v>14249.41423151223</v>
      </c>
      <c r="F65" s="179">
        <f>F64/14</f>
        <v>1240.0292858765818</v>
      </c>
    </row>
    <row r="66" spans="2:6" x14ac:dyDescent="0.25">
      <c r="B66" s="177">
        <f t="shared" si="31"/>
        <v>14803.044068256533</v>
      </c>
    </row>
    <row r="67" spans="2:6" x14ac:dyDescent="0.25">
      <c r="B67" s="177">
        <f t="shared" si="31"/>
        <v>15369.708499644572</v>
      </c>
    </row>
    <row r="68" spans="2:6" x14ac:dyDescent="0.25">
      <c r="B68" s="177">
        <f t="shared" si="31"/>
        <v>15949.216143643185</v>
      </c>
    </row>
    <row r="69" spans="2:6" x14ac:dyDescent="0.25">
      <c r="B69" s="177">
        <f t="shared" si="31"/>
        <v>16553.008000000002</v>
      </c>
    </row>
    <row r="70" spans="2:6" x14ac:dyDescent="0.25">
      <c r="B70" s="178">
        <f>SUM(B50:B69)</f>
        <v>239754.32868374593</v>
      </c>
    </row>
    <row r="71" spans="2:6" x14ac:dyDescent="0.25">
      <c r="B71" s="179">
        <f>B70/20</f>
        <v>11987.716434187296</v>
      </c>
    </row>
  </sheetData>
  <mergeCells count="7">
    <mergeCell ref="A2:I2"/>
    <mergeCell ref="A27:A28"/>
    <mergeCell ref="B27:H27"/>
    <mergeCell ref="I4:I5"/>
    <mergeCell ref="I27:I28"/>
    <mergeCell ref="A4:A5"/>
    <mergeCell ref="B4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topLeftCell="A7" zoomScale="85" zoomScaleNormal="85" workbookViewId="0">
      <selection activeCell="G78" sqref="G78"/>
    </sheetView>
  </sheetViews>
  <sheetFormatPr defaultRowHeight="15" x14ac:dyDescent="0.25"/>
  <cols>
    <col min="1" max="1" width="9.42578125" style="94" bestFit="1" customWidth="1"/>
    <col min="2" max="2" width="11.5703125" style="94" bestFit="1" customWidth="1"/>
    <col min="3" max="3" width="11" style="94" bestFit="1" customWidth="1"/>
    <col min="4" max="4" width="12.7109375" style="94" bestFit="1" customWidth="1"/>
    <col min="5" max="5" width="12.42578125" style="94" customWidth="1"/>
    <col min="6" max="6" width="15.28515625" style="94" customWidth="1"/>
    <col min="7" max="7" width="14.7109375" style="94" customWidth="1"/>
    <col min="8" max="8" width="9.42578125" style="94" bestFit="1" customWidth="1"/>
    <col min="9" max="9" width="13.42578125" style="94" customWidth="1"/>
    <col min="10" max="10" width="10.28515625" style="94" bestFit="1" customWidth="1"/>
    <col min="11" max="14" width="9.42578125" style="94" bestFit="1" customWidth="1"/>
    <col min="15" max="15" width="9.140625" style="94"/>
    <col min="16" max="19" width="9.42578125" style="94" bestFit="1" customWidth="1"/>
    <col min="20" max="23" width="9.140625" style="94"/>
    <col min="24" max="24" width="9.5703125" style="94" bestFit="1" customWidth="1"/>
    <col min="25" max="16384" width="9.140625" style="94"/>
  </cols>
  <sheetData>
    <row r="2" spans="1:24" x14ac:dyDescent="0.25">
      <c r="A2" s="101" t="s">
        <v>116</v>
      </c>
      <c r="B2" s="101"/>
      <c r="C2" s="101"/>
      <c r="D2" s="102"/>
      <c r="E2" s="102"/>
      <c r="F2" s="102"/>
      <c r="G2" s="102"/>
      <c r="H2" s="102"/>
      <c r="I2" s="102"/>
    </row>
    <row r="3" spans="1:24" x14ac:dyDescent="0.25">
      <c r="A3" s="103"/>
    </row>
    <row r="4" spans="1:24" x14ac:dyDescent="0.25">
      <c r="A4" s="104" t="s">
        <v>125</v>
      </c>
    </row>
    <row r="6" spans="1:24" ht="35.25" customHeight="1" x14ac:dyDescent="0.25">
      <c r="A6" s="201" t="s">
        <v>10</v>
      </c>
      <c r="B6" s="207" t="s">
        <v>117</v>
      </c>
      <c r="C6" s="207"/>
      <c r="D6" s="207"/>
      <c r="E6" s="105" t="s">
        <v>113</v>
      </c>
      <c r="F6" s="201" t="s">
        <v>10</v>
      </c>
      <c r="G6" s="207" t="s">
        <v>110</v>
      </c>
      <c r="H6" s="207"/>
      <c r="I6" s="207"/>
      <c r="J6" s="95" t="s">
        <v>114</v>
      </c>
      <c r="K6" s="201" t="s">
        <v>10</v>
      </c>
      <c r="L6" s="207" t="s">
        <v>111</v>
      </c>
      <c r="M6" s="207"/>
      <c r="N6" s="207"/>
      <c r="O6" s="95" t="s">
        <v>114</v>
      </c>
      <c r="P6" s="201" t="s">
        <v>10</v>
      </c>
      <c r="Q6" s="207" t="s">
        <v>155</v>
      </c>
      <c r="R6" s="207"/>
      <c r="S6" s="207"/>
      <c r="X6" s="96"/>
    </row>
    <row r="7" spans="1:24" ht="18" x14ac:dyDescent="0.25">
      <c r="A7" s="201"/>
      <c r="B7" s="201" t="s">
        <v>128</v>
      </c>
      <c r="C7" s="201"/>
      <c r="D7" s="207" t="s">
        <v>129</v>
      </c>
      <c r="E7" s="106"/>
      <c r="F7" s="201"/>
      <c r="G7" s="201" t="s">
        <v>128</v>
      </c>
      <c r="H7" s="201"/>
      <c r="I7" s="207" t="s">
        <v>129</v>
      </c>
      <c r="K7" s="201"/>
      <c r="L7" s="201" t="s">
        <v>128</v>
      </c>
      <c r="M7" s="201"/>
      <c r="N7" s="207" t="s">
        <v>129</v>
      </c>
      <c r="P7" s="201"/>
      <c r="Q7" s="201" t="s">
        <v>128</v>
      </c>
      <c r="R7" s="201"/>
      <c r="S7" s="207" t="s">
        <v>129</v>
      </c>
      <c r="X7" s="96"/>
    </row>
    <row r="8" spans="1:24" ht="18" x14ac:dyDescent="0.25">
      <c r="A8" s="201"/>
      <c r="B8" s="107" t="s">
        <v>130</v>
      </c>
      <c r="C8" s="107" t="s">
        <v>131</v>
      </c>
      <c r="D8" s="207"/>
      <c r="E8" s="108"/>
      <c r="F8" s="201"/>
      <c r="G8" s="107" t="s">
        <v>130</v>
      </c>
      <c r="H8" s="107" t="s">
        <v>131</v>
      </c>
      <c r="I8" s="207"/>
      <c r="K8" s="201"/>
      <c r="L8" s="107" t="s">
        <v>130</v>
      </c>
      <c r="M8" s="107" t="s">
        <v>131</v>
      </c>
      <c r="N8" s="207"/>
      <c r="P8" s="201"/>
      <c r="Q8" s="107" t="s">
        <v>130</v>
      </c>
      <c r="R8" s="107" t="s">
        <v>131</v>
      </c>
      <c r="S8" s="207"/>
    </row>
    <row r="9" spans="1:24" x14ac:dyDescent="0.25">
      <c r="A9" s="88">
        <v>2011</v>
      </c>
      <c r="B9" s="170">
        <f>[2]Results!O28</f>
        <v>0.40854687182108468</v>
      </c>
      <c r="C9" s="134">
        <f>B9*21</f>
        <v>8.5794843082427779</v>
      </c>
      <c r="D9" s="171">
        <f t="shared" ref="D9:D14" si="0">E9+C9</f>
        <v>8.5794843082427779</v>
      </c>
      <c r="E9" s="111"/>
      <c r="F9" s="88">
        <v>2011</v>
      </c>
      <c r="G9" s="170">
        <f>[3]Results!O28</f>
        <v>0</v>
      </c>
      <c r="H9" s="134">
        <f>G9*21</f>
        <v>0</v>
      </c>
      <c r="I9" s="171">
        <f t="shared" ref="I9:I14" si="1">J9+H9</f>
        <v>0</v>
      </c>
      <c r="K9" s="88">
        <v>2011</v>
      </c>
      <c r="L9" s="172">
        <f>[4]Results!O28</f>
        <v>0.28971802210507552</v>
      </c>
      <c r="M9" s="134">
        <f>L9*21</f>
        <v>6.0840784642065859</v>
      </c>
      <c r="N9" s="171">
        <f>O9+M9</f>
        <v>6.0840784642065859</v>
      </c>
      <c r="P9" s="88">
        <v>2011</v>
      </c>
      <c r="Q9" s="172">
        <f>[5]Results!O28</f>
        <v>0</v>
      </c>
      <c r="R9" s="134">
        <f>Q9*21</f>
        <v>0</v>
      </c>
      <c r="S9" s="171">
        <f>T9+R9</f>
        <v>0</v>
      </c>
    </row>
    <row r="10" spans="1:24" x14ac:dyDescent="0.25">
      <c r="A10" s="88">
        <v>2012</v>
      </c>
      <c r="B10" s="170">
        <f>[2]Results!O29</f>
        <v>0.42014833032823717</v>
      </c>
      <c r="C10" s="134">
        <f t="shared" ref="C10:C14" si="2">B10*21</f>
        <v>8.8231149368929813</v>
      </c>
      <c r="D10" s="171">
        <f t="shared" si="0"/>
        <v>8.8231149368929813</v>
      </c>
      <c r="E10" s="111"/>
      <c r="F10" s="88">
        <v>2012</v>
      </c>
      <c r="G10" s="170">
        <f>[3]Results!O29</f>
        <v>0</v>
      </c>
      <c r="H10" s="134">
        <f t="shared" ref="H10:H14" si="3">G10*21</f>
        <v>0</v>
      </c>
      <c r="I10" s="171">
        <f t="shared" si="1"/>
        <v>0</v>
      </c>
      <c r="K10" s="88">
        <v>2012</v>
      </c>
      <c r="L10" s="172">
        <f>[4]Results!O29</f>
        <v>0.29794511144061264</v>
      </c>
      <c r="M10" s="134">
        <f t="shared" ref="M10:M14" si="4">L10*21</f>
        <v>6.2568473402528655</v>
      </c>
      <c r="N10" s="171">
        <f t="shared" ref="N10:N14" si="5">O10+M10</f>
        <v>6.2568473402528655</v>
      </c>
      <c r="P10" s="88">
        <v>2012</v>
      </c>
      <c r="Q10" s="172">
        <f>[5]Results!O29</f>
        <v>0</v>
      </c>
      <c r="R10" s="134">
        <f t="shared" ref="R10:R14" si="6">Q10*21</f>
        <v>0</v>
      </c>
      <c r="S10" s="171">
        <f t="shared" ref="S10:S14" si="7">T10+R10</f>
        <v>0</v>
      </c>
    </row>
    <row r="11" spans="1:24" x14ac:dyDescent="0.25">
      <c r="A11" s="88">
        <v>2013</v>
      </c>
      <c r="B11" s="170">
        <f>[2]Results!O30</f>
        <v>0.43129182603980987</v>
      </c>
      <c r="C11" s="134">
        <f t="shared" si="2"/>
        <v>9.0571283468360075</v>
      </c>
      <c r="D11" s="171">
        <f t="shared" si="0"/>
        <v>9.0571283468360075</v>
      </c>
      <c r="E11" s="111"/>
      <c r="F11" s="88">
        <v>2013</v>
      </c>
      <c r="G11" s="170">
        <f>[3]Results!O30</f>
        <v>0</v>
      </c>
      <c r="H11" s="134">
        <f t="shared" si="3"/>
        <v>0</v>
      </c>
      <c r="I11" s="171">
        <f t="shared" si="1"/>
        <v>0</v>
      </c>
      <c r="K11" s="88">
        <v>2013</v>
      </c>
      <c r="L11" s="172">
        <f>[4]Results!O30</f>
        <v>0.30584743981361528</v>
      </c>
      <c r="M11" s="134">
        <f t="shared" si="4"/>
        <v>6.4227962360859205</v>
      </c>
      <c r="N11" s="171">
        <f t="shared" si="5"/>
        <v>6.4227962360859205</v>
      </c>
      <c r="P11" s="88">
        <v>2013</v>
      </c>
      <c r="Q11" s="172">
        <f>[5]Results!O30</f>
        <v>0</v>
      </c>
      <c r="R11" s="134">
        <f t="shared" si="6"/>
        <v>0</v>
      </c>
      <c r="S11" s="171">
        <f t="shared" si="7"/>
        <v>0</v>
      </c>
    </row>
    <row r="12" spans="1:24" x14ac:dyDescent="0.25">
      <c r="A12" s="88">
        <v>2014</v>
      </c>
      <c r="B12" s="170">
        <f>[2]Results!O31</f>
        <v>0.44211318407614153</v>
      </c>
      <c r="C12" s="134">
        <f t="shared" si="2"/>
        <v>9.284376865598972</v>
      </c>
      <c r="D12" s="171">
        <f t="shared" si="0"/>
        <v>9.284376865598972</v>
      </c>
      <c r="E12" s="111"/>
      <c r="F12" s="88">
        <v>2014</v>
      </c>
      <c r="G12" s="170">
        <f>[3]Results!O31</f>
        <v>0</v>
      </c>
      <c r="H12" s="134">
        <f t="shared" si="3"/>
        <v>0</v>
      </c>
      <c r="I12" s="171">
        <f t="shared" si="1"/>
        <v>0</v>
      </c>
      <c r="K12" s="88">
        <v>2014</v>
      </c>
      <c r="L12" s="172">
        <f>[4]Results!O31</f>
        <v>0.31352132661343846</v>
      </c>
      <c r="M12" s="134">
        <f t="shared" si="4"/>
        <v>6.5839478588822073</v>
      </c>
      <c r="N12" s="171">
        <f t="shared" si="5"/>
        <v>6.5839478588822073</v>
      </c>
      <c r="P12" s="88">
        <v>2014</v>
      </c>
      <c r="Q12" s="172">
        <f>[5]Results!O31</f>
        <v>0</v>
      </c>
      <c r="R12" s="134">
        <f t="shared" si="6"/>
        <v>0</v>
      </c>
      <c r="S12" s="171">
        <f t="shared" si="7"/>
        <v>0</v>
      </c>
    </row>
    <row r="13" spans="1:24" x14ac:dyDescent="0.25">
      <c r="A13" s="88">
        <v>2015</v>
      </c>
      <c r="B13" s="170">
        <f>[2]Results!O32</f>
        <v>0.45241066226191395</v>
      </c>
      <c r="C13" s="134">
        <f t="shared" si="2"/>
        <v>9.5006239075001933</v>
      </c>
      <c r="D13" s="171">
        <f t="shared" si="0"/>
        <v>9.5006239075001933</v>
      </c>
      <c r="E13" s="111"/>
      <c r="F13" s="88">
        <v>2015</v>
      </c>
      <c r="G13" s="170">
        <f>[3]Results!O32</f>
        <v>0</v>
      </c>
      <c r="H13" s="134">
        <f t="shared" si="3"/>
        <v>0</v>
      </c>
      <c r="I13" s="171">
        <f t="shared" si="1"/>
        <v>0</v>
      </c>
      <c r="K13" s="88">
        <v>2015</v>
      </c>
      <c r="L13" s="172">
        <f>[4]Results!O32</f>
        <v>0.3208237078539406</v>
      </c>
      <c r="M13" s="134">
        <f t="shared" si="4"/>
        <v>6.7372978649327528</v>
      </c>
      <c r="N13" s="171">
        <f t="shared" si="5"/>
        <v>6.7372978649327528</v>
      </c>
      <c r="P13" s="88">
        <v>2015</v>
      </c>
      <c r="Q13" s="172">
        <f>[5]Results!O32</f>
        <v>0</v>
      </c>
      <c r="R13" s="134">
        <f t="shared" si="6"/>
        <v>0</v>
      </c>
      <c r="S13" s="171">
        <f t="shared" si="7"/>
        <v>0</v>
      </c>
    </row>
    <row r="14" spans="1:24" x14ac:dyDescent="0.25">
      <c r="A14" s="88">
        <v>2016</v>
      </c>
      <c r="B14" s="170">
        <f>[2]Results!O33</f>
        <v>0.46243521724237086</v>
      </c>
      <c r="C14" s="134">
        <f t="shared" si="2"/>
        <v>9.7111395620897873</v>
      </c>
      <c r="D14" s="171">
        <f t="shared" si="0"/>
        <v>9.7111395620897873</v>
      </c>
      <c r="E14" s="111"/>
      <c r="F14" s="88">
        <v>2016</v>
      </c>
      <c r="G14" s="170">
        <f>[3]Results!O33</f>
        <v>0</v>
      </c>
      <c r="H14" s="134">
        <f t="shared" si="3"/>
        <v>0</v>
      </c>
      <c r="I14" s="171">
        <f t="shared" si="1"/>
        <v>0</v>
      </c>
      <c r="K14" s="88">
        <v>2016</v>
      </c>
      <c r="L14" s="172">
        <f>[4]Results!O33</f>
        <v>0.32793254760218243</v>
      </c>
      <c r="M14" s="134">
        <f t="shared" si="4"/>
        <v>6.8865834996458313</v>
      </c>
      <c r="N14" s="171">
        <f t="shared" si="5"/>
        <v>6.8865834996458313</v>
      </c>
      <c r="P14" s="88">
        <v>2016</v>
      </c>
      <c r="Q14" s="172">
        <f>[5]Results!O33</f>
        <v>0</v>
      </c>
      <c r="R14" s="134">
        <f t="shared" si="6"/>
        <v>0</v>
      </c>
      <c r="S14" s="171">
        <f t="shared" si="7"/>
        <v>0</v>
      </c>
    </row>
    <row r="15" spans="1:24" x14ac:dyDescent="0.25">
      <c r="A15" s="88">
        <v>2017</v>
      </c>
      <c r="B15" s="170">
        <f>[2]Results!O34</f>
        <v>0.4719119480601966</v>
      </c>
      <c r="C15" s="134">
        <f t="shared" ref="C15:C29" si="8">B15*21</f>
        <v>9.9101509092641287</v>
      </c>
      <c r="D15" s="171">
        <f t="shared" ref="D15:D29" si="9">E15+C15</f>
        <v>9.9101509092641287</v>
      </c>
      <c r="E15" s="111"/>
      <c r="F15" s="88">
        <v>2017</v>
      </c>
      <c r="G15" s="170">
        <f>[3]Results!O34</f>
        <v>0</v>
      </c>
      <c r="H15" s="134">
        <f t="shared" ref="H15:H29" si="10">G15*21</f>
        <v>0</v>
      </c>
      <c r="I15" s="171">
        <f t="shared" ref="I15:I29" si="11">J15+H15</f>
        <v>0</v>
      </c>
      <c r="K15" s="88">
        <v>2017</v>
      </c>
      <c r="L15" s="172">
        <f>[4]Results!O34</f>
        <v>0.33465290185755681</v>
      </c>
      <c r="M15" s="134">
        <f t="shared" ref="M15:M29" si="12">L15*21</f>
        <v>7.0277109390086929</v>
      </c>
      <c r="N15" s="171">
        <f t="shared" ref="N15:N29" si="13">O15+M15</f>
        <v>7.0277109390086929</v>
      </c>
      <c r="P15" s="88">
        <v>2017</v>
      </c>
      <c r="Q15" s="172">
        <f>[5]Results!O34</f>
        <v>0</v>
      </c>
      <c r="R15" s="134">
        <f t="shared" ref="R15:R29" si="14">Q15*21</f>
        <v>0</v>
      </c>
      <c r="S15" s="171">
        <f t="shared" ref="S15:S29" si="15">T15+R15</f>
        <v>0</v>
      </c>
    </row>
    <row r="16" spans="1:24" x14ac:dyDescent="0.25">
      <c r="A16" s="88">
        <v>2018</v>
      </c>
      <c r="B16" s="170">
        <f>[2]Results!O35</f>
        <v>0.47947194642519736</v>
      </c>
      <c r="C16" s="134">
        <f t="shared" si="8"/>
        <v>10.068910874929145</v>
      </c>
      <c r="D16" s="171">
        <f t="shared" si="9"/>
        <v>10.068910874929145</v>
      </c>
      <c r="E16" s="111"/>
      <c r="F16" s="88">
        <v>2018</v>
      </c>
      <c r="G16" s="170">
        <f>[3]Results!O35</f>
        <v>0</v>
      </c>
      <c r="H16" s="134">
        <f t="shared" si="10"/>
        <v>0</v>
      </c>
      <c r="I16" s="171">
        <f t="shared" si="11"/>
        <v>0</v>
      </c>
      <c r="K16" s="88">
        <v>2018</v>
      </c>
      <c r="L16" s="172">
        <f>[4]Results!O35</f>
        <v>0.34135324101060516</v>
      </c>
      <c r="M16" s="134">
        <f t="shared" si="12"/>
        <v>7.1684180612227086</v>
      </c>
      <c r="N16" s="171">
        <f t="shared" si="13"/>
        <v>7.1684180612227086</v>
      </c>
      <c r="P16" s="88">
        <v>2018</v>
      </c>
      <c r="Q16" s="172">
        <f>[5]Results!O35</f>
        <v>5.1315017070734997E-3</v>
      </c>
      <c r="R16" s="134">
        <f t="shared" si="14"/>
        <v>0.10776153584854349</v>
      </c>
      <c r="S16" s="171">
        <f t="shared" si="15"/>
        <v>0.10776153584854349</v>
      </c>
    </row>
    <row r="17" spans="1:19" x14ac:dyDescent="0.25">
      <c r="A17" s="88">
        <v>2019</v>
      </c>
      <c r="B17" s="170">
        <f>[2]Results!O36</f>
        <v>0.49136409071583631</v>
      </c>
      <c r="C17" s="134">
        <f t="shared" si="8"/>
        <v>10.318645905032563</v>
      </c>
      <c r="D17" s="171">
        <f t="shared" si="9"/>
        <v>10.318645905032563</v>
      </c>
      <c r="E17" s="111"/>
      <c r="F17" s="88">
        <v>2019</v>
      </c>
      <c r="G17" s="170">
        <f>[3]Results!O36</f>
        <v>0</v>
      </c>
      <c r="H17" s="134">
        <f t="shared" si="10"/>
        <v>0</v>
      </c>
      <c r="I17" s="171">
        <f t="shared" si="11"/>
        <v>0</v>
      </c>
      <c r="K17" s="88">
        <v>2019</v>
      </c>
      <c r="L17" s="172">
        <f>[4]Results!O36</f>
        <v>0.3463801915226038</v>
      </c>
      <c r="M17" s="134">
        <f t="shared" si="12"/>
        <v>7.2739840219746794</v>
      </c>
      <c r="N17" s="171">
        <f t="shared" si="13"/>
        <v>7.2739840219746794</v>
      </c>
      <c r="P17" s="88">
        <v>2019</v>
      </c>
      <c r="Q17" s="172">
        <f>[5]Results!O36</f>
        <v>9.2535426846156975E-3</v>
      </c>
      <c r="R17" s="134">
        <f t="shared" si="14"/>
        <v>0.19432439637692964</v>
      </c>
      <c r="S17" s="171">
        <f t="shared" si="15"/>
        <v>0.19432439637692964</v>
      </c>
    </row>
    <row r="18" spans="1:19" x14ac:dyDescent="0.25">
      <c r="A18" s="88">
        <v>2020</v>
      </c>
      <c r="B18" s="170">
        <f>[2]Results!O37</f>
        <v>0.50643663104533088</v>
      </c>
      <c r="C18" s="134">
        <f t="shared" si="8"/>
        <v>10.635169251951949</v>
      </c>
      <c r="D18" s="171">
        <f t="shared" si="9"/>
        <v>10.635169251951949</v>
      </c>
      <c r="E18" s="111"/>
      <c r="F18" s="88">
        <v>2020</v>
      </c>
      <c r="G18" s="170">
        <f>[3]Results!O37</f>
        <v>0</v>
      </c>
      <c r="H18" s="134">
        <f t="shared" si="10"/>
        <v>0</v>
      </c>
      <c r="I18" s="171">
        <f t="shared" si="11"/>
        <v>0</v>
      </c>
      <c r="K18" s="88">
        <v>2020</v>
      </c>
      <c r="L18" s="172">
        <f>[4]Results!O37</f>
        <v>0.35015351031447473</v>
      </c>
      <c r="M18" s="134">
        <f t="shared" si="12"/>
        <v>7.3532237166039689</v>
      </c>
      <c r="N18" s="171">
        <f t="shared" si="13"/>
        <v>7.3532237166039689</v>
      </c>
      <c r="P18" s="88">
        <v>2020</v>
      </c>
      <c r="Q18" s="172">
        <f>[5]Results!O37</f>
        <v>1.2738107532341602E-2</v>
      </c>
      <c r="R18" s="134">
        <f t="shared" si="14"/>
        <v>0.26750025817917361</v>
      </c>
      <c r="S18" s="171">
        <f t="shared" si="15"/>
        <v>0.26750025817917361</v>
      </c>
    </row>
    <row r="19" spans="1:19" x14ac:dyDescent="0.25">
      <c r="A19" s="88">
        <v>2021</v>
      </c>
      <c r="B19" s="170">
        <f>[2]Results!O38</f>
        <v>0.52391173959493442</v>
      </c>
      <c r="C19" s="134">
        <f t="shared" si="8"/>
        <v>11.002146531493622</v>
      </c>
      <c r="D19" s="171">
        <f t="shared" si="9"/>
        <v>11.002146531493622</v>
      </c>
      <c r="E19" s="111"/>
      <c r="F19" s="88">
        <v>2021</v>
      </c>
      <c r="G19" s="170">
        <f>[3]Results!O38</f>
        <v>0</v>
      </c>
      <c r="H19" s="134">
        <f t="shared" si="10"/>
        <v>0</v>
      </c>
      <c r="I19" s="171">
        <f t="shared" si="11"/>
        <v>0</v>
      </c>
      <c r="K19" s="88">
        <v>2021</v>
      </c>
      <c r="L19" s="172">
        <f>[4]Results!O38</f>
        <v>0.35296611240871406</v>
      </c>
      <c r="M19" s="134">
        <f t="shared" si="12"/>
        <v>7.4122883605829957</v>
      </c>
      <c r="N19" s="171">
        <f t="shared" si="13"/>
        <v>7.4122883605829957</v>
      </c>
      <c r="P19" s="88">
        <v>2021</v>
      </c>
      <c r="Q19" s="172">
        <f>[5]Results!O38</f>
        <v>1.584106033267978E-2</v>
      </c>
      <c r="R19" s="134">
        <f t="shared" si="14"/>
        <v>0.33266226698627538</v>
      </c>
      <c r="S19" s="171">
        <f t="shared" si="15"/>
        <v>0.33266226698627538</v>
      </c>
    </row>
    <row r="20" spans="1:19" x14ac:dyDescent="0.25">
      <c r="A20" s="88">
        <v>2022</v>
      </c>
      <c r="B20" s="170">
        <f>[2]Results!O39</f>
        <v>0.54326321330789407</v>
      </c>
      <c r="C20" s="134">
        <f t="shared" si="8"/>
        <v>11.408527479465775</v>
      </c>
      <c r="D20" s="171">
        <f t="shared" si="9"/>
        <v>11.408527479465775</v>
      </c>
      <c r="E20" s="111"/>
      <c r="F20" s="88">
        <v>2022</v>
      </c>
      <c r="G20" s="170">
        <f>[3]Results!O39</f>
        <v>0</v>
      </c>
      <c r="H20" s="134">
        <f t="shared" si="10"/>
        <v>0</v>
      </c>
      <c r="I20" s="171">
        <f t="shared" si="11"/>
        <v>0</v>
      </c>
      <c r="K20" s="88">
        <v>2022</v>
      </c>
      <c r="L20" s="172">
        <f>[4]Results!O39</f>
        <v>0.35502459095318967</v>
      </c>
      <c r="M20" s="134">
        <f t="shared" si="12"/>
        <v>7.4555164100169833</v>
      </c>
      <c r="N20" s="171">
        <f t="shared" si="13"/>
        <v>7.4555164100169833</v>
      </c>
      <c r="P20" s="88">
        <v>2022</v>
      </c>
      <c r="Q20" s="172">
        <f>[5]Results!O39</f>
        <v>1.874052724185897E-2</v>
      </c>
      <c r="R20" s="134">
        <f t="shared" si="14"/>
        <v>0.39355107207903839</v>
      </c>
      <c r="S20" s="171">
        <f t="shared" si="15"/>
        <v>0.39355107207903839</v>
      </c>
    </row>
    <row r="21" spans="1:19" x14ac:dyDescent="0.25">
      <c r="A21" s="88">
        <v>2023</v>
      </c>
      <c r="B21" s="170">
        <f>[2]Results!O40</f>
        <v>0.56413425028062425</v>
      </c>
      <c r="C21" s="134">
        <f t="shared" si="8"/>
        <v>11.846819255893109</v>
      </c>
      <c r="D21" s="171">
        <f t="shared" si="9"/>
        <v>11.846819255893109</v>
      </c>
      <c r="E21" s="111"/>
      <c r="F21" s="88">
        <v>2023</v>
      </c>
      <c r="G21" s="170">
        <f>[3]Results!O40</f>
        <v>0</v>
      </c>
      <c r="H21" s="134">
        <f t="shared" si="10"/>
        <v>0</v>
      </c>
      <c r="I21" s="171">
        <f t="shared" si="11"/>
        <v>0</v>
      </c>
      <c r="K21" s="88">
        <v>2023</v>
      </c>
      <c r="L21" s="172">
        <f>[4]Results!O40</f>
        <v>0.35647655915561949</v>
      </c>
      <c r="M21" s="134">
        <f t="shared" si="12"/>
        <v>7.4860077422680096</v>
      </c>
      <c r="N21" s="171">
        <f t="shared" si="13"/>
        <v>7.4860077422680096</v>
      </c>
      <c r="P21" s="88">
        <v>2023</v>
      </c>
      <c r="Q21" s="172">
        <f>[5]Results!O40</f>
        <v>2.1562702032019553E-2</v>
      </c>
      <c r="R21" s="134">
        <f t="shared" si="14"/>
        <v>0.45281674267241062</v>
      </c>
      <c r="S21" s="171">
        <f t="shared" si="15"/>
        <v>0.45281674267241062</v>
      </c>
    </row>
    <row r="22" spans="1:19" x14ac:dyDescent="0.25">
      <c r="A22" s="88">
        <v>2024</v>
      </c>
      <c r="B22" s="170">
        <f>[2]Results!O41</f>
        <v>0.58628211555377474</v>
      </c>
      <c r="C22" s="134">
        <f t="shared" si="8"/>
        <v>12.31192442662927</v>
      </c>
      <c r="D22" s="171">
        <f t="shared" si="9"/>
        <v>12.31192442662927</v>
      </c>
      <c r="E22" s="111"/>
      <c r="F22" s="88">
        <v>2024</v>
      </c>
      <c r="G22" s="170">
        <f>[3]Results!O41</f>
        <v>0</v>
      </c>
      <c r="H22" s="134">
        <f t="shared" si="10"/>
        <v>0</v>
      </c>
      <c r="I22" s="171">
        <f t="shared" si="11"/>
        <v>0</v>
      </c>
      <c r="K22" s="88">
        <v>2024</v>
      </c>
      <c r="L22" s="172">
        <f>[4]Results!O41</f>
        <v>0.35742913144476707</v>
      </c>
      <c r="M22" s="134">
        <f t="shared" si="12"/>
        <v>7.5060117603401082</v>
      </c>
      <c r="N22" s="171">
        <f t="shared" si="13"/>
        <v>7.5060117603401082</v>
      </c>
      <c r="P22" s="88">
        <v>2024</v>
      </c>
      <c r="Q22" s="172">
        <f>[5]Results!O41</f>
        <v>2.4399216740838926E-2</v>
      </c>
      <c r="R22" s="134">
        <f t="shared" si="14"/>
        <v>0.5123835515576175</v>
      </c>
      <c r="S22" s="171">
        <f t="shared" si="15"/>
        <v>0.5123835515576175</v>
      </c>
    </row>
    <row r="23" spans="1:19" x14ac:dyDescent="0.25">
      <c r="A23" s="88">
        <v>2025</v>
      </c>
      <c r="B23" s="170">
        <f>[2]Results!O42</f>
        <v>0.60954085336436648</v>
      </c>
      <c r="C23" s="134">
        <f t="shared" si="8"/>
        <v>12.800357920651695</v>
      </c>
      <c r="D23" s="171">
        <f t="shared" si="9"/>
        <v>12.800357920651695</v>
      </c>
      <c r="E23" s="111"/>
      <c r="F23" s="88">
        <v>2025</v>
      </c>
      <c r="G23" s="170">
        <f>[3]Results!O42</f>
        <v>0</v>
      </c>
      <c r="H23" s="134">
        <f t="shared" si="10"/>
        <v>0</v>
      </c>
      <c r="I23" s="171">
        <f t="shared" si="11"/>
        <v>0</v>
      </c>
      <c r="K23" s="88">
        <v>2025</v>
      </c>
      <c r="L23" s="172">
        <f>[4]Results!O42</f>
        <v>0.35796144205040736</v>
      </c>
      <c r="M23" s="134">
        <f t="shared" si="12"/>
        <v>7.5171902830585546</v>
      </c>
      <c r="N23" s="171">
        <f t="shared" si="13"/>
        <v>7.5171902830585546</v>
      </c>
      <c r="P23" s="88">
        <v>2025</v>
      </c>
      <c r="Q23" s="172">
        <f>[5]Results!O42</f>
        <v>2.7318855290089889E-2</v>
      </c>
      <c r="R23" s="134">
        <f t="shared" si="14"/>
        <v>0.5736959610918877</v>
      </c>
      <c r="S23" s="171">
        <f t="shared" si="15"/>
        <v>0.5736959610918877</v>
      </c>
    </row>
    <row r="24" spans="1:19" x14ac:dyDescent="0.25">
      <c r="A24" s="88">
        <v>2026</v>
      </c>
      <c r="B24" s="170">
        <f>[2]Results!O43</f>
        <v>0.63379611375513167</v>
      </c>
      <c r="C24" s="134">
        <f t="shared" si="8"/>
        <v>13.309718388857766</v>
      </c>
      <c r="D24" s="171">
        <f t="shared" si="9"/>
        <v>13.309718388857766</v>
      </c>
      <c r="E24" s="111"/>
      <c r="F24" s="88">
        <v>2026</v>
      </c>
      <c r="G24" s="170">
        <f>[3]Results!O43</f>
        <v>0</v>
      </c>
      <c r="H24" s="134">
        <f t="shared" si="10"/>
        <v>0</v>
      </c>
      <c r="I24" s="171">
        <f t="shared" si="11"/>
        <v>0</v>
      </c>
      <c r="K24" s="88">
        <v>2026</v>
      </c>
      <c r="L24" s="172">
        <f>[4]Results!O43</f>
        <v>0.35813314727171497</v>
      </c>
      <c r="M24" s="134">
        <f t="shared" si="12"/>
        <v>7.5207960927060142</v>
      </c>
      <c r="N24" s="171">
        <f t="shared" si="13"/>
        <v>7.5207960927060142</v>
      </c>
      <c r="P24" s="88">
        <v>2026</v>
      </c>
      <c r="Q24" s="172">
        <f>[5]Results!O43</f>
        <v>3.0375473269579026E-2</v>
      </c>
      <c r="R24" s="134">
        <f t="shared" si="14"/>
        <v>0.63788493866115958</v>
      </c>
      <c r="S24" s="171">
        <f t="shared" si="15"/>
        <v>0.63788493866115958</v>
      </c>
    </row>
    <row r="25" spans="1:19" x14ac:dyDescent="0.25">
      <c r="A25" s="88">
        <v>2027</v>
      </c>
      <c r="B25" s="170">
        <f>[2]Results!O44</f>
        <v>0.65896811324190019</v>
      </c>
      <c r="C25" s="134">
        <f t="shared" si="8"/>
        <v>13.838330378079904</v>
      </c>
      <c r="D25" s="171">
        <f t="shared" si="9"/>
        <v>13.838330378079904</v>
      </c>
      <c r="E25" s="111"/>
      <c r="F25" s="88">
        <v>2027</v>
      </c>
      <c r="G25" s="170">
        <f>[3]Results!O44</f>
        <v>0</v>
      </c>
      <c r="H25" s="134">
        <f t="shared" si="10"/>
        <v>0</v>
      </c>
      <c r="I25" s="171">
        <f t="shared" si="11"/>
        <v>0</v>
      </c>
      <c r="K25" s="88">
        <v>2027</v>
      </c>
      <c r="L25" s="172">
        <f>[4]Results!O44</f>
        <v>0.35799021905814205</v>
      </c>
      <c r="M25" s="134">
        <f t="shared" si="12"/>
        <v>7.5177946002209826</v>
      </c>
      <c r="N25" s="171">
        <f t="shared" si="13"/>
        <v>7.5177946002209826</v>
      </c>
      <c r="P25" s="88">
        <v>2027</v>
      </c>
      <c r="Q25" s="172">
        <f>[5]Results!O44</f>
        <v>3.3613373841614336E-2</v>
      </c>
      <c r="R25" s="134">
        <f t="shared" si="14"/>
        <v>0.70588085067390105</v>
      </c>
      <c r="S25" s="171">
        <f t="shared" si="15"/>
        <v>0.70588085067390105</v>
      </c>
    </row>
    <row r="26" spans="1:19" x14ac:dyDescent="0.25">
      <c r="A26" s="88">
        <v>2028</v>
      </c>
      <c r="B26" s="170">
        <f>[2]Results!O45</f>
        <v>0.68500005808417952</v>
      </c>
      <c r="C26" s="134">
        <f t="shared" si="8"/>
        <v>14.385001219767769</v>
      </c>
      <c r="D26" s="171">
        <f t="shared" si="9"/>
        <v>14.385001219767769</v>
      </c>
      <c r="E26" s="111"/>
      <c r="F26" s="88">
        <v>2028</v>
      </c>
      <c r="G26" s="170">
        <f>[3]Results!O45</f>
        <v>0</v>
      </c>
      <c r="H26" s="134">
        <f t="shared" si="10"/>
        <v>0</v>
      </c>
      <c r="I26" s="171">
        <f t="shared" si="11"/>
        <v>0</v>
      </c>
      <c r="K26" s="88">
        <v>2028</v>
      </c>
      <c r="L26" s="172">
        <f>[4]Results!O45</f>
        <v>0.35756890896328952</v>
      </c>
      <c r="M26" s="134">
        <f t="shared" si="12"/>
        <v>7.5089470882290801</v>
      </c>
      <c r="N26" s="171">
        <f t="shared" si="13"/>
        <v>7.5089470882290801</v>
      </c>
      <c r="P26" s="88">
        <v>2028</v>
      </c>
      <c r="Q26" s="172">
        <f>[5]Results!O45</f>
        <v>3.7070978553801294E-2</v>
      </c>
      <c r="R26" s="134">
        <f t="shared" si="14"/>
        <v>0.77849054962982722</v>
      </c>
      <c r="S26" s="171">
        <f t="shared" si="15"/>
        <v>0.77849054962982722</v>
      </c>
    </row>
    <row r="27" spans="1:19" x14ac:dyDescent="0.25">
      <c r="A27" s="88">
        <v>2029</v>
      </c>
      <c r="B27" s="170">
        <f>[2]Results!O46</f>
        <v>0.71185023647151191</v>
      </c>
      <c r="C27" s="134">
        <f t="shared" si="8"/>
        <v>14.94885496590175</v>
      </c>
      <c r="D27" s="171">
        <f t="shared" si="9"/>
        <v>14.94885496590175</v>
      </c>
      <c r="E27" s="111"/>
      <c r="F27" s="88">
        <v>2029</v>
      </c>
      <c r="G27" s="170">
        <f>[3]Results!O46</f>
        <v>0</v>
      </c>
      <c r="H27" s="134">
        <f t="shared" si="10"/>
        <v>0</v>
      </c>
      <c r="I27" s="171">
        <f t="shared" si="11"/>
        <v>0</v>
      </c>
      <c r="K27" s="88">
        <v>2029</v>
      </c>
      <c r="L27" s="172">
        <f>[4]Results!O46</f>
        <v>0.35689847386369733</v>
      </c>
      <c r="M27" s="134">
        <f t="shared" si="12"/>
        <v>7.4948679511376444</v>
      </c>
      <c r="N27" s="171">
        <f t="shared" si="13"/>
        <v>7.4948679511376444</v>
      </c>
      <c r="P27" s="88">
        <v>2029</v>
      </c>
      <c r="Q27" s="172">
        <f>[5]Results!O46</f>
        <v>4.0783356155108079E-2</v>
      </c>
      <c r="R27" s="134">
        <f t="shared" si="14"/>
        <v>0.85645047925726969</v>
      </c>
      <c r="S27" s="171">
        <f t="shared" si="15"/>
        <v>0.85645047925726969</v>
      </c>
    </row>
    <row r="28" spans="1:19" x14ac:dyDescent="0.25">
      <c r="A28" s="88">
        <v>2030</v>
      </c>
      <c r="B28" s="170">
        <f>[2]Results!O47</f>
        <v>0.73948657467158874</v>
      </c>
      <c r="C28" s="134">
        <f t="shared" si="8"/>
        <v>15.529218068103363</v>
      </c>
      <c r="D28" s="171">
        <f t="shared" si="9"/>
        <v>15.529218068103363</v>
      </c>
      <c r="E28" s="111"/>
      <c r="F28" s="88">
        <v>2030</v>
      </c>
      <c r="G28" s="170">
        <f>[3]Results!O47</f>
        <v>0</v>
      </c>
      <c r="H28" s="134">
        <f t="shared" si="10"/>
        <v>0</v>
      </c>
      <c r="I28" s="171">
        <f t="shared" si="11"/>
        <v>0</v>
      </c>
      <c r="K28" s="88">
        <v>2030</v>
      </c>
      <c r="L28" s="172">
        <f>[4]Results!O47</f>
        <v>0.35600306167205997</v>
      </c>
      <c r="M28" s="134">
        <f t="shared" si="12"/>
        <v>7.4760642951132592</v>
      </c>
      <c r="N28" s="171">
        <f t="shared" si="13"/>
        <v>7.4760642951132592</v>
      </c>
      <c r="P28" s="88">
        <v>2030</v>
      </c>
      <c r="Q28" s="172">
        <f>[5]Results!O47</f>
        <v>4.4783987646031351E-2</v>
      </c>
      <c r="R28" s="134">
        <f t="shared" si="14"/>
        <v>0.94046374056665838</v>
      </c>
      <c r="S28" s="171">
        <f t="shared" si="15"/>
        <v>0.94046374056665838</v>
      </c>
    </row>
    <row r="29" spans="1:19" x14ac:dyDescent="0.25">
      <c r="A29" s="88">
        <v>2031</v>
      </c>
      <c r="B29" s="149"/>
      <c r="C29" s="109">
        <f t="shared" si="8"/>
        <v>0</v>
      </c>
      <c r="D29" s="110">
        <f t="shared" si="9"/>
        <v>0</v>
      </c>
      <c r="E29" s="111"/>
      <c r="F29" s="88">
        <v>2031</v>
      </c>
      <c r="G29" s="149"/>
      <c r="H29" s="109">
        <f t="shared" si="10"/>
        <v>0</v>
      </c>
      <c r="I29" s="110">
        <f t="shared" si="11"/>
        <v>0</v>
      </c>
      <c r="K29" s="88">
        <v>2031</v>
      </c>
      <c r="L29" s="148"/>
      <c r="M29" s="109">
        <f t="shared" si="12"/>
        <v>0</v>
      </c>
      <c r="N29" s="110">
        <f t="shared" si="13"/>
        <v>0</v>
      </c>
      <c r="P29" s="88">
        <v>2031</v>
      </c>
      <c r="Q29" s="148"/>
      <c r="R29" s="112">
        <f t="shared" si="14"/>
        <v>0</v>
      </c>
      <c r="S29" s="113">
        <f t="shared" si="15"/>
        <v>0</v>
      </c>
    </row>
    <row r="31" spans="1:19" ht="15.75" thickBot="1" x14ac:dyDescent="0.3">
      <c r="A31" s="114" t="s">
        <v>126</v>
      </c>
    </row>
    <row r="32" spans="1:19" ht="15.75" thickBot="1" x14ac:dyDescent="0.3">
      <c r="A32" s="208" t="s">
        <v>10</v>
      </c>
      <c r="B32" s="210" t="s">
        <v>80</v>
      </c>
      <c r="C32" s="211"/>
      <c r="D32" s="211"/>
      <c r="E32" s="211"/>
      <c r="F32" s="212"/>
    </row>
    <row r="33" spans="1:6" ht="18.75" thickBot="1" x14ac:dyDescent="0.3">
      <c r="A33" s="209"/>
      <c r="B33" s="210" t="s">
        <v>128</v>
      </c>
      <c r="C33" s="212"/>
      <c r="D33" s="210" t="s">
        <v>132</v>
      </c>
      <c r="E33" s="212"/>
      <c r="F33" s="213" t="s">
        <v>129</v>
      </c>
    </row>
    <row r="34" spans="1:6" ht="18" x14ac:dyDescent="0.25">
      <c r="A34" s="209"/>
      <c r="B34" s="115" t="s">
        <v>130</v>
      </c>
      <c r="C34" s="115" t="s">
        <v>131</v>
      </c>
      <c r="D34" s="115" t="s">
        <v>133</v>
      </c>
      <c r="E34" s="115" t="s">
        <v>131</v>
      </c>
      <c r="F34" s="214"/>
    </row>
    <row r="35" spans="1:6" x14ac:dyDescent="0.25">
      <c r="A35" s="88">
        <v>2011</v>
      </c>
      <c r="B35" s="109">
        <f>[6]REKAPITULASI!B6</f>
        <v>1.5765624E-3</v>
      </c>
      <c r="C35" s="109">
        <f>B35*21</f>
        <v>3.31078104E-2</v>
      </c>
      <c r="D35" s="109">
        <f>[6]REKAPITULASI!D6</f>
        <v>1.1824218E-4</v>
      </c>
      <c r="E35" s="109">
        <f>D35*310</f>
        <v>3.6655075799999999E-2</v>
      </c>
      <c r="F35" s="171">
        <f>E35+C35</f>
        <v>6.9762886199999999E-2</v>
      </c>
    </row>
    <row r="36" spans="1:6" x14ac:dyDescent="0.25">
      <c r="A36" s="88">
        <v>2012</v>
      </c>
      <c r="B36" s="109">
        <f>[6]REKAPITULASI!B7</f>
        <v>1.5987672000000001E-3</v>
      </c>
      <c r="C36" s="109">
        <f t="shared" ref="C36:C45" si="16">B36*21</f>
        <v>3.3574111200000006E-2</v>
      </c>
      <c r="D36" s="109">
        <f>[6]REKAPITULASI!D7</f>
        <v>1.1990754000000001E-4</v>
      </c>
      <c r="E36" s="109">
        <f t="shared" ref="E36:E45" si="17">D36*310</f>
        <v>3.7171337400000004E-2</v>
      </c>
      <c r="F36" s="171">
        <f t="shared" ref="F36:F45" si="18">E36+C36</f>
        <v>7.074544860000001E-2</v>
      </c>
    </row>
    <row r="37" spans="1:6" x14ac:dyDescent="0.25">
      <c r="A37" s="88">
        <v>2013</v>
      </c>
      <c r="B37" s="109">
        <f>[6]REKAPITULASI!B8</f>
        <v>1.6222140000000001E-3</v>
      </c>
      <c r="C37" s="109">
        <f t="shared" si="16"/>
        <v>3.4066494000000003E-2</v>
      </c>
      <c r="D37" s="109">
        <f>[6]REKAPITULASI!D8</f>
        <v>1.2166605E-4</v>
      </c>
      <c r="E37" s="109">
        <f t="shared" si="17"/>
        <v>3.7716475499999999E-2</v>
      </c>
      <c r="F37" s="171">
        <f t="shared" si="18"/>
        <v>7.1782969500000002E-2</v>
      </c>
    </row>
    <row r="38" spans="1:6" x14ac:dyDescent="0.25">
      <c r="A38" s="88">
        <v>2014</v>
      </c>
      <c r="B38" s="109">
        <f>[6]REKAPITULASI!B9</f>
        <v>1.6428852000000002E-3</v>
      </c>
      <c r="C38" s="109">
        <f t="shared" si="16"/>
        <v>3.4500589200000008E-2</v>
      </c>
      <c r="D38" s="109">
        <f>[6]REKAPITULASI!D9</f>
        <v>1.2321639000000001E-4</v>
      </c>
      <c r="E38" s="109">
        <f t="shared" si="17"/>
        <v>3.8197080899999999E-2</v>
      </c>
      <c r="F38" s="171">
        <f t="shared" si="18"/>
        <v>7.26976701E-2</v>
      </c>
    </row>
    <row r="39" spans="1:6" x14ac:dyDescent="0.25">
      <c r="A39" s="88">
        <v>2015</v>
      </c>
      <c r="B39" s="109">
        <f>[6]REKAPITULASI!B10</f>
        <v>1.6657379999999999E-3</v>
      </c>
      <c r="C39" s="109">
        <f t="shared" si="16"/>
        <v>3.4980497999999999E-2</v>
      </c>
      <c r="D39" s="109">
        <f>[6]REKAPITULASI!D10</f>
        <v>1.2493035E-4</v>
      </c>
      <c r="E39" s="109">
        <f t="shared" si="17"/>
        <v>3.8728408499999999E-2</v>
      </c>
      <c r="F39" s="171">
        <f t="shared" si="18"/>
        <v>7.3708906500000004E-2</v>
      </c>
    </row>
    <row r="40" spans="1:6" x14ac:dyDescent="0.25">
      <c r="A40" s="88">
        <v>2016</v>
      </c>
      <c r="B40" s="109">
        <f>[6]REKAPITULASI!B11</f>
        <v>1.6848108000000002E-3</v>
      </c>
      <c r="C40" s="109">
        <f t="shared" si="16"/>
        <v>3.5381026800000007E-2</v>
      </c>
      <c r="D40" s="109">
        <f>[6]REKAPITULASI!D11</f>
        <v>1.2636081000000002E-4</v>
      </c>
      <c r="E40" s="109">
        <f t="shared" si="17"/>
        <v>3.9171851100000009E-2</v>
      </c>
      <c r="F40" s="171">
        <f t="shared" si="18"/>
        <v>7.4552877900000009E-2</v>
      </c>
    </row>
    <row r="41" spans="1:6" x14ac:dyDescent="0.25">
      <c r="A41" s="88">
        <v>2017</v>
      </c>
      <c r="B41" s="109">
        <f>[6]REKAPITULASI!B12</f>
        <v>1.8008231947200001E-3</v>
      </c>
      <c r="C41" s="109">
        <f t="shared" si="16"/>
        <v>3.7817287089120001E-2</v>
      </c>
      <c r="D41" s="109">
        <f>[6]REKAPITULASI!D12</f>
        <v>1.3506173960399999E-4</v>
      </c>
      <c r="E41" s="109">
        <f t="shared" si="17"/>
        <v>4.1869139277239995E-2</v>
      </c>
      <c r="F41" s="171">
        <f t="shared" si="18"/>
        <v>7.9686426366360003E-2</v>
      </c>
    </row>
    <row r="42" spans="1:6" x14ac:dyDescent="0.25">
      <c r="A42" s="88">
        <v>2018</v>
      </c>
      <c r="B42" s="109">
        <f>[6]REKAPITULASI!B13</f>
        <v>1.8915081880919397E-3</v>
      </c>
      <c r="C42" s="109">
        <f t="shared" si="16"/>
        <v>3.9721671949930731E-2</v>
      </c>
      <c r="D42" s="109">
        <f>[6]REKAPITULASI!D13</f>
        <v>1.4186311410689548E-4</v>
      </c>
      <c r="E42" s="109">
        <f t="shared" si="17"/>
        <v>4.39775653731376E-2</v>
      </c>
      <c r="F42" s="171">
        <f t="shared" si="18"/>
        <v>8.3699237323068332E-2</v>
      </c>
    </row>
    <row r="43" spans="1:6" x14ac:dyDescent="0.25">
      <c r="A43" s="88">
        <v>2019</v>
      </c>
      <c r="B43" s="109">
        <f>[6]REKAPITULASI!B14</f>
        <v>1.985899507446169E-3</v>
      </c>
      <c r="C43" s="109">
        <f t="shared" si="16"/>
        <v>4.170388965636955E-2</v>
      </c>
      <c r="D43" s="109">
        <f>[6]REKAPITULASI!D14</f>
        <v>1.4894246305846267E-4</v>
      </c>
      <c r="E43" s="109">
        <f t="shared" si="17"/>
        <v>4.6172163548123424E-2</v>
      </c>
      <c r="F43" s="171">
        <f t="shared" si="18"/>
        <v>8.7876053204492974E-2</v>
      </c>
    </row>
    <row r="44" spans="1:6" x14ac:dyDescent="0.25">
      <c r="A44" s="88">
        <v>2020</v>
      </c>
      <c r="B44" s="109">
        <f>[6]REKAPITULASI!B15</f>
        <v>2.0841347544778115E-3</v>
      </c>
      <c r="C44" s="109">
        <f t="shared" si="16"/>
        <v>4.3766829844034044E-2</v>
      </c>
      <c r="D44" s="109">
        <f>[6]REKAPITULASI!D15</f>
        <v>1.5631010658583586E-4</v>
      </c>
      <c r="E44" s="109">
        <f t="shared" si="17"/>
        <v>4.8456133041609117E-2</v>
      </c>
      <c r="F44" s="171">
        <f t="shared" si="18"/>
        <v>9.2222962885643162E-2</v>
      </c>
    </row>
    <row r="45" spans="1:6" x14ac:dyDescent="0.25">
      <c r="A45" s="88">
        <v>2021</v>
      </c>
      <c r="B45" s="109">
        <f>[6]REKAPITULASI!B16</f>
        <v>2.1863563637153352E-3</v>
      </c>
      <c r="C45" s="109">
        <f t="shared" si="16"/>
        <v>4.5913483638022036E-2</v>
      </c>
      <c r="D45" s="109">
        <f>[6]REKAPITULASI!D16</f>
        <v>1.6397672727865012E-4</v>
      </c>
      <c r="E45" s="109">
        <f t="shared" si="17"/>
        <v>5.0832785456381535E-2</v>
      </c>
      <c r="F45" s="171">
        <f t="shared" si="18"/>
        <v>9.6746269094403564E-2</v>
      </c>
    </row>
    <row r="46" spans="1:6" x14ac:dyDescent="0.25">
      <c r="A46" s="88">
        <v>2022</v>
      </c>
      <c r="B46" s="109">
        <f>[6]REKAPITULASI!B17</f>
        <v>2.2927117662250723E-3</v>
      </c>
      <c r="C46" s="109">
        <f t="shared" ref="C46:C55" si="19">B46*21</f>
        <v>4.8146947090726519E-2</v>
      </c>
      <c r="D46" s="109">
        <f>[6]REKAPITULASI!D17</f>
        <v>1.7195338246688043E-4</v>
      </c>
      <c r="E46" s="109">
        <f t="shared" ref="E46:E55" si="20">D46*310</f>
        <v>5.3305548564732935E-2</v>
      </c>
      <c r="F46" s="171">
        <f t="shared" ref="F46:F55" si="21">E46+C46</f>
        <v>0.10145249565545945</v>
      </c>
    </row>
    <row r="47" spans="1:6" x14ac:dyDescent="0.25">
      <c r="A47" s="88">
        <v>2023</v>
      </c>
      <c r="B47" s="109">
        <f>[6]REKAPITULASI!B18</f>
        <v>2.4033535587214367E-3</v>
      </c>
      <c r="C47" s="109">
        <f t="shared" si="19"/>
        <v>5.0470424733150172E-2</v>
      </c>
      <c r="D47" s="109">
        <f>[6]REKAPITULASI!D18</f>
        <v>1.8025151690410777E-4</v>
      </c>
      <c r="E47" s="109">
        <f t="shared" si="20"/>
        <v>5.5877970240273404E-2</v>
      </c>
      <c r="F47" s="171">
        <f t="shared" si="21"/>
        <v>0.10634839497342358</v>
      </c>
    </row>
    <row r="48" spans="1:6" x14ac:dyDescent="0.25">
      <c r="A48" s="88">
        <v>2024</v>
      </c>
      <c r="B48" s="109">
        <f>[6]REKAPITULASI!B19</f>
        <v>2.5184396782579779E-3</v>
      </c>
      <c r="C48" s="109">
        <f t="shared" si="19"/>
        <v>5.2887233243417535E-2</v>
      </c>
      <c r="D48" s="109">
        <f>[6]REKAPITULASI!D19</f>
        <v>1.8888297586934835E-4</v>
      </c>
      <c r="E48" s="109">
        <f t="shared" si="20"/>
        <v>5.8553722519497989E-2</v>
      </c>
      <c r="F48" s="171">
        <f t="shared" si="21"/>
        <v>0.11144095576291552</v>
      </c>
    </row>
    <row r="49" spans="1:10" x14ac:dyDescent="0.25">
      <c r="A49" s="88">
        <v>2025</v>
      </c>
      <c r="B49" s="109">
        <f>[6]REKAPITULASI!B20</f>
        <v>2.6381335826800305E-3</v>
      </c>
      <c r="C49" s="109">
        <f t="shared" si="19"/>
        <v>5.5400805236280638E-2</v>
      </c>
      <c r="D49" s="109">
        <f>[6]REKAPITULASI!D20</f>
        <v>1.9786001870100226E-4</v>
      </c>
      <c r="E49" s="109">
        <f t="shared" si="20"/>
        <v>6.1336605797310699E-2</v>
      </c>
      <c r="F49" s="171">
        <f t="shared" si="21"/>
        <v>0.11673741103359134</v>
      </c>
    </row>
    <row r="50" spans="1:10" x14ac:dyDescent="0.25">
      <c r="A50" s="88">
        <v>2026</v>
      </c>
      <c r="B50" s="109">
        <f>[6]REKAPITULASI!B21</f>
        <v>2.7626044370254745E-3</v>
      </c>
      <c r="C50" s="109">
        <f t="shared" si="19"/>
        <v>5.8014693177534965E-2</v>
      </c>
      <c r="D50" s="109">
        <f>[6]REKAPITULASI!D21</f>
        <v>2.0719533277691057E-4</v>
      </c>
      <c r="E50" s="109">
        <f t="shared" si="20"/>
        <v>6.423055316084228E-2</v>
      </c>
      <c r="F50" s="171">
        <f t="shared" si="21"/>
        <v>0.12224524633837724</v>
      </c>
    </row>
    <row r="51" spans="1:10" x14ac:dyDescent="0.25">
      <c r="A51" s="88">
        <v>2027</v>
      </c>
      <c r="B51" s="109">
        <f>[6]REKAPITULASI!B22</f>
        <v>2.892027306066078E-3</v>
      </c>
      <c r="C51" s="109">
        <f t="shared" si="19"/>
        <v>6.0732573427387637E-2</v>
      </c>
      <c r="D51" s="109">
        <f>[6]REKAPITULASI!D22</f>
        <v>2.1690204795495586E-4</v>
      </c>
      <c r="E51" s="109">
        <f t="shared" si="20"/>
        <v>6.7239634866036319E-2</v>
      </c>
      <c r="F51" s="171">
        <f t="shared" si="21"/>
        <v>0.12797220829342396</v>
      </c>
    </row>
    <row r="52" spans="1:10" x14ac:dyDescent="0.25">
      <c r="A52" s="88">
        <v>2028</v>
      </c>
      <c r="B52" s="109">
        <f>[6]REKAPITULASI!B23</f>
        <v>3.0265833531880203E-3</v>
      </c>
      <c r="C52" s="109">
        <f t="shared" si="19"/>
        <v>6.3558250416948431E-2</v>
      </c>
      <c r="D52" s="109">
        <f>[6]REKAPITULASI!D23</f>
        <v>2.2699375148910151E-4</v>
      </c>
      <c r="E52" s="109">
        <f t="shared" si="20"/>
        <v>7.0368062961621472E-2</v>
      </c>
      <c r="F52" s="171">
        <f t="shared" si="21"/>
        <v>0.13392631337856992</v>
      </c>
    </row>
    <row r="53" spans="1:10" x14ac:dyDescent="0.25">
      <c r="A53" s="88">
        <v>2029</v>
      </c>
      <c r="B53" s="109">
        <f>[6]REKAPITULASI!B24</f>
        <v>3.1664600458165622E-3</v>
      </c>
      <c r="C53" s="109">
        <f t="shared" si="19"/>
        <v>6.6495660962147804E-2</v>
      </c>
      <c r="D53" s="109">
        <f>[6]REKAPITULASI!D24</f>
        <v>2.3748450343624218E-4</v>
      </c>
      <c r="E53" s="109">
        <f t="shared" si="20"/>
        <v>7.362019606523508E-2</v>
      </c>
      <c r="F53" s="171">
        <f t="shared" si="21"/>
        <v>0.14011585702738288</v>
      </c>
    </row>
    <row r="54" spans="1:10" x14ac:dyDescent="0.25">
      <c r="A54" s="88">
        <v>2030</v>
      </c>
      <c r="B54" s="109">
        <f>[6]REKAPITULASI!B25</f>
        <v>3.3106016000000005E-3</v>
      </c>
      <c r="C54" s="109">
        <f t="shared" si="19"/>
        <v>6.9522633600000008E-2</v>
      </c>
      <c r="D54" s="109">
        <f>[6]REKAPITULASI!D25</f>
        <v>2.4829512000000006E-4</v>
      </c>
      <c r="E54" s="109">
        <f t="shared" si="20"/>
        <v>7.6971487200000022E-2</v>
      </c>
      <c r="F54" s="171">
        <f t="shared" si="21"/>
        <v>0.14649412080000002</v>
      </c>
    </row>
    <row r="55" spans="1:10" x14ac:dyDescent="0.25">
      <c r="A55" s="88">
        <v>2031</v>
      </c>
      <c r="B55" s="98"/>
      <c r="C55" s="109">
        <f t="shared" si="19"/>
        <v>0</v>
      </c>
      <c r="D55" s="109"/>
      <c r="E55" s="109">
        <f t="shared" si="20"/>
        <v>0</v>
      </c>
      <c r="F55" s="110">
        <f t="shared" si="21"/>
        <v>0</v>
      </c>
    </row>
    <row r="57" spans="1:10" ht="15.75" thickBot="1" x14ac:dyDescent="0.3">
      <c r="A57" s="103" t="s">
        <v>87</v>
      </c>
      <c r="J57" s="94">
        <v>1000</v>
      </c>
    </row>
    <row r="58" spans="1:10" ht="15.75" thickBot="1" x14ac:dyDescent="0.3">
      <c r="A58" s="202" t="s">
        <v>10</v>
      </c>
      <c r="B58" s="204" t="s">
        <v>88</v>
      </c>
      <c r="C58" s="205"/>
      <c r="D58" s="205"/>
      <c r="E58" s="205"/>
      <c r="F58" s="205"/>
    </row>
    <row r="59" spans="1:10" ht="18.75" thickBot="1" x14ac:dyDescent="0.3">
      <c r="A59" s="203"/>
      <c r="B59" s="204" t="s">
        <v>128</v>
      </c>
      <c r="C59" s="206"/>
      <c r="D59" s="204" t="s">
        <v>132</v>
      </c>
      <c r="E59" s="206"/>
      <c r="F59" s="116" t="s">
        <v>134</v>
      </c>
      <c r="H59" s="192" t="s">
        <v>10</v>
      </c>
      <c r="I59" s="192" t="s">
        <v>144</v>
      </c>
      <c r="J59" s="192"/>
    </row>
    <row r="60" spans="1:10" ht="18" x14ac:dyDescent="0.25">
      <c r="A60" s="203"/>
      <c r="B60" s="117" t="s">
        <v>130</v>
      </c>
      <c r="C60" s="117" t="s">
        <v>131</v>
      </c>
      <c r="D60" s="117" t="s">
        <v>133</v>
      </c>
      <c r="E60" s="117" t="s">
        <v>131</v>
      </c>
      <c r="F60" s="117" t="s">
        <v>135</v>
      </c>
      <c r="H60" s="192"/>
      <c r="I60" s="140" t="s">
        <v>145</v>
      </c>
      <c r="J60" s="140" t="s">
        <v>146</v>
      </c>
    </row>
    <row r="61" spans="1:10" x14ac:dyDescent="0.25">
      <c r="A61" s="88">
        <v>2011</v>
      </c>
      <c r="B61" s="135">
        <f>[6]REKAPITULASI!B32</f>
        <v>1.2121648175000001E-2</v>
      </c>
      <c r="C61" s="119">
        <f>B61*21</f>
        <v>0.25455461167500004</v>
      </c>
      <c r="D61" s="135">
        <f>[6]REKAPITULASI!D32</f>
        <v>2.7973034249999999E-4</v>
      </c>
      <c r="E61" s="119">
        <f>D61*310</f>
        <v>8.6716406174999996E-2</v>
      </c>
      <c r="F61" s="171">
        <f>SUM(C61+E61)</f>
        <v>0.34127101785000002</v>
      </c>
      <c r="H61" s="88">
        <v>2011</v>
      </c>
      <c r="I61" s="141">
        <f>D9+I9+N9+F35+F61-S9</f>
        <v>15.074596676499363</v>
      </c>
      <c r="J61" s="173">
        <f>I61*$J$57</f>
        <v>15074.596676499363</v>
      </c>
    </row>
    <row r="62" spans="1:10" x14ac:dyDescent="0.25">
      <c r="A62" s="88">
        <v>2012</v>
      </c>
      <c r="B62" s="135">
        <f>[6]REKAPITULASI!B33</f>
        <v>1.2292373274999997E-2</v>
      </c>
      <c r="C62" s="119">
        <f t="shared" ref="C62:C81" si="22">B62*21</f>
        <v>0.25813983877499996</v>
      </c>
      <c r="D62" s="135">
        <f>[6]REKAPITULASI!D33</f>
        <v>2.8367015249999996E-4</v>
      </c>
      <c r="E62" s="119">
        <f t="shared" ref="E62:E81" si="23">D62*310</f>
        <v>8.7937747274999992E-2</v>
      </c>
      <c r="F62" s="171">
        <f t="shared" ref="F62:F81" si="24">SUM(C62+E62)</f>
        <v>0.34607758604999994</v>
      </c>
      <c r="H62" s="88">
        <v>2012</v>
      </c>
      <c r="I62" s="141">
        <f t="shared" ref="I62:I81" si="25">D10+I10+N10+F36+F62-S10</f>
        <v>15.496785311795847</v>
      </c>
      <c r="J62" s="173">
        <f t="shared" ref="J62:J70" si="26">I62*$J$57</f>
        <v>15496.785311795848</v>
      </c>
    </row>
    <row r="63" spans="1:10" x14ac:dyDescent="0.25">
      <c r="A63" s="88">
        <v>2013</v>
      </c>
      <c r="B63" s="135">
        <f>[6]REKAPITULASI!B34</f>
        <v>1.2472647687500001E-2</v>
      </c>
      <c r="C63" s="119">
        <f t="shared" si="22"/>
        <v>0.26192560143750004</v>
      </c>
      <c r="D63" s="135">
        <f>[6]REKAPITULASI!D34</f>
        <v>2.8783033125000002E-4</v>
      </c>
      <c r="E63" s="119">
        <f t="shared" si="23"/>
        <v>8.9227402687500013E-2</v>
      </c>
      <c r="F63" s="171">
        <f t="shared" si="24"/>
        <v>0.35115300412500006</v>
      </c>
      <c r="H63" s="88">
        <v>2013</v>
      </c>
      <c r="I63" s="141">
        <f t="shared" si="25"/>
        <v>15.902860556546928</v>
      </c>
      <c r="J63" s="173">
        <f t="shared" si="26"/>
        <v>15902.860556546928</v>
      </c>
    </row>
    <row r="64" spans="1:10" x14ac:dyDescent="0.25">
      <c r="A64" s="88">
        <v>2014</v>
      </c>
      <c r="B64" s="135">
        <f>[6]REKAPITULASI!B35</f>
        <v>1.2631581462499998E-2</v>
      </c>
      <c r="C64" s="119">
        <f t="shared" si="22"/>
        <v>0.26526321071249997</v>
      </c>
      <c r="D64" s="135">
        <f>[6]REKAPITULASI!D35</f>
        <v>2.9149803374999998E-4</v>
      </c>
      <c r="E64" s="119">
        <f t="shared" si="23"/>
        <v>9.0364390462499999E-2</v>
      </c>
      <c r="F64" s="171">
        <f t="shared" si="24"/>
        <v>0.35562760117499997</v>
      </c>
      <c r="H64" s="88">
        <v>2014</v>
      </c>
      <c r="I64" s="141">
        <f t="shared" si="25"/>
        <v>16.29664999575618</v>
      </c>
      <c r="J64" s="173">
        <f t="shared" si="26"/>
        <v>16296.649995756181</v>
      </c>
    </row>
    <row r="65" spans="1:10" x14ac:dyDescent="0.25">
      <c r="A65" s="88">
        <v>2015</v>
      </c>
      <c r="B65" s="135">
        <f>[6]REKAPITULASI!B36</f>
        <v>1.2807288812500001E-2</v>
      </c>
      <c r="C65" s="119">
        <f t="shared" si="22"/>
        <v>0.26895306506250005</v>
      </c>
      <c r="D65" s="135">
        <f>[6]REKAPITULASI!D36</f>
        <v>2.9555281875000001E-4</v>
      </c>
      <c r="E65" s="119">
        <f t="shared" si="23"/>
        <v>9.1621373812500004E-2</v>
      </c>
      <c r="F65" s="171">
        <f t="shared" si="24"/>
        <v>0.36057443887500007</v>
      </c>
      <c r="H65" s="88">
        <v>2015</v>
      </c>
      <c r="I65" s="141">
        <f t="shared" si="25"/>
        <v>16.672205117807948</v>
      </c>
      <c r="J65" s="173">
        <f t="shared" si="26"/>
        <v>16672.205117807949</v>
      </c>
    </row>
    <row r="66" spans="1:10" x14ac:dyDescent="0.25">
      <c r="A66" s="88">
        <v>2016</v>
      </c>
      <c r="B66" s="135">
        <f>[6]REKAPITULASI!B37</f>
        <v>1.2953933037499999E-2</v>
      </c>
      <c r="C66" s="119">
        <f t="shared" si="22"/>
        <v>0.2720325937875</v>
      </c>
      <c r="D66" s="135">
        <f>[6]REKAPITULASI!D37</f>
        <v>2.9893691624999994E-4</v>
      </c>
      <c r="E66" s="119">
        <f t="shared" si="23"/>
        <v>9.267044403749998E-2</v>
      </c>
      <c r="F66" s="171">
        <f t="shared" si="24"/>
        <v>0.36470303782499996</v>
      </c>
      <c r="H66" s="88">
        <v>2016</v>
      </c>
      <c r="I66" s="141">
        <f t="shared" si="25"/>
        <v>17.036978977460617</v>
      </c>
      <c r="J66" s="173">
        <f t="shared" si="26"/>
        <v>17036.978977460618</v>
      </c>
    </row>
    <row r="67" spans="1:10" x14ac:dyDescent="0.25">
      <c r="A67" s="88">
        <v>2017</v>
      </c>
      <c r="B67" s="135">
        <f>[6]REKAPITULASI!B38</f>
        <v>1.3462238789999999E-2</v>
      </c>
      <c r="C67" s="119">
        <f t="shared" si="22"/>
        <v>0.28270701458999997</v>
      </c>
      <c r="D67" s="135">
        <f>[6]REKAPITULASI!D38</f>
        <v>3.1066704900000001E-4</v>
      </c>
      <c r="E67" s="119">
        <f t="shared" si="23"/>
        <v>9.6306785190000008E-2</v>
      </c>
      <c r="F67" s="171">
        <f t="shared" si="24"/>
        <v>0.37901379977999999</v>
      </c>
      <c r="H67" s="88">
        <v>2017</v>
      </c>
      <c r="I67" s="141">
        <f t="shared" si="25"/>
        <v>17.396562074419183</v>
      </c>
      <c r="J67" s="173">
        <f t="shared" si="26"/>
        <v>17396.562074419184</v>
      </c>
    </row>
    <row r="68" spans="1:10" x14ac:dyDescent="0.25">
      <c r="A68" s="88">
        <v>2018</v>
      </c>
      <c r="B68" s="135">
        <f>[6]REKAPITULASI!B39</f>
        <v>1.3748336192499998E-2</v>
      </c>
      <c r="C68" s="119">
        <f t="shared" si="22"/>
        <v>0.28871506004249997</v>
      </c>
      <c r="D68" s="135">
        <f>[6]REKAPITULASI!D39</f>
        <v>3.1726929675000002E-4</v>
      </c>
      <c r="E68" s="119">
        <f t="shared" si="23"/>
        <v>9.8353481992500005E-2</v>
      </c>
      <c r="F68" s="171">
        <f t="shared" si="24"/>
        <v>0.38706854203499996</v>
      </c>
      <c r="H68" s="88">
        <v>2018</v>
      </c>
      <c r="I68" s="141">
        <f t="shared" si="25"/>
        <v>17.600335179661379</v>
      </c>
      <c r="J68" s="173">
        <f t="shared" si="26"/>
        <v>17600.335179661379</v>
      </c>
    </row>
    <row r="69" spans="1:10" x14ac:dyDescent="0.25">
      <c r="A69" s="88">
        <v>2019</v>
      </c>
      <c r="B69" s="135">
        <f>[6]REKAPITULASI!B40</f>
        <v>1.4034433595000003E-2</v>
      </c>
      <c r="C69" s="119">
        <f t="shared" si="22"/>
        <v>0.29472310549500008</v>
      </c>
      <c r="D69" s="135">
        <f>[6]REKAPITULASI!D40</f>
        <v>3.2387154450000009E-4</v>
      </c>
      <c r="E69" s="119">
        <f t="shared" si="23"/>
        <v>0.10040017879500003</v>
      </c>
      <c r="F69" s="171">
        <f t="shared" si="24"/>
        <v>0.3951232842900001</v>
      </c>
      <c r="H69" s="88">
        <v>2019</v>
      </c>
      <c r="I69" s="141">
        <f t="shared" si="25"/>
        <v>17.881304868124804</v>
      </c>
      <c r="J69" s="173">
        <f t="shared" si="26"/>
        <v>17881.304868124804</v>
      </c>
    </row>
    <row r="70" spans="1:10" x14ac:dyDescent="0.25">
      <c r="A70" s="88">
        <v>2020</v>
      </c>
      <c r="B70" s="135">
        <f>[6]REKAPITULASI!B41</f>
        <v>1.4320530997499996E-2</v>
      </c>
      <c r="C70" s="119">
        <f t="shared" si="22"/>
        <v>0.30073115094749991</v>
      </c>
      <c r="D70" s="135">
        <f>[6]REKAPITULASI!D41</f>
        <v>3.3047379224999994E-4</v>
      </c>
      <c r="E70" s="119">
        <f t="shared" si="23"/>
        <v>0.10244687559749999</v>
      </c>
      <c r="F70" s="171">
        <f t="shared" si="24"/>
        <v>0.4031780265449999</v>
      </c>
      <c r="H70" s="88">
        <v>2020</v>
      </c>
      <c r="I70" s="141">
        <f t="shared" si="25"/>
        <v>18.216293699807387</v>
      </c>
      <c r="J70" s="173">
        <f t="shared" si="26"/>
        <v>18216.293699807389</v>
      </c>
    </row>
    <row r="71" spans="1:10" x14ac:dyDescent="0.25">
      <c r="A71" s="88">
        <v>2021</v>
      </c>
      <c r="B71" s="135">
        <f>[6]REKAPITULASI!B42</f>
        <v>1.4606628399999998E-2</v>
      </c>
      <c r="C71" s="119">
        <f t="shared" si="22"/>
        <v>0.30673919639999997</v>
      </c>
      <c r="D71" s="135">
        <f>[6]REKAPITULASI!D42</f>
        <v>3.370760399999999E-4</v>
      </c>
      <c r="E71" s="119">
        <f t="shared" si="23"/>
        <v>0.10449357239999997</v>
      </c>
      <c r="F71" s="171">
        <f t="shared" si="24"/>
        <v>0.41123276879999993</v>
      </c>
      <c r="H71" s="88">
        <v>2021</v>
      </c>
      <c r="I71" s="141">
        <f t="shared" si="25"/>
        <v>18.589751662984746</v>
      </c>
      <c r="J71" s="173">
        <f>I71*$J$57</f>
        <v>18589.751662984745</v>
      </c>
    </row>
    <row r="72" spans="1:10" x14ac:dyDescent="0.25">
      <c r="A72" s="88">
        <v>2022</v>
      </c>
      <c r="B72" s="135">
        <f>[6]REKAPITULASI!B43</f>
        <v>1.4892725802499999E-2</v>
      </c>
      <c r="C72" s="119">
        <f t="shared" si="22"/>
        <v>0.31274724185249997</v>
      </c>
      <c r="D72" s="135">
        <f>[6]REKAPITULASI!D43</f>
        <v>3.4367828774999997E-4</v>
      </c>
      <c r="E72" s="119">
        <f t="shared" si="23"/>
        <v>0.1065402692025</v>
      </c>
      <c r="F72" s="171">
        <f t="shared" si="24"/>
        <v>0.41928751105499995</v>
      </c>
      <c r="H72" s="88">
        <v>2022</v>
      </c>
      <c r="I72" s="141">
        <f t="shared" si="25"/>
        <v>18.991232824114178</v>
      </c>
      <c r="J72" s="173">
        <f t="shared" ref="J72:J81" si="27">I72*$J$57</f>
        <v>18991.232824114177</v>
      </c>
    </row>
    <row r="73" spans="1:10" x14ac:dyDescent="0.25">
      <c r="A73" s="88">
        <v>2023</v>
      </c>
      <c r="B73" s="135">
        <f>[6]REKAPITULASI!B44</f>
        <v>1.5178823205000001E-2</v>
      </c>
      <c r="C73" s="119">
        <f t="shared" si="22"/>
        <v>0.31875528730500002</v>
      </c>
      <c r="D73" s="135">
        <f>[6]REKAPITULASI!D44</f>
        <v>3.5028053549999999E-4</v>
      </c>
      <c r="E73" s="119">
        <f t="shared" si="23"/>
        <v>0.10858696600499999</v>
      </c>
      <c r="F73" s="171">
        <f t="shared" si="24"/>
        <v>0.42734225331000003</v>
      </c>
      <c r="H73" s="88">
        <v>2023</v>
      </c>
      <c r="I73" s="141">
        <f t="shared" si="25"/>
        <v>19.413700903772131</v>
      </c>
      <c r="J73" s="173">
        <f t="shared" si="27"/>
        <v>19413.700903772133</v>
      </c>
    </row>
    <row r="74" spans="1:10" x14ac:dyDescent="0.25">
      <c r="A74" s="88">
        <v>2024</v>
      </c>
      <c r="B74" s="135">
        <f>[6]REKAPITULASI!B45</f>
        <v>1.54649206075E-2</v>
      </c>
      <c r="C74" s="119">
        <f t="shared" si="22"/>
        <v>0.32476333275750002</v>
      </c>
      <c r="D74" s="135">
        <f>[6]REKAPITULASI!D45</f>
        <v>3.5688278325E-4</v>
      </c>
      <c r="E74" s="119">
        <f t="shared" si="23"/>
        <v>0.11063366280750001</v>
      </c>
      <c r="F74" s="171">
        <f t="shared" si="24"/>
        <v>0.435396995565</v>
      </c>
      <c r="H74" s="88">
        <v>2024</v>
      </c>
      <c r="I74" s="141">
        <f t="shared" si="25"/>
        <v>19.852390586739673</v>
      </c>
      <c r="J74" s="173">
        <f t="shared" si="27"/>
        <v>19852.390586739675</v>
      </c>
    </row>
    <row r="75" spans="1:10" x14ac:dyDescent="0.25">
      <c r="A75" s="88">
        <v>2025</v>
      </c>
      <c r="B75" s="135">
        <f>[6]REKAPITULASI!B46</f>
        <v>1.5751018009999999E-2</v>
      </c>
      <c r="C75" s="119">
        <f t="shared" si="22"/>
        <v>0.33077137820999997</v>
      </c>
      <c r="D75" s="135">
        <f>[6]REKAPITULASI!D46</f>
        <v>3.6348503099999991E-4</v>
      </c>
      <c r="E75" s="119">
        <f t="shared" si="23"/>
        <v>0.11268035960999997</v>
      </c>
      <c r="F75" s="171">
        <f t="shared" si="24"/>
        <v>0.44345173781999991</v>
      </c>
      <c r="H75" s="88">
        <v>2025</v>
      </c>
      <c r="I75" s="141">
        <f t="shared" si="25"/>
        <v>20.304041391471948</v>
      </c>
      <c r="J75" s="173">
        <f t="shared" si="27"/>
        <v>20304.041391471947</v>
      </c>
    </row>
    <row r="76" spans="1:10" x14ac:dyDescent="0.25">
      <c r="A76" s="88">
        <v>2026</v>
      </c>
      <c r="B76" s="135">
        <f>[6]REKAPITULASI!B47</f>
        <v>1.6037115412500001E-2</v>
      </c>
      <c r="C76" s="119">
        <f t="shared" si="22"/>
        <v>0.33677942366250002</v>
      </c>
      <c r="D76" s="135">
        <f>[6]REKAPITULASI!D47</f>
        <v>3.7008727874999998E-4</v>
      </c>
      <c r="E76" s="119">
        <f t="shared" si="23"/>
        <v>0.1147270564125</v>
      </c>
      <c r="F76" s="171">
        <f t="shared" si="24"/>
        <v>0.45150648007500005</v>
      </c>
      <c r="H76" s="88">
        <v>2026</v>
      </c>
      <c r="I76" s="141">
        <f t="shared" si="25"/>
        <v>20.766381269316</v>
      </c>
      <c r="J76" s="173">
        <f t="shared" si="27"/>
        <v>20766.381269316</v>
      </c>
    </row>
    <row r="77" spans="1:10" x14ac:dyDescent="0.25">
      <c r="A77" s="88">
        <v>2027</v>
      </c>
      <c r="B77" s="135">
        <f>[6]REKAPITULASI!B48</f>
        <v>1.6323212815000002E-2</v>
      </c>
      <c r="C77" s="119">
        <f t="shared" si="22"/>
        <v>0.34278746911500002</v>
      </c>
      <c r="D77" s="135">
        <f>[6]REKAPITULASI!D48</f>
        <v>3.7668952650000005E-4</v>
      </c>
      <c r="E77" s="119">
        <f t="shared" si="23"/>
        <v>0.11677375321500001</v>
      </c>
      <c r="F77" s="171">
        <f t="shared" si="24"/>
        <v>0.45956122233000002</v>
      </c>
      <c r="H77" s="88">
        <v>2027</v>
      </c>
      <c r="I77" s="141">
        <f t="shared" si="25"/>
        <v>21.237777558250411</v>
      </c>
      <c r="J77" s="173">
        <f t="shared" si="27"/>
        <v>21237.777558250411</v>
      </c>
    </row>
    <row r="78" spans="1:10" x14ac:dyDescent="0.25">
      <c r="A78" s="88">
        <v>2028</v>
      </c>
      <c r="B78" s="135">
        <f>[6]REKAPITULASI!B49</f>
        <v>1.6609310217499999E-2</v>
      </c>
      <c r="C78" s="119">
        <f t="shared" si="22"/>
        <v>0.34879551456749996</v>
      </c>
      <c r="D78" s="135">
        <f>[6]REKAPITULASI!D49</f>
        <v>3.8329177424999996E-4</v>
      </c>
      <c r="E78" s="119">
        <f t="shared" si="23"/>
        <v>0.11882045001749998</v>
      </c>
      <c r="F78" s="171">
        <f t="shared" si="24"/>
        <v>0.46761596458499993</v>
      </c>
      <c r="H78" s="88">
        <v>2028</v>
      </c>
      <c r="I78" s="141">
        <f t="shared" si="25"/>
        <v>21.717000036330596</v>
      </c>
      <c r="J78" s="173">
        <f t="shared" si="27"/>
        <v>21717.000036330595</v>
      </c>
    </row>
    <row r="79" spans="1:10" x14ac:dyDescent="0.25">
      <c r="A79" s="88">
        <v>2029</v>
      </c>
      <c r="B79" s="135">
        <f>[6]REKAPITULASI!B50</f>
        <v>1.689540762E-2</v>
      </c>
      <c r="C79" s="119">
        <f t="shared" si="22"/>
        <v>0.35480356002000002</v>
      </c>
      <c r="D79" s="135">
        <f>[6]REKAPITULASI!D50</f>
        <v>3.8989402200000008E-4</v>
      </c>
      <c r="E79" s="119">
        <f t="shared" si="23"/>
        <v>0.12086714682000002</v>
      </c>
      <c r="F79" s="171">
        <f t="shared" si="24"/>
        <v>0.47567070684000001</v>
      </c>
      <c r="H79" s="88">
        <v>2029</v>
      </c>
      <c r="I79" s="141">
        <f t="shared" si="25"/>
        <v>22.203059001649507</v>
      </c>
      <c r="J79" s="173">
        <f t="shared" si="27"/>
        <v>22203.059001649508</v>
      </c>
    </row>
    <row r="80" spans="1:10" x14ac:dyDescent="0.25">
      <c r="A80" s="88">
        <v>2030</v>
      </c>
      <c r="B80" s="135">
        <f>[6]REKAPITULASI!B51</f>
        <v>1.7181505022500005E-2</v>
      </c>
      <c r="C80" s="119">
        <f t="shared" si="22"/>
        <v>0.36081160547250013</v>
      </c>
      <c r="D80" s="135">
        <f>[6]REKAPITULASI!D51</f>
        <v>3.9649626975000009E-4</v>
      </c>
      <c r="E80" s="119">
        <f t="shared" si="23"/>
        <v>0.12291384362250003</v>
      </c>
      <c r="F80" s="171">
        <f t="shared" si="24"/>
        <v>0.48372544909500015</v>
      </c>
      <c r="H80" s="88">
        <v>2030</v>
      </c>
      <c r="I80" s="141">
        <f t="shared" si="25"/>
        <v>22.695038192544963</v>
      </c>
      <c r="J80" s="173">
        <f t="shared" si="27"/>
        <v>22695.038192544962</v>
      </c>
    </row>
    <row r="81" spans="1:10" x14ac:dyDescent="0.25">
      <c r="A81" s="88">
        <v>2031</v>
      </c>
      <c r="B81" s="118"/>
      <c r="C81" s="119">
        <f t="shared" si="22"/>
        <v>0</v>
      </c>
      <c r="D81" s="118"/>
      <c r="E81" s="119">
        <f t="shared" si="23"/>
        <v>0</v>
      </c>
      <c r="F81" s="120">
        <f t="shared" si="24"/>
        <v>0</v>
      </c>
      <c r="H81" s="88">
        <v>2031</v>
      </c>
      <c r="I81" s="141">
        <f t="shared" si="25"/>
        <v>0</v>
      </c>
      <c r="J81" s="142">
        <f t="shared" si="27"/>
        <v>0</v>
      </c>
    </row>
    <row r="84" spans="1:10" x14ac:dyDescent="0.25">
      <c r="A84" s="121"/>
      <c r="B84" s="99"/>
      <c r="C84" s="100"/>
      <c r="D84" s="99"/>
      <c r="E84" s="100"/>
      <c r="F84" s="100"/>
    </row>
    <row r="85" spans="1:10" ht="15.75" thickBot="1" x14ac:dyDescent="0.3">
      <c r="A85" s="122" t="s">
        <v>143</v>
      </c>
      <c r="B85" s="100"/>
      <c r="C85" s="99"/>
      <c r="D85" s="100"/>
      <c r="G85" s="94">
        <v>1000</v>
      </c>
    </row>
    <row r="86" spans="1:10" ht="18.75" thickBot="1" x14ac:dyDescent="0.3">
      <c r="A86" s="195" t="s">
        <v>10</v>
      </c>
      <c r="B86" s="197" t="s">
        <v>136</v>
      </c>
      <c r="C86" s="198"/>
      <c r="D86" s="190" t="s">
        <v>137</v>
      </c>
      <c r="E86" s="191"/>
      <c r="F86" s="193" t="s">
        <v>94</v>
      </c>
      <c r="G86" s="194"/>
    </row>
    <row r="87" spans="1:10" ht="81.75" thickBot="1" x14ac:dyDescent="0.3">
      <c r="A87" s="196"/>
      <c r="B87" s="123" t="s">
        <v>138</v>
      </c>
      <c r="C87" s="123" t="s">
        <v>139</v>
      </c>
      <c r="D87" s="124" t="s">
        <v>140</v>
      </c>
      <c r="E87" s="124" t="s">
        <v>141</v>
      </c>
      <c r="F87" s="125" t="s">
        <v>142</v>
      </c>
      <c r="G87" s="125" t="s">
        <v>147</v>
      </c>
    </row>
    <row r="88" spans="1:10" ht="15.75" thickBot="1" x14ac:dyDescent="0.3">
      <c r="A88" s="196"/>
      <c r="B88" s="199" t="s">
        <v>100</v>
      </c>
      <c r="C88" s="126" t="s">
        <v>101</v>
      </c>
      <c r="D88" s="127" t="s">
        <v>102</v>
      </c>
      <c r="E88" s="128" t="s">
        <v>103</v>
      </c>
      <c r="F88" s="129" t="s">
        <v>104</v>
      </c>
      <c r="G88" s="129" t="s">
        <v>104</v>
      </c>
    </row>
    <row r="89" spans="1:10" x14ac:dyDescent="0.25">
      <c r="A89" s="196"/>
      <c r="B89" s="200"/>
      <c r="C89" s="130" t="s">
        <v>105</v>
      </c>
      <c r="D89" s="131"/>
      <c r="E89" s="132" t="s">
        <v>106</v>
      </c>
      <c r="F89" s="133" t="s">
        <v>107</v>
      </c>
      <c r="G89" s="133" t="s">
        <v>107</v>
      </c>
    </row>
    <row r="90" spans="1:10" x14ac:dyDescent="0.25">
      <c r="A90" s="88">
        <v>2011</v>
      </c>
      <c r="B90" s="136">
        <f>[6]REKAPITULASI!B59</f>
        <v>0.1525057858128</v>
      </c>
      <c r="C90" s="139">
        <f>B90*21</f>
        <v>3.2026215020688</v>
      </c>
      <c r="D90" s="138">
        <f>[6]REKAPITULASI!D59</f>
        <v>5.1829280360000006E-3</v>
      </c>
      <c r="E90" s="134">
        <f>D90*310</f>
        <v>1.6067076911600002</v>
      </c>
      <c r="F90" s="137">
        <f>C90+E90</f>
        <v>4.8093291932288</v>
      </c>
      <c r="G90" s="143">
        <f>F90*$G$85</f>
        <v>4809.3291932288002</v>
      </c>
    </row>
    <row r="91" spans="1:10" x14ac:dyDescent="0.25">
      <c r="A91" s="88">
        <v>2012</v>
      </c>
      <c r="B91" s="136">
        <f>[6]REKAPITULASI!B60</f>
        <v>0.15465372519840001</v>
      </c>
      <c r="C91" s="139">
        <f t="shared" ref="C91:C110" si="28">B91*21</f>
        <v>3.2477282291664</v>
      </c>
      <c r="D91" s="138">
        <f>[6]REKAPITULASI!D60</f>
        <v>5.0665693885714302E-3</v>
      </c>
      <c r="E91" s="134">
        <f t="shared" ref="E91:E110" si="29">D91*310</f>
        <v>1.5706365104571434</v>
      </c>
      <c r="F91" s="137">
        <f t="shared" ref="F91:F110" si="30">C91+E91</f>
        <v>4.8183647396235436</v>
      </c>
      <c r="G91" s="143">
        <f t="shared" ref="G91:G109" si="31">F91*$G$85</f>
        <v>4818.3647396235438</v>
      </c>
    </row>
    <row r="92" spans="1:10" x14ac:dyDescent="0.25">
      <c r="A92" s="88">
        <v>2013</v>
      </c>
      <c r="B92" s="136">
        <f>[6]REKAPITULASI!B61</f>
        <v>0.15692180710799999</v>
      </c>
      <c r="C92" s="139">
        <f t="shared" si="28"/>
        <v>3.2953579492679999</v>
      </c>
      <c r="D92" s="138">
        <f>[6]REKAPITULASI!D61</f>
        <v>5.0681741942857151E-3</v>
      </c>
      <c r="E92" s="134">
        <f t="shared" si="29"/>
        <v>1.5711340002285716</v>
      </c>
      <c r="F92" s="137">
        <f t="shared" si="30"/>
        <v>4.8664919494965719</v>
      </c>
      <c r="G92" s="143">
        <f t="shared" si="31"/>
        <v>4866.4919494965716</v>
      </c>
    </row>
    <row r="93" spans="1:10" x14ac:dyDescent="0.25">
      <c r="A93" s="88">
        <v>2014</v>
      </c>
      <c r="B93" s="136">
        <f>[6]REKAPITULASI!B62</f>
        <v>0.15892139659439997</v>
      </c>
      <c r="C93" s="139">
        <f t="shared" si="28"/>
        <v>3.3373493284823992</v>
      </c>
      <c r="D93" s="138">
        <f>[6]REKAPITULASI!D62</f>
        <v>5.2467002101904761E-3</v>
      </c>
      <c r="E93" s="134">
        <f t="shared" si="29"/>
        <v>1.6264770651590477</v>
      </c>
      <c r="F93" s="137">
        <f t="shared" si="30"/>
        <v>4.9638263936414466</v>
      </c>
      <c r="G93" s="143">
        <f t="shared" si="31"/>
        <v>4963.8263936414469</v>
      </c>
    </row>
    <row r="94" spans="1:10" x14ac:dyDescent="0.25">
      <c r="A94" s="88">
        <v>2015</v>
      </c>
      <c r="B94" s="136">
        <f>[6]REKAPITULASI!B63</f>
        <v>0.16113201903600002</v>
      </c>
      <c r="C94" s="139">
        <f t="shared" si="28"/>
        <v>3.3837723997560003</v>
      </c>
      <c r="D94" s="138">
        <f>[6]REKAPITULASI!D63</f>
        <v>5.3196826623809522E-3</v>
      </c>
      <c r="E94" s="134">
        <f t="shared" si="29"/>
        <v>1.6491016253380952</v>
      </c>
      <c r="F94" s="137">
        <f t="shared" si="30"/>
        <v>5.0328740250940953</v>
      </c>
      <c r="G94" s="143">
        <f t="shared" si="31"/>
        <v>5032.8740250940955</v>
      </c>
    </row>
    <row r="95" spans="1:10" x14ac:dyDescent="0.25">
      <c r="A95" s="88">
        <v>2016</v>
      </c>
      <c r="B95" s="136">
        <f>[6]REKAPITULASI!B64</f>
        <v>0.16297699031760002</v>
      </c>
      <c r="C95" s="139">
        <f t="shared" si="28"/>
        <v>3.4225167966696004</v>
      </c>
      <c r="D95" s="138">
        <f>[6]REKAPITULASI!D64</f>
        <v>5.3805933479047618E-3</v>
      </c>
      <c r="E95" s="134">
        <f t="shared" si="29"/>
        <v>1.6679839378504762</v>
      </c>
      <c r="F95" s="137">
        <f t="shared" si="30"/>
        <v>5.0905007345200763</v>
      </c>
      <c r="G95" s="143">
        <f t="shared" si="31"/>
        <v>5090.5007345200765</v>
      </c>
    </row>
    <row r="96" spans="1:10" x14ac:dyDescent="0.25">
      <c r="A96" s="88">
        <v>2017</v>
      </c>
      <c r="B96" s="136">
        <f>[6]REKAPITULASI!B65</f>
        <v>0.16937212463423998</v>
      </c>
      <c r="C96" s="139">
        <f t="shared" si="28"/>
        <v>3.5568146173190396</v>
      </c>
      <c r="D96" s="138">
        <f>[6]REKAPITULASI!D65</f>
        <v>5.5917250978285721E-3</v>
      </c>
      <c r="E96" s="134">
        <f t="shared" si="29"/>
        <v>1.7334347803268573</v>
      </c>
      <c r="F96" s="137">
        <f t="shared" si="30"/>
        <v>5.2902493976458969</v>
      </c>
      <c r="G96" s="143">
        <f t="shared" si="31"/>
        <v>5290.2493976458973</v>
      </c>
    </row>
    <row r="97" spans="1:7" x14ac:dyDescent="0.25">
      <c r="A97" s="88">
        <v>2018</v>
      </c>
      <c r="B97" s="136">
        <f>[6]REKAPITULASI!B66</f>
        <v>0.17297159465327999</v>
      </c>
      <c r="C97" s="139">
        <f t="shared" si="28"/>
        <v>3.63240348771888</v>
      </c>
      <c r="D97" s="138">
        <f>[6]REKAPITULASI!D66</f>
        <v>5.7105595688952369E-3</v>
      </c>
      <c r="E97" s="134">
        <f t="shared" si="29"/>
        <v>1.7702734663575235</v>
      </c>
      <c r="F97" s="137">
        <f t="shared" si="30"/>
        <v>5.4026769540764032</v>
      </c>
      <c r="G97" s="143">
        <f t="shared" si="31"/>
        <v>5402.6769540764035</v>
      </c>
    </row>
    <row r="98" spans="1:7" x14ac:dyDescent="0.25">
      <c r="A98" s="88">
        <v>2019</v>
      </c>
      <c r="B98" s="136">
        <f>[6]REKAPITULASI!B67</f>
        <v>0.17657106467232003</v>
      </c>
      <c r="C98" s="139">
        <f t="shared" si="28"/>
        <v>3.7079923581187209</v>
      </c>
      <c r="D98" s="138">
        <f>[6]REKAPITULASI!D67</f>
        <v>5.8293940399619052E-3</v>
      </c>
      <c r="E98" s="134">
        <f t="shared" si="29"/>
        <v>1.8071121523881906</v>
      </c>
      <c r="F98" s="137">
        <f t="shared" si="30"/>
        <v>5.5151045105069114</v>
      </c>
      <c r="G98" s="143">
        <f t="shared" si="31"/>
        <v>5515.1045105069115</v>
      </c>
    </row>
    <row r="99" spans="1:7" x14ac:dyDescent="0.25">
      <c r="A99" s="88">
        <v>2020</v>
      </c>
      <c r="B99" s="136">
        <f>[6]REKAPITULASI!B68</f>
        <v>0.18017053469136005</v>
      </c>
      <c r="C99" s="139">
        <f t="shared" si="28"/>
        <v>3.7835812285185608</v>
      </c>
      <c r="D99" s="138">
        <f>[6]REKAPITULASI!D68</f>
        <v>5.9482285110285717E-3</v>
      </c>
      <c r="E99" s="134">
        <f t="shared" si="29"/>
        <v>1.8439508384188572</v>
      </c>
      <c r="F99" s="137">
        <f t="shared" si="30"/>
        <v>5.6275320669374178</v>
      </c>
      <c r="G99" s="143">
        <f t="shared" si="31"/>
        <v>5627.5320669374178</v>
      </c>
    </row>
    <row r="100" spans="1:7" x14ac:dyDescent="0.25">
      <c r="A100" s="88">
        <v>2021</v>
      </c>
      <c r="B100" s="136">
        <f>[6]REKAPITULASI!B69</f>
        <v>0.18377000471039998</v>
      </c>
      <c r="C100" s="139">
        <f t="shared" si="28"/>
        <v>3.8591700989183995</v>
      </c>
      <c r="D100" s="138">
        <f>[6]REKAPITULASI!D69</f>
        <v>6.0670629820952391E-3</v>
      </c>
      <c r="E100" s="134">
        <f t="shared" si="29"/>
        <v>1.8807895244495241</v>
      </c>
      <c r="F100" s="137">
        <f t="shared" si="30"/>
        <v>5.7399596233679233</v>
      </c>
      <c r="G100" s="143">
        <f t="shared" si="31"/>
        <v>5739.9596233679231</v>
      </c>
    </row>
    <row r="101" spans="1:7" x14ac:dyDescent="0.25">
      <c r="A101" s="88">
        <v>2022</v>
      </c>
      <c r="B101" s="136">
        <f>[6]REKAPITULASI!B70</f>
        <v>0.18736947472944004</v>
      </c>
      <c r="C101" s="139">
        <f t="shared" si="28"/>
        <v>3.9347589693182408</v>
      </c>
      <c r="D101" s="138">
        <f>[6]REKAPITULASI!D70</f>
        <v>6.1858974531619065E-3</v>
      </c>
      <c r="E101" s="134">
        <f t="shared" si="29"/>
        <v>1.9176282104801909</v>
      </c>
      <c r="F101" s="137">
        <f t="shared" si="30"/>
        <v>5.8523871797984315</v>
      </c>
      <c r="G101" s="143">
        <f t="shared" si="31"/>
        <v>5852.3871797984311</v>
      </c>
    </row>
    <row r="102" spans="1:7" x14ac:dyDescent="0.25">
      <c r="A102" s="88">
        <v>2023</v>
      </c>
      <c r="B102" s="136">
        <f>[6]REKAPITULASI!B71</f>
        <v>0.19096894474847997</v>
      </c>
      <c r="C102" s="139">
        <f t="shared" si="28"/>
        <v>4.0103478397180794</v>
      </c>
      <c r="D102" s="138">
        <f>[6]REKAPITULASI!D71</f>
        <v>6.3047319242285731E-3</v>
      </c>
      <c r="E102" s="134">
        <f t="shared" si="29"/>
        <v>1.9544668965108576</v>
      </c>
      <c r="F102" s="137">
        <f t="shared" si="30"/>
        <v>5.964814736228937</v>
      </c>
      <c r="G102" s="143">
        <f t="shared" si="31"/>
        <v>5964.8147362289374</v>
      </c>
    </row>
    <row r="103" spans="1:7" x14ac:dyDescent="0.25">
      <c r="A103" s="88">
        <v>2024</v>
      </c>
      <c r="B103" s="136">
        <f>[6]REKAPITULASI!B72</f>
        <v>0.19456841476752001</v>
      </c>
      <c r="C103" s="139">
        <f t="shared" si="28"/>
        <v>4.0859367101179203</v>
      </c>
      <c r="D103" s="138">
        <f>[6]REKAPITULASI!D72</f>
        <v>6.4235663952952396E-3</v>
      </c>
      <c r="E103" s="134">
        <f t="shared" si="29"/>
        <v>1.9913055825415242</v>
      </c>
      <c r="F103" s="137">
        <f t="shared" si="30"/>
        <v>6.0772422926594443</v>
      </c>
      <c r="G103" s="143">
        <f t="shared" si="31"/>
        <v>6077.2422926594445</v>
      </c>
    </row>
    <row r="104" spans="1:7" x14ac:dyDescent="0.25">
      <c r="A104" s="88">
        <v>2025</v>
      </c>
      <c r="B104" s="136">
        <f>[6]REKAPITULASI!B73</f>
        <v>0.19816788478656006</v>
      </c>
      <c r="C104" s="139">
        <f t="shared" si="28"/>
        <v>4.1615255805177611</v>
      </c>
      <c r="D104" s="138">
        <f>[6]REKAPITULASI!D73</f>
        <v>6.5424008663619053E-3</v>
      </c>
      <c r="E104" s="134">
        <f t="shared" si="29"/>
        <v>2.0281442685721904</v>
      </c>
      <c r="F104" s="137">
        <f t="shared" si="30"/>
        <v>6.1896698490899515</v>
      </c>
      <c r="G104" s="143">
        <f t="shared" si="31"/>
        <v>6189.6698490899516</v>
      </c>
    </row>
    <row r="105" spans="1:7" x14ac:dyDescent="0.25">
      <c r="A105" s="88">
        <v>2026</v>
      </c>
      <c r="B105" s="136">
        <f>[6]REKAPITULASI!B74</f>
        <v>0.20176735480560001</v>
      </c>
      <c r="C105" s="139">
        <f t="shared" si="28"/>
        <v>4.2371144509176002</v>
      </c>
      <c r="D105" s="138">
        <f>[6]REKAPITULASI!D74</f>
        <v>6.6612353374285709E-3</v>
      </c>
      <c r="E105" s="134">
        <f t="shared" si="29"/>
        <v>2.0649829546028569</v>
      </c>
      <c r="F105" s="137">
        <f t="shared" si="30"/>
        <v>6.3020974055204571</v>
      </c>
      <c r="G105" s="143">
        <f t="shared" si="31"/>
        <v>6302.097405520457</v>
      </c>
    </row>
    <row r="106" spans="1:7" x14ac:dyDescent="0.25">
      <c r="A106" s="88">
        <v>2027</v>
      </c>
      <c r="B106" s="136">
        <f>[6]REKAPITULASI!B75</f>
        <v>0.20536682482464003</v>
      </c>
      <c r="C106" s="139">
        <f t="shared" si="28"/>
        <v>4.3127033213174402</v>
      </c>
      <c r="D106" s="138">
        <f>[6]REKAPITULASI!D75</f>
        <v>6.7800698084952401E-3</v>
      </c>
      <c r="E106" s="134">
        <f t="shared" si="29"/>
        <v>2.1018216406335246</v>
      </c>
      <c r="F106" s="137">
        <f t="shared" si="30"/>
        <v>6.4145249619509652</v>
      </c>
      <c r="G106" s="143">
        <f t="shared" si="31"/>
        <v>6414.524961950965</v>
      </c>
    </row>
    <row r="107" spans="1:7" x14ac:dyDescent="0.25">
      <c r="A107" s="88">
        <v>2028</v>
      </c>
      <c r="B107" s="136">
        <f>[6]REKAPITULASI!B76</f>
        <v>0.20896629484368001</v>
      </c>
      <c r="C107" s="139">
        <f t="shared" si="28"/>
        <v>4.3882921917172801</v>
      </c>
      <c r="D107" s="138">
        <f>[6]REKAPITULASI!D76</f>
        <v>6.8989042795619048E-3</v>
      </c>
      <c r="E107" s="134">
        <f t="shared" si="29"/>
        <v>2.1386603266641906</v>
      </c>
      <c r="F107" s="137">
        <f t="shared" si="30"/>
        <v>6.5269525183814707</v>
      </c>
      <c r="G107" s="143">
        <f t="shared" si="31"/>
        <v>6526.9525183814703</v>
      </c>
    </row>
    <row r="108" spans="1:7" x14ac:dyDescent="0.25">
      <c r="A108" s="88">
        <v>2029</v>
      </c>
      <c r="B108" s="136">
        <f>[6]REKAPITULASI!B77</f>
        <v>0.21256576486272</v>
      </c>
      <c r="C108" s="139">
        <f t="shared" si="28"/>
        <v>4.4638810621171201</v>
      </c>
      <c r="D108" s="138">
        <f>[6]REKAPITULASI!D77</f>
        <v>7.0177387506285731E-3</v>
      </c>
      <c r="E108" s="134">
        <f t="shared" si="29"/>
        <v>2.1754990126948575</v>
      </c>
      <c r="F108" s="137">
        <f t="shared" si="30"/>
        <v>6.639380074811978</v>
      </c>
      <c r="G108" s="143">
        <f t="shared" si="31"/>
        <v>6639.3800748119784</v>
      </c>
    </row>
    <row r="109" spans="1:7" x14ac:dyDescent="0.25">
      <c r="A109" s="88">
        <v>2030</v>
      </c>
      <c r="B109" s="136">
        <f>[6]REKAPITULASI!B78</f>
        <v>0.21616523488176004</v>
      </c>
      <c r="C109" s="139">
        <f t="shared" si="28"/>
        <v>4.539469932516961</v>
      </c>
      <c r="D109" s="138">
        <f>[6]REKAPITULASI!D78</f>
        <v>7.1365732216952379E-3</v>
      </c>
      <c r="E109" s="134">
        <f t="shared" si="29"/>
        <v>2.2123376987255239</v>
      </c>
      <c r="F109" s="137">
        <f t="shared" si="30"/>
        <v>6.7518076312424853</v>
      </c>
      <c r="G109" s="143">
        <f t="shared" si="31"/>
        <v>6751.8076312424855</v>
      </c>
    </row>
    <row r="110" spans="1:7" x14ac:dyDescent="0.25">
      <c r="A110" s="88">
        <v>2031</v>
      </c>
      <c r="B110" s="136"/>
      <c r="C110" s="139">
        <f t="shared" si="28"/>
        <v>0</v>
      </c>
      <c r="D110" s="138"/>
      <c r="E110" s="134">
        <f t="shared" si="29"/>
        <v>0</v>
      </c>
      <c r="F110" s="137">
        <f t="shared" si="30"/>
        <v>0</v>
      </c>
      <c r="G110" s="97"/>
    </row>
  </sheetData>
  <mergeCells count="32"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  <mergeCell ref="A6:A8"/>
    <mergeCell ref="B7:C7"/>
    <mergeCell ref="A58:A60"/>
    <mergeCell ref="B58:F58"/>
    <mergeCell ref="B59:C59"/>
    <mergeCell ref="D59:E59"/>
    <mergeCell ref="D7:D8"/>
    <mergeCell ref="B6:D6"/>
    <mergeCell ref="A32:A34"/>
    <mergeCell ref="B32:F32"/>
    <mergeCell ref="B33:C33"/>
    <mergeCell ref="D33:E33"/>
    <mergeCell ref="F33:F34"/>
    <mergeCell ref="D86:E86"/>
    <mergeCell ref="H59:H60"/>
    <mergeCell ref="I59:J59"/>
    <mergeCell ref="F86:G86"/>
    <mergeCell ref="A86:A89"/>
    <mergeCell ref="B86:C86"/>
    <mergeCell ref="B88:B8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topLeftCell="A10" workbookViewId="0">
      <selection activeCell="L12" sqref="L12"/>
    </sheetView>
  </sheetViews>
  <sheetFormatPr defaultRowHeight="12.75" x14ac:dyDescent="0.25"/>
  <cols>
    <col min="1" max="2" width="9.140625" style="145"/>
    <col min="3" max="3" width="14.5703125" style="145" customWidth="1"/>
    <col min="4" max="4" width="19.140625" style="145" customWidth="1"/>
    <col min="5" max="16384" width="9.140625" style="145"/>
  </cols>
  <sheetData>
    <row r="3" spans="2:4" x14ac:dyDescent="0.25">
      <c r="B3" s="215" t="s">
        <v>10</v>
      </c>
      <c r="C3" s="215" t="s">
        <v>151</v>
      </c>
      <c r="D3" s="215"/>
    </row>
    <row r="4" spans="2:4" x14ac:dyDescent="0.25">
      <c r="B4" s="215"/>
      <c r="C4" s="146" t="s">
        <v>150</v>
      </c>
      <c r="D4" s="146" t="s">
        <v>146</v>
      </c>
    </row>
    <row r="5" spans="2:4" ht="15" x14ac:dyDescent="0.25">
      <c r="B5" s="88">
        <v>2011</v>
      </c>
      <c r="C5" s="165">
        <f>'[7]4D2_CH4_Industrial_Wastewater'!$G12</f>
        <v>3081840</v>
      </c>
      <c r="D5" s="165">
        <f>(C5*21)/1000</f>
        <v>64718.64</v>
      </c>
    </row>
    <row r="6" spans="2:4" ht="15" x14ac:dyDescent="0.25">
      <c r="B6" s="88">
        <v>2012</v>
      </c>
      <c r="C6" s="165">
        <f>'[7]4D2_CH4_Industrial_Wastewater'!$G13</f>
        <v>2831292</v>
      </c>
      <c r="D6" s="165">
        <f t="shared" ref="D6:D15" si="0">(C6*21)/1000</f>
        <v>59457.131999999998</v>
      </c>
    </row>
    <row r="7" spans="2:4" ht="15" x14ac:dyDescent="0.25">
      <c r="B7" s="88">
        <v>2013</v>
      </c>
      <c r="C7" s="165">
        <f>'[7]4D2_CH4_Industrial_Wastewater'!$G14</f>
        <v>2203596</v>
      </c>
      <c r="D7" s="165">
        <f t="shared" si="0"/>
        <v>46275.516000000003</v>
      </c>
    </row>
    <row r="8" spans="2:4" ht="15" x14ac:dyDescent="0.25">
      <c r="B8" s="88">
        <v>2014</v>
      </c>
      <c r="C8" s="165">
        <f>'[7]4D2_CH4_Industrial_Wastewater'!$G15</f>
        <v>2667972</v>
      </c>
      <c r="D8" s="165">
        <f t="shared" si="0"/>
        <v>56027.411999999997</v>
      </c>
    </row>
    <row r="9" spans="2:4" ht="15" x14ac:dyDescent="0.25">
      <c r="B9" s="88">
        <v>2015</v>
      </c>
      <c r="C9" s="165">
        <f>'[7]4D2_CH4_Industrial_Wastewater'!$G16</f>
        <v>2775696</v>
      </c>
      <c r="D9" s="165">
        <f t="shared" si="0"/>
        <v>58289.616000000002</v>
      </c>
    </row>
    <row r="10" spans="2:4" ht="15" x14ac:dyDescent="0.25">
      <c r="B10" s="88">
        <v>2016</v>
      </c>
      <c r="C10" s="165">
        <f>'[7]4D2_CH4_Industrial_Wastewater'!$G17</f>
        <v>2719554</v>
      </c>
      <c r="D10" s="165">
        <f t="shared" si="0"/>
        <v>57110.633999999998</v>
      </c>
    </row>
    <row r="11" spans="2:4" ht="15" x14ac:dyDescent="0.25">
      <c r="B11" s="88">
        <v>2017</v>
      </c>
      <c r="C11" s="165">
        <f>'[7]4D2_CH4_Industrial_Wastewater'!$G18</f>
        <v>4665707.34</v>
      </c>
      <c r="D11" s="165">
        <f t="shared" si="0"/>
        <v>97979.854139999996</v>
      </c>
    </row>
    <row r="12" spans="2:4" ht="15" x14ac:dyDescent="0.25">
      <c r="B12" s="88">
        <v>2018</v>
      </c>
      <c r="C12" s="165">
        <f>'[7]4D2_CH4_Industrial_Wastewater'!$G19</f>
        <v>4973672.4479999989</v>
      </c>
      <c r="D12" s="165">
        <f t="shared" si="0"/>
        <v>104447.12140799998</v>
      </c>
    </row>
    <row r="13" spans="2:4" ht="15" x14ac:dyDescent="0.25">
      <c r="B13" s="88">
        <v>2019</v>
      </c>
      <c r="C13" s="165">
        <f>'[7]4D2_CH4_Industrial_Wastewater'!$G20</f>
        <v>5290202.1239999998</v>
      </c>
      <c r="D13" s="165">
        <f t="shared" si="0"/>
        <v>111094.24460400001</v>
      </c>
    </row>
    <row r="14" spans="2:4" ht="15" x14ac:dyDescent="0.25">
      <c r="B14" s="88">
        <v>2020</v>
      </c>
      <c r="C14" s="165">
        <f>'[7]4D2_CH4_Industrial_Wastewater'!$G21</f>
        <v>5615296.3679999989</v>
      </c>
      <c r="D14" s="165">
        <f t="shared" si="0"/>
        <v>117921.22372799997</v>
      </c>
    </row>
    <row r="15" spans="2:4" ht="15" x14ac:dyDescent="0.25">
      <c r="B15" s="88">
        <v>2021</v>
      </c>
      <c r="C15" s="165">
        <f>'[7]4D2_CH4_Industrial_Wastewater'!$G22</f>
        <v>5594525.5799999982</v>
      </c>
      <c r="D15" s="165">
        <f t="shared" si="0"/>
        <v>117485.03717999996</v>
      </c>
    </row>
    <row r="16" spans="2:4" ht="15" x14ac:dyDescent="0.25">
      <c r="B16" s="88">
        <v>2022</v>
      </c>
      <c r="C16" s="165">
        <f>'[7]4D2_CH4_Industrial_Wastewater'!$G23</f>
        <v>5568793.919999999</v>
      </c>
      <c r="D16" s="165">
        <f t="shared" ref="D16:D25" si="1">(C16*21)/1000</f>
        <v>116944.67231999998</v>
      </c>
    </row>
    <row r="17" spans="2:4" ht="15" x14ac:dyDescent="0.25">
      <c r="B17" s="88">
        <v>2023</v>
      </c>
      <c r="C17" s="165">
        <f>'[7]4D2_CH4_Industrial_Wastewater'!$G24</f>
        <v>5538101.3879999984</v>
      </c>
      <c r="D17" s="165">
        <f t="shared" si="1"/>
        <v>116300.12914799998</v>
      </c>
    </row>
    <row r="18" spans="2:4" ht="15" x14ac:dyDescent="0.25">
      <c r="B18" s="88">
        <v>2024</v>
      </c>
      <c r="C18" s="165">
        <f>'[7]4D2_CH4_Industrial_Wastewater'!$G25</f>
        <v>5502447.9839999992</v>
      </c>
      <c r="D18" s="165">
        <f t="shared" si="1"/>
        <v>115551.40766399998</v>
      </c>
    </row>
    <row r="19" spans="2:4" ht="15" x14ac:dyDescent="0.25">
      <c r="B19" s="88">
        <v>2025</v>
      </c>
      <c r="C19" s="165">
        <f>'[7]4D2_CH4_Industrial_Wastewater'!$G26</f>
        <v>5461833.7079999987</v>
      </c>
      <c r="D19" s="165">
        <f t="shared" si="1"/>
        <v>114698.50786799997</v>
      </c>
    </row>
    <row r="20" spans="2:4" ht="15" x14ac:dyDescent="0.25">
      <c r="B20" s="88">
        <v>2026</v>
      </c>
      <c r="C20" s="165">
        <f>'[7]4D2_CH4_Industrial_Wastewater'!$G27</f>
        <v>5416258.5599999987</v>
      </c>
      <c r="D20" s="165">
        <f t="shared" si="1"/>
        <v>113741.42975999997</v>
      </c>
    </row>
    <row r="21" spans="2:4" ht="15" x14ac:dyDescent="0.25">
      <c r="B21" s="88">
        <v>2027</v>
      </c>
      <c r="C21" s="165">
        <f>'[7]4D2_CH4_Industrial_Wastewater'!$G28</f>
        <v>5365722.5399999991</v>
      </c>
      <c r="D21" s="165">
        <f t="shared" si="1"/>
        <v>112680.17333999998</v>
      </c>
    </row>
    <row r="22" spans="2:4" ht="15" x14ac:dyDescent="0.25">
      <c r="B22" s="88">
        <v>2028</v>
      </c>
      <c r="C22" s="165">
        <f>'[7]4D2_CH4_Industrial_Wastewater'!$G29</f>
        <v>5310225.6479999982</v>
      </c>
      <c r="D22" s="165">
        <f t="shared" si="1"/>
        <v>111514.73860799997</v>
      </c>
    </row>
    <row r="23" spans="2:4" ht="15" x14ac:dyDescent="0.25">
      <c r="B23" s="88">
        <v>2029</v>
      </c>
      <c r="C23" s="165">
        <f>'[7]4D2_CH4_Industrial_Wastewater'!$G30</f>
        <v>5249767.8839999977</v>
      </c>
      <c r="D23" s="165">
        <f t="shared" si="1"/>
        <v>110245.12556399996</v>
      </c>
    </row>
    <row r="24" spans="2:4" ht="15" x14ac:dyDescent="0.25">
      <c r="B24" s="88">
        <v>2030</v>
      </c>
      <c r="C24" s="165">
        <f>'[7]4D2_CH4_Industrial_Wastewater'!$G31</f>
        <v>5336671.1519999979</v>
      </c>
      <c r="D24" s="165">
        <f t="shared" si="1"/>
        <v>112070.09419199996</v>
      </c>
    </row>
    <row r="25" spans="2:4" ht="15" x14ac:dyDescent="0.25">
      <c r="B25" s="88">
        <v>2031</v>
      </c>
      <c r="C25" s="147"/>
      <c r="D25" s="165">
        <f t="shared" si="1"/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64</v>
      </c>
    </row>
    <row r="5" spans="1:9" s="20" customFormat="1" ht="47.25" customHeight="1" x14ac:dyDescent="0.25">
      <c r="A5" s="25" t="s">
        <v>45</v>
      </c>
      <c r="B5" s="26" t="s">
        <v>46</v>
      </c>
      <c r="C5" s="21" t="s">
        <v>54</v>
      </c>
      <c r="D5" s="246" t="s">
        <v>53</v>
      </c>
      <c r="E5" s="246"/>
      <c r="F5" s="247" t="s">
        <v>63</v>
      </c>
      <c r="G5" s="247"/>
      <c r="H5" s="247"/>
      <c r="I5" s="247"/>
    </row>
    <row r="6" spans="1:9" s="20" customFormat="1" ht="16.5" customHeight="1" x14ac:dyDescent="0.25">
      <c r="A6" s="243" t="s">
        <v>47</v>
      </c>
      <c r="B6" s="243" t="s">
        <v>49</v>
      </c>
      <c r="C6" s="244"/>
      <c r="D6" s="232" t="s">
        <v>69</v>
      </c>
      <c r="E6" s="232"/>
      <c r="F6" s="233" t="s">
        <v>55</v>
      </c>
      <c r="G6" s="233"/>
      <c r="H6" s="233"/>
      <c r="I6" s="233"/>
    </row>
    <row r="7" spans="1:9" s="20" customFormat="1" ht="29.25" customHeight="1" x14ac:dyDescent="0.25">
      <c r="A7" s="243"/>
      <c r="B7" s="243"/>
      <c r="C7" s="244"/>
      <c r="D7" s="232"/>
      <c r="E7" s="232"/>
      <c r="F7" s="233" t="s">
        <v>56</v>
      </c>
      <c r="G7" s="233"/>
      <c r="H7" s="233"/>
      <c r="I7" s="233"/>
    </row>
    <row r="8" spans="1:9" s="20" customFormat="1" ht="51" customHeight="1" x14ac:dyDescent="0.25">
      <c r="A8" s="243"/>
      <c r="B8" s="29" t="s">
        <v>58</v>
      </c>
      <c r="C8" s="22"/>
      <c r="D8" s="232" t="s">
        <v>57</v>
      </c>
      <c r="E8" s="232"/>
      <c r="F8" s="233" t="s">
        <v>60</v>
      </c>
      <c r="G8" s="233"/>
      <c r="H8" s="233"/>
      <c r="I8" s="233"/>
    </row>
    <row r="9" spans="1:9" s="20" customFormat="1" ht="31.5" customHeight="1" x14ac:dyDescent="0.25">
      <c r="A9" s="243"/>
      <c r="B9" s="231" t="s">
        <v>50</v>
      </c>
      <c r="C9" s="22"/>
      <c r="D9" s="232" t="s">
        <v>59</v>
      </c>
      <c r="E9" s="232"/>
      <c r="F9" s="240" t="s">
        <v>65</v>
      </c>
      <c r="G9" s="241"/>
      <c r="H9" s="241"/>
      <c r="I9" s="242"/>
    </row>
    <row r="10" spans="1:9" s="20" customFormat="1" ht="20.25" customHeight="1" x14ac:dyDescent="0.25">
      <c r="A10" s="243"/>
      <c r="B10" s="231"/>
      <c r="C10" s="22"/>
      <c r="D10" s="232"/>
      <c r="E10" s="232"/>
      <c r="F10" s="233" t="s">
        <v>61</v>
      </c>
      <c r="G10" s="233"/>
      <c r="H10" s="233"/>
      <c r="I10" s="233"/>
    </row>
    <row r="11" spans="1:9" s="20" customFormat="1" ht="17.25" customHeight="1" x14ac:dyDescent="0.25">
      <c r="A11" s="243"/>
      <c r="B11" s="231"/>
      <c r="C11" s="22"/>
      <c r="D11" s="232"/>
      <c r="E11" s="232"/>
      <c r="F11" s="233" t="s">
        <v>62</v>
      </c>
      <c r="G11" s="233"/>
      <c r="H11" s="233"/>
      <c r="I11" s="233"/>
    </row>
    <row r="12" spans="1:9" s="20" customFormat="1" ht="60" customHeight="1" x14ac:dyDescent="0.25">
      <c r="A12" s="243" t="s">
        <v>48</v>
      </c>
      <c r="B12" s="27" t="s">
        <v>51</v>
      </c>
      <c r="C12" s="23"/>
      <c r="D12" s="24"/>
      <c r="E12" s="22"/>
      <c r="F12" s="234" t="s">
        <v>66</v>
      </c>
      <c r="G12" s="235"/>
      <c r="H12" s="235"/>
      <c r="I12" s="236"/>
    </row>
    <row r="13" spans="1:9" s="20" customFormat="1" ht="30" x14ac:dyDescent="0.25">
      <c r="A13" s="243"/>
      <c r="B13" s="28" t="s">
        <v>52</v>
      </c>
      <c r="C13" s="23"/>
      <c r="D13" s="24"/>
      <c r="E13" s="22"/>
      <c r="F13" s="237"/>
      <c r="G13" s="238"/>
      <c r="H13" s="238"/>
      <c r="I13" s="239"/>
    </row>
    <row r="18" spans="1:22" ht="21" x14ac:dyDescent="0.35">
      <c r="A18" s="245" t="s">
        <v>73</v>
      </c>
      <c r="B18" s="245"/>
      <c r="C18" s="245"/>
      <c r="D18" s="245"/>
      <c r="E18" s="245"/>
      <c r="F18" s="245"/>
      <c r="G18" s="245"/>
      <c r="H18" s="245"/>
      <c r="I18" s="245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68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216" t="s">
        <v>8</v>
      </c>
      <c r="B21" s="229" t="s">
        <v>39</v>
      </c>
      <c r="C21" s="229"/>
      <c r="D21" s="229"/>
      <c r="E21" s="229"/>
      <c r="F21" s="229"/>
      <c r="G21" s="229"/>
      <c r="H21" s="229"/>
      <c r="I21" s="230"/>
      <c r="K21" t="s">
        <v>21</v>
      </c>
      <c r="L21" t="s">
        <v>24</v>
      </c>
    </row>
    <row r="22" spans="1:22" ht="38.25" x14ac:dyDescent="0.25">
      <c r="A22" s="216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30"/>
      <c r="O22" s="8" t="s">
        <v>18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40</v>
      </c>
      <c r="K23" s="10" t="s">
        <v>42</v>
      </c>
    </row>
    <row r="24" spans="1:22" ht="15" customHeight="1" x14ac:dyDescent="0.25">
      <c r="A24" s="2">
        <v>2011</v>
      </c>
      <c r="B24" s="222" t="s">
        <v>70</v>
      </c>
      <c r="C24" s="35">
        <v>0</v>
      </c>
      <c r="D24" s="222" t="s">
        <v>72</v>
      </c>
      <c r="E24" s="222" t="s">
        <v>78</v>
      </c>
      <c r="F24" s="222"/>
      <c r="G24" s="222"/>
      <c r="H24" s="222"/>
      <c r="I24" s="34"/>
      <c r="K24" t="s">
        <v>25</v>
      </c>
      <c r="L24" s="15">
        <v>4000</v>
      </c>
      <c r="M24" s="16" t="s">
        <v>32</v>
      </c>
      <c r="N24" s="15">
        <v>6000</v>
      </c>
      <c r="O24" s="8" t="s">
        <v>27</v>
      </c>
      <c r="R24" s="18">
        <f>L24*1000/365</f>
        <v>10958.904109589041</v>
      </c>
      <c r="S24" s="19" t="s">
        <v>32</v>
      </c>
      <c r="T24" s="18">
        <f>N24*1000/365</f>
        <v>16438.35616438356</v>
      </c>
      <c r="U24" s="11" t="s">
        <v>30</v>
      </c>
      <c r="V24" t="s">
        <v>71</v>
      </c>
    </row>
    <row r="25" spans="1:22" ht="60" customHeight="1" x14ac:dyDescent="0.25">
      <c r="A25" s="2">
        <v>2012</v>
      </c>
      <c r="B25" s="222"/>
      <c r="C25" s="35">
        <v>0</v>
      </c>
      <c r="D25" s="222"/>
      <c r="E25" s="222"/>
      <c r="F25" s="222"/>
      <c r="G25" s="222"/>
      <c r="H25" s="222"/>
      <c r="I25" s="34"/>
      <c r="K25" t="s">
        <v>26</v>
      </c>
      <c r="L25" s="220">
        <v>1000</v>
      </c>
      <c r="M25" s="220"/>
      <c r="N25" s="220"/>
      <c r="O25" s="8" t="s">
        <v>27</v>
      </c>
      <c r="R25" s="221">
        <f>L25*1000/365</f>
        <v>2739.7260273972602</v>
      </c>
      <c r="S25" s="221"/>
      <c r="T25" s="221"/>
      <c r="U25" s="11" t="s">
        <v>44</v>
      </c>
    </row>
    <row r="26" spans="1:22" x14ac:dyDescent="0.25">
      <c r="A26" s="2">
        <v>2013</v>
      </c>
      <c r="B26" s="222"/>
      <c r="C26" s="35">
        <v>0</v>
      </c>
      <c r="D26" s="222"/>
      <c r="E26" s="222"/>
      <c r="F26" s="222"/>
      <c r="G26" s="222"/>
      <c r="H26" s="222"/>
      <c r="I26" s="34"/>
      <c r="K26" t="s">
        <v>28</v>
      </c>
      <c r="L26" s="220">
        <v>3000</v>
      </c>
      <c r="M26" s="220"/>
      <c r="N26" s="220"/>
      <c r="O26" s="8" t="s">
        <v>27</v>
      </c>
    </row>
    <row r="27" spans="1:22" x14ac:dyDescent="0.25">
      <c r="A27" s="2">
        <v>2014</v>
      </c>
      <c r="B27" s="222"/>
      <c r="C27" s="35">
        <v>0</v>
      </c>
      <c r="D27" s="222"/>
      <c r="E27" s="222"/>
      <c r="F27" s="222"/>
      <c r="G27" s="222"/>
      <c r="H27" s="222"/>
      <c r="I27" s="34"/>
      <c r="K27" s="9" t="s">
        <v>29</v>
      </c>
      <c r="L27" s="15">
        <v>8000</v>
      </c>
      <c r="M27" s="16" t="s">
        <v>32</v>
      </c>
      <c r="N27" s="15">
        <v>10000</v>
      </c>
      <c r="O27" s="8" t="s">
        <v>18</v>
      </c>
    </row>
    <row r="28" spans="1:22" x14ac:dyDescent="0.25">
      <c r="A28" s="2">
        <v>2015</v>
      </c>
      <c r="B28" s="222"/>
      <c r="C28" s="35">
        <v>0</v>
      </c>
      <c r="D28" s="222"/>
      <c r="E28" s="222"/>
      <c r="F28" s="222"/>
      <c r="G28" s="222"/>
      <c r="H28" s="222"/>
      <c r="I28" s="34"/>
    </row>
    <row r="29" spans="1:22" x14ac:dyDescent="0.25">
      <c r="A29" s="2">
        <v>2016</v>
      </c>
      <c r="B29" s="222"/>
      <c r="C29" s="35">
        <v>0</v>
      </c>
      <c r="D29" s="222"/>
      <c r="E29" s="222"/>
      <c r="F29" s="222"/>
      <c r="G29" s="222"/>
      <c r="H29" s="222"/>
      <c r="I29" s="34"/>
    </row>
    <row r="30" spans="1:22" x14ac:dyDescent="0.25">
      <c r="A30" s="2">
        <v>2017</v>
      </c>
      <c r="B30" s="222"/>
      <c r="C30" s="35">
        <v>0</v>
      </c>
      <c r="D30" s="222"/>
      <c r="E30" s="222"/>
      <c r="F30" s="222"/>
      <c r="G30" s="222"/>
      <c r="H30" s="222"/>
      <c r="I30" s="34"/>
    </row>
    <row r="31" spans="1:22" ht="25.5" x14ac:dyDescent="0.25">
      <c r="A31" s="2">
        <v>2018</v>
      </c>
      <c r="B31" s="222"/>
      <c r="C31" s="35">
        <v>0</v>
      </c>
      <c r="D31" s="222"/>
      <c r="E31" s="222"/>
      <c r="F31" s="222"/>
      <c r="G31" s="222"/>
      <c r="H31" s="222"/>
      <c r="I31" s="34"/>
      <c r="J31" s="9" t="s">
        <v>41</v>
      </c>
      <c r="K31" s="10" t="s">
        <v>43</v>
      </c>
    </row>
    <row r="32" spans="1:22" x14ac:dyDescent="0.25">
      <c r="A32" s="2">
        <v>2019</v>
      </c>
      <c r="B32" s="222"/>
      <c r="C32" s="35">
        <v>0</v>
      </c>
      <c r="D32" s="222"/>
      <c r="E32" s="222"/>
      <c r="F32" s="222"/>
      <c r="G32" s="222"/>
      <c r="H32" s="222"/>
      <c r="I32" s="34"/>
      <c r="K32" t="s">
        <v>25</v>
      </c>
      <c r="L32" s="17">
        <f>0.6*L35</f>
        <v>360</v>
      </c>
      <c r="M32" s="8" t="s">
        <v>27</v>
      </c>
      <c r="R32" s="18">
        <f>L32*1000/365</f>
        <v>986.30136986301375</v>
      </c>
      <c r="S32" s="11" t="s">
        <v>30</v>
      </c>
      <c r="T32" s="11"/>
    </row>
    <row r="33" spans="1:20" x14ac:dyDescent="0.25">
      <c r="A33" s="2">
        <v>2020</v>
      </c>
      <c r="B33" s="222"/>
      <c r="C33" s="35">
        <v>0</v>
      </c>
      <c r="D33" s="222"/>
      <c r="E33" s="222"/>
      <c r="F33" s="222"/>
      <c r="G33" s="222"/>
      <c r="H33" s="222"/>
      <c r="I33" s="34"/>
      <c r="K33" t="s">
        <v>26</v>
      </c>
      <c r="L33" s="17">
        <f>0.1*L35</f>
        <v>60</v>
      </c>
      <c r="M33" s="8" t="s">
        <v>27</v>
      </c>
      <c r="R33" s="18">
        <f>L33*1000/365</f>
        <v>164.38356164383561</v>
      </c>
      <c r="S33" s="11" t="s">
        <v>31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28</v>
      </c>
      <c r="L34" s="17">
        <f>0.3*L35</f>
        <v>180</v>
      </c>
      <c r="M34" s="8" t="s">
        <v>27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29</v>
      </c>
      <c r="L35" s="17">
        <v>600</v>
      </c>
      <c r="M35" s="8" t="s">
        <v>18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67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216" t="s">
        <v>8</v>
      </c>
      <c r="B37" s="223" t="s">
        <v>77</v>
      </c>
      <c r="C37" s="224"/>
      <c r="D37" s="224"/>
      <c r="E37" s="224"/>
      <c r="F37" s="224"/>
      <c r="G37" s="224"/>
      <c r="H37" s="225"/>
      <c r="I37" s="218" t="s">
        <v>39</v>
      </c>
    </row>
    <row r="38" spans="1:20" ht="38.25" x14ac:dyDescent="0.25">
      <c r="A38" s="216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19"/>
    </row>
    <row r="39" spans="1:20" x14ac:dyDescent="0.25">
      <c r="A39" s="2">
        <v>2010</v>
      </c>
      <c r="B39" s="226" t="s">
        <v>74</v>
      </c>
      <c r="C39" s="226" t="s">
        <v>75</v>
      </c>
      <c r="D39" s="226" t="s">
        <v>74</v>
      </c>
      <c r="E39" s="226" t="s">
        <v>75</v>
      </c>
      <c r="F39" s="226" t="s">
        <v>75</v>
      </c>
      <c r="G39" s="226" t="s">
        <v>75</v>
      </c>
      <c r="H39" s="226" t="s">
        <v>75</v>
      </c>
      <c r="I39" s="14">
        <f>'timbulan sampah'!E5</f>
        <v>29.195600000000002</v>
      </c>
    </row>
    <row r="40" spans="1:20" x14ac:dyDescent="0.25">
      <c r="A40" s="2">
        <v>2011</v>
      </c>
      <c r="B40" s="227"/>
      <c r="C40" s="227"/>
      <c r="D40" s="227"/>
      <c r="E40" s="227"/>
      <c r="F40" s="227"/>
      <c r="G40" s="227"/>
      <c r="H40" s="227"/>
      <c r="I40" s="14">
        <f>'timbulan sampah'!E6</f>
        <v>29.606800000000003</v>
      </c>
      <c r="K40" t="s">
        <v>19</v>
      </c>
      <c r="O40" s="8" t="s">
        <v>20</v>
      </c>
    </row>
    <row r="41" spans="1:20" x14ac:dyDescent="0.25">
      <c r="A41" s="2">
        <v>2012</v>
      </c>
      <c r="B41" s="227"/>
      <c r="C41" s="227"/>
      <c r="D41" s="227"/>
      <c r="E41" s="227"/>
      <c r="F41" s="227"/>
      <c r="G41" s="227"/>
      <c r="H41" s="227"/>
      <c r="I41" s="14">
        <f>'timbulan sampah'!E7</f>
        <v>30.041</v>
      </c>
      <c r="K41" t="s">
        <v>22</v>
      </c>
      <c r="O41" s="8" t="s">
        <v>23</v>
      </c>
    </row>
    <row r="42" spans="1:20" x14ac:dyDescent="0.25">
      <c r="A42" s="2">
        <v>2013</v>
      </c>
      <c r="B42" s="227"/>
      <c r="C42" s="227"/>
      <c r="D42" s="227"/>
      <c r="E42" s="227"/>
      <c r="F42" s="227"/>
      <c r="G42" s="227"/>
      <c r="H42" s="227"/>
      <c r="I42" s="14">
        <f>'timbulan sampah'!E8</f>
        <v>30.423800000000004</v>
      </c>
    </row>
    <row r="43" spans="1:20" x14ac:dyDescent="0.25">
      <c r="A43" s="2">
        <v>2014</v>
      </c>
      <c r="B43" s="227"/>
      <c r="C43" s="227"/>
      <c r="D43" s="227"/>
      <c r="E43" s="227"/>
      <c r="F43" s="227"/>
      <c r="G43" s="227"/>
      <c r="H43" s="227"/>
      <c r="I43" s="14">
        <f>'timbulan sampah'!E9</f>
        <v>30.847000000000001</v>
      </c>
    </row>
    <row r="44" spans="1:20" x14ac:dyDescent="0.25">
      <c r="A44" s="2">
        <v>2015</v>
      </c>
      <c r="B44" s="227"/>
      <c r="C44" s="227"/>
      <c r="D44" s="227"/>
      <c r="E44" s="227"/>
      <c r="F44" s="227"/>
      <c r="G44" s="227"/>
      <c r="H44" s="227"/>
      <c r="I44" s="14">
        <f>'timbulan sampah'!E10</f>
        <v>31.200200000000002</v>
      </c>
    </row>
    <row r="45" spans="1:20" x14ac:dyDescent="0.25">
      <c r="A45" s="2">
        <v>2016</v>
      </c>
      <c r="B45" s="227"/>
      <c r="C45" s="227"/>
      <c r="D45" s="227"/>
      <c r="E45" s="227"/>
      <c r="F45" s="227"/>
      <c r="G45" s="227"/>
      <c r="H45" s="227"/>
      <c r="I45" s="14">
        <f>'timbulan sampah'!E11</f>
        <v>32.424480000000003</v>
      </c>
    </row>
    <row r="46" spans="1:20" x14ac:dyDescent="0.25">
      <c r="A46" s="2">
        <v>2017</v>
      </c>
      <c r="B46" s="227"/>
      <c r="C46" s="227"/>
      <c r="D46" s="227"/>
      <c r="E46" s="227"/>
      <c r="F46" s="227"/>
      <c r="G46" s="227"/>
      <c r="H46" s="227"/>
      <c r="I46" s="14">
        <f>'timbulan sampah'!E12</f>
        <v>33.11356</v>
      </c>
    </row>
    <row r="47" spans="1:20" x14ac:dyDescent="0.25">
      <c r="A47" s="2">
        <v>2018</v>
      </c>
      <c r="B47" s="227"/>
      <c r="C47" s="227"/>
      <c r="D47" s="227"/>
      <c r="E47" s="227"/>
      <c r="F47" s="227"/>
      <c r="G47" s="227"/>
      <c r="H47" s="227"/>
      <c r="I47" s="14">
        <f>'timbulan sampah'!E13</f>
        <v>33.802640000000004</v>
      </c>
    </row>
    <row r="48" spans="1:20" x14ac:dyDescent="0.25">
      <c r="A48" s="2">
        <v>2019</v>
      </c>
      <c r="B48" s="227"/>
      <c r="C48" s="227"/>
      <c r="D48" s="227"/>
      <c r="E48" s="227"/>
      <c r="F48" s="227"/>
      <c r="G48" s="227"/>
      <c r="H48" s="227"/>
      <c r="I48" s="14">
        <f>'timbulan sampah'!E14</f>
        <v>34.491720000000001</v>
      </c>
    </row>
    <row r="49" spans="1:21" x14ac:dyDescent="0.25">
      <c r="A49" s="2">
        <v>2020</v>
      </c>
      <c r="B49" s="228"/>
      <c r="C49" s="228"/>
      <c r="D49" s="228"/>
      <c r="E49" s="228"/>
      <c r="F49" s="228"/>
      <c r="G49" s="228"/>
      <c r="H49" s="228"/>
      <c r="I49" s="14">
        <f>'timbulan sampah'!E15</f>
        <v>35.180800000000005</v>
      </c>
    </row>
    <row r="52" spans="1:21" x14ac:dyDescent="0.25">
      <c r="A52" s="216" t="s">
        <v>8</v>
      </c>
      <c r="B52" s="217" t="s">
        <v>0</v>
      </c>
      <c r="C52" s="217"/>
      <c r="D52" s="217"/>
      <c r="E52" s="217"/>
      <c r="F52" s="217"/>
      <c r="G52" s="217"/>
      <c r="H52" s="217"/>
      <c r="I52" s="218" t="s">
        <v>9</v>
      </c>
    </row>
    <row r="53" spans="1:21" ht="42.75" customHeight="1" x14ac:dyDescent="0.25">
      <c r="A53" s="216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19"/>
    </row>
    <row r="54" spans="1:21" ht="17.25" customHeight="1" x14ac:dyDescent="0.25">
      <c r="A54" s="2">
        <v>2010</v>
      </c>
      <c r="B54" s="248" t="s">
        <v>76</v>
      </c>
      <c r="C54" s="248" t="s">
        <v>76</v>
      </c>
      <c r="D54" s="248" t="s">
        <v>76</v>
      </c>
      <c r="E54" s="248" t="s">
        <v>76</v>
      </c>
      <c r="F54" s="248" t="s">
        <v>76</v>
      </c>
      <c r="G54" s="248" t="s">
        <v>76</v>
      </c>
      <c r="H54" s="248" t="s">
        <v>76</v>
      </c>
      <c r="I54" s="3">
        <v>1</v>
      </c>
    </row>
    <row r="55" spans="1:21" x14ac:dyDescent="0.25">
      <c r="A55" s="2">
        <v>2011</v>
      </c>
      <c r="B55" s="249"/>
      <c r="C55" s="249"/>
      <c r="D55" s="249"/>
      <c r="E55" s="249"/>
      <c r="F55" s="249"/>
      <c r="G55" s="249"/>
      <c r="H55" s="249"/>
      <c r="I55" s="3">
        <v>1</v>
      </c>
    </row>
    <row r="56" spans="1:21" x14ac:dyDescent="0.25">
      <c r="A56" s="2">
        <v>2012</v>
      </c>
      <c r="B56" s="249"/>
      <c r="C56" s="249"/>
      <c r="D56" s="249"/>
      <c r="E56" s="249"/>
      <c r="F56" s="249"/>
      <c r="G56" s="249"/>
      <c r="H56" s="249"/>
      <c r="I56" s="3">
        <v>1</v>
      </c>
    </row>
    <row r="57" spans="1:21" x14ac:dyDescent="0.25">
      <c r="A57" s="2">
        <v>2013</v>
      </c>
      <c r="B57" s="249"/>
      <c r="C57" s="249"/>
      <c r="D57" s="249"/>
      <c r="E57" s="249"/>
      <c r="F57" s="249"/>
      <c r="G57" s="249"/>
      <c r="H57" s="249"/>
      <c r="I57" s="3">
        <v>1</v>
      </c>
    </row>
    <row r="58" spans="1:21" x14ac:dyDescent="0.25">
      <c r="A58" s="2">
        <v>2014</v>
      </c>
      <c r="B58" s="249"/>
      <c r="C58" s="249"/>
      <c r="D58" s="249"/>
      <c r="E58" s="249"/>
      <c r="F58" s="249"/>
      <c r="G58" s="249"/>
      <c r="H58" s="249"/>
      <c r="I58" s="3">
        <v>1</v>
      </c>
    </row>
    <row r="59" spans="1:21" x14ac:dyDescent="0.25">
      <c r="A59" s="2">
        <v>2015</v>
      </c>
      <c r="B59" s="249"/>
      <c r="C59" s="249"/>
      <c r="D59" s="249"/>
      <c r="E59" s="249"/>
      <c r="F59" s="249"/>
      <c r="G59" s="249"/>
      <c r="H59" s="249"/>
      <c r="I59" s="3">
        <v>1</v>
      </c>
    </row>
    <row r="60" spans="1:21" x14ac:dyDescent="0.25">
      <c r="A60" s="2">
        <v>2016</v>
      </c>
      <c r="B60" s="249"/>
      <c r="C60" s="249"/>
      <c r="D60" s="249"/>
      <c r="E60" s="249"/>
      <c r="F60" s="249"/>
      <c r="G60" s="249"/>
      <c r="H60" s="249"/>
      <c r="I60" s="3">
        <v>1</v>
      </c>
    </row>
    <row r="61" spans="1:21" x14ac:dyDescent="0.25">
      <c r="A61" s="2">
        <v>2017</v>
      </c>
      <c r="B61" s="249"/>
      <c r="C61" s="249"/>
      <c r="D61" s="249"/>
      <c r="E61" s="249"/>
      <c r="F61" s="249"/>
      <c r="G61" s="249"/>
      <c r="H61" s="249"/>
      <c r="I61" s="3">
        <v>1</v>
      </c>
    </row>
    <row r="62" spans="1:21" x14ac:dyDescent="0.25">
      <c r="A62" s="2">
        <v>2018</v>
      </c>
      <c r="B62" s="249"/>
      <c r="C62" s="249"/>
      <c r="D62" s="249"/>
      <c r="E62" s="249"/>
      <c r="F62" s="249"/>
      <c r="G62" s="249"/>
      <c r="H62" s="249"/>
      <c r="I62" s="3">
        <v>1</v>
      </c>
    </row>
    <row r="63" spans="1:21" x14ac:dyDescent="0.25">
      <c r="A63" s="2">
        <v>2019</v>
      </c>
      <c r="B63" s="249"/>
      <c r="C63" s="249"/>
      <c r="D63" s="249"/>
      <c r="E63" s="249"/>
      <c r="F63" s="249"/>
      <c r="G63" s="249"/>
      <c r="H63" s="249"/>
      <c r="I63" s="3">
        <v>1</v>
      </c>
      <c r="U63" s="4"/>
    </row>
    <row r="64" spans="1:21" x14ac:dyDescent="0.25">
      <c r="A64" s="2">
        <v>2020</v>
      </c>
      <c r="B64" s="250"/>
      <c r="C64" s="250"/>
      <c r="D64" s="250"/>
      <c r="E64" s="250"/>
      <c r="F64" s="250"/>
      <c r="G64" s="250"/>
      <c r="H64" s="250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  <mergeCell ref="D5:E5"/>
    <mergeCell ref="F5:I5"/>
    <mergeCell ref="F6:I6"/>
    <mergeCell ref="F7:I7"/>
    <mergeCell ref="F8:I8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115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108</v>
      </c>
    </row>
    <row r="6" spans="1:19" ht="54" customHeight="1" x14ac:dyDescent="0.25">
      <c r="A6" s="251" t="s">
        <v>10</v>
      </c>
      <c r="B6" s="252" t="s">
        <v>109</v>
      </c>
      <c r="C6" s="252"/>
      <c r="D6" s="252"/>
      <c r="E6" s="71" t="s">
        <v>113</v>
      </c>
      <c r="F6" s="251" t="s">
        <v>10</v>
      </c>
      <c r="G6" s="252" t="s">
        <v>110</v>
      </c>
      <c r="H6" s="252"/>
      <c r="I6" s="252"/>
      <c r="J6" s="72" t="s">
        <v>114</v>
      </c>
      <c r="K6" s="251" t="s">
        <v>10</v>
      </c>
      <c r="L6" s="252" t="s">
        <v>111</v>
      </c>
      <c r="M6" s="252"/>
      <c r="N6" s="252"/>
      <c r="O6" s="72" t="s">
        <v>114</v>
      </c>
      <c r="P6" s="251" t="s">
        <v>10</v>
      </c>
      <c r="Q6" s="252" t="s">
        <v>112</v>
      </c>
      <c r="R6" s="252"/>
      <c r="S6" s="252"/>
    </row>
    <row r="7" spans="1:19" x14ac:dyDescent="0.25">
      <c r="A7" s="251"/>
      <c r="B7" s="251" t="s">
        <v>81</v>
      </c>
      <c r="C7" s="251"/>
      <c r="D7" s="252" t="s">
        <v>83</v>
      </c>
      <c r="E7" s="69"/>
      <c r="F7" s="251"/>
      <c r="G7" s="251" t="s">
        <v>81</v>
      </c>
      <c r="H7" s="251"/>
      <c r="I7" s="252" t="s">
        <v>83</v>
      </c>
      <c r="K7" s="251"/>
      <c r="L7" s="251" t="s">
        <v>81</v>
      </c>
      <c r="M7" s="251"/>
      <c r="N7" s="252" t="s">
        <v>83</v>
      </c>
      <c r="P7" s="251"/>
      <c r="Q7" s="251" t="s">
        <v>81</v>
      </c>
      <c r="R7" s="251"/>
      <c r="S7" s="252" t="s">
        <v>83</v>
      </c>
    </row>
    <row r="8" spans="1:19" x14ac:dyDescent="0.25">
      <c r="A8" s="251"/>
      <c r="B8" s="74" t="s">
        <v>84</v>
      </c>
      <c r="C8" s="74" t="s">
        <v>85</v>
      </c>
      <c r="D8" s="252"/>
      <c r="E8" s="6"/>
      <c r="F8" s="251"/>
      <c r="G8" s="74" t="s">
        <v>84</v>
      </c>
      <c r="H8" s="74" t="s">
        <v>85</v>
      </c>
      <c r="I8" s="252"/>
      <c r="K8" s="251"/>
      <c r="L8" s="74" t="s">
        <v>84</v>
      </c>
      <c r="M8" s="74" t="s">
        <v>85</v>
      </c>
      <c r="N8" s="252"/>
      <c r="P8" s="251"/>
      <c r="Q8" s="74" t="s">
        <v>84</v>
      </c>
      <c r="R8" s="74" t="s">
        <v>85</v>
      </c>
      <c r="S8" s="252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79</v>
      </c>
      <c r="K22" t="s">
        <v>119</v>
      </c>
      <c r="L22">
        <v>16000</v>
      </c>
    </row>
    <row r="23" spans="1:19" ht="15.75" thickBot="1" x14ac:dyDescent="0.3">
      <c r="A23" s="259" t="s">
        <v>10</v>
      </c>
      <c r="B23" s="261" t="s">
        <v>80</v>
      </c>
      <c r="C23" s="262"/>
      <c r="D23" s="262"/>
      <c r="E23" s="262"/>
      <c r="F23" s="263"/>
      <c r="K23" t="s">
        <v>120</v>
      </c>
      <c r="L23">
        <v>280</v>
      </c>
      <c r="M23" t="s">
        <v>122</v>
      </c>
    </row>
    <row r="24" spans="1:19" ht="15.75" thickBot="1" x14ac:dyDescent="0.3">
      <c r="A24" s="260"/>
      <c r="B24" s="261" t="s">
        <v>81</v>
      </c>
      <c r="C24" s="263"/>
      <c r="D24" s="261" t="s">
        <v>82</v>
      </c>
      <c r="E24" s="263"/>
      <c r="F24" s="264" t="s">
        <v>83</v>
      </c>
      <c r="K24" t="s">
        <v>121</v>
      </c>
      <c r="L24">
        <v>4800</v>
      </c>
      <c r="M24" t="s">
        <v>122</v>
      </c>
    </row>
    <row r="25" spans="1:19" x14ac:dyDescent="0.25">
      <c r="A25" s="260"/>
      <c r="B25" s="36" t="s">
        <v>84</v>
      </c>
      <c r="C25" s="36" t="s">
        <v>85</v>
      </c>
      <c r="D25" s="36" t="s">
        <v>86</v>
      </c>
      <c r="E25" s="36" t="s">
        <v>85</v>
      </c>
      <c r="F25" s="265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87</v>
      </c>
    </row>
    <row r="40" spans="1:6" ht="15.75" thickBot="1" x14ac:dyDescent="0.3">
      <c r="A40" s="266" t="s">
        <v>10</v>
      </c>
      <c r="B40" s="42" t="s">
        <v>88</v>
      </c>
      <c r="C40" s="43"/>
      <c r="D40" s="43"/>
      <c r="E40" s="43"/>
      <c r="F40" s="43"/>
    </row>
    <row r="41" spans="1:6" ht="15.75" thickBot="1" x14ac:dyDescent="0.3">
      <c r="A41" s="267"/>
      <c r="B41" s="42" t="s">
        <v>81</v>
      </c>
      <c r="C41" s="44"/>
      <c r="D41" s="42" t="s">
        <v>82</v>
      </c>
      <c r="E41" s="44"/>
      <c r="F41" s="45" t="s">
        <v>89</v>
      </c>
    </row>
    <row r="42" spans="1:6" x14ac:dyDescent="0.25">
      <c r="A42" s="267"/>
      <c r="B42" s="46" t="s">
        <v>84</v>
      </c>
      <c r="C42" s="46" t="s">
        <v>85</v>
      </c>
      <c r="D42" s="46" t="s">
        <v>86</v>
      </c>
      <c r="E42" s="46" t="s">
        <v>85</v>
      </c>
      <c r="F42" s="46" t="s">
        <v>90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0.32779777816696448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0.33260511280900951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0.33684336177486568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0.34152890765352412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0.34543943412881245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0.35899430205963417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0.36662359306640602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0.37425288407317786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0.38188217507994959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0.38951146608672138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0.39714075709349334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91</v>
      </c>
      <c r="B57" s="51"/>
      <c r="C57" s="50"/>
      <c r="D57" s="51"/>
    </row>
    <row r="58" spans="1:6" ht="15.75" thickBot="1" x14ac:dyDescent="0.3">
      <c r="A58" s="253" t="s">
        <v>10</v>
      </c>
      <c r="B58" s="255" t="s">
        <v>92</v>
      </c>
      <c r="C58" s="256"/>
      <c r="D58" s="53" t="s">
        <v>93</v>
      </c>
      <c r="E58" s="54"/>
      <c r="F58" s="55" t="s">
        <v>94</v>
      </c>
    </row>
    <row r="59" spans="1:6" ht="63.75" thickBot="1" x14ac:dyDescent="0.3">
      <c r="A59" s="254"/>
      <c r="B59" s="56" t="s">
        <v>95</v>
      </c>
      <c r="C59" s="56" t="s">
        <v>96</v>
      </c>
      <c r="D59" s="57" t="s">
        <v>97</v>
      </c>
      <c r="E59" s="57" t="s">
        <v>98</v>
      </c>
      <c r="F59" s="58" t="s">
        <v>99</v>
      </c>
    </row>
    <row r="60" spans="1:6" ht="15.75" thickBot="1" x14ac:dyDescent="0.3">
      <c r="A60" s="254"/>
      <c r="B60" s="257" t="s">
        <v>100</v>
      </c>
      <c r="C60" s="59" t="s">
        <v>101</v>
      </c>
      <c r="D60" s="60" t="s">
        <v>102</v>
      </c>
      <c r="E60" s="61" t="s">
        <v>103</v>
      </c>
      <c r="F60" s="62" t="s">
        <v>104</v>
      </c>
    </row>
    <row r="61" spans="1:6" ht="26.25" x14ac:dyDescent="0.25">
      <c r="A61" s="254"/>
      <c r="B61" s="258"/>
      <c r="C61" s="63" t="s">
        <v>105</v>
      </c>
      <c r="D61" s="64"/>
      <c r="E61" s="65" t="s">
        <v>106</v>
      </c>
      <c r="F61" s="66" t="s">
        <v>107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6:A8"/>
    <mergeCell ref="B6:D6"/>
    <mergeCell ref="F6:F8"/>
    <mergeCell ref="G6:I6"/>
    <mergeCell ref="K6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Rekapitulasi BaU Emisi GRK</vt:lpstr>
      <vt:lpstr>Rekap BAU Emisi Industri Sawitt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2017-09-27T07:23:33Z</dcterms:modified>
</cp:coreProperties>
</file>