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1_GIZ_PPRK\"/>
    </mc:Choice>
  </mc:AlternateContent>
  <bookViews>
    <workbookView xWindow="120" yWindow="60" windowWidth="19095" windowHeight="8445" activeTab="5"/>
  </bookViews>
  <sheets>
    <sheet name="Tabel I-O Prov Kaltim 2000" sheetId="3" r:id="rId1"/>
    <sheet name="I-O Prov Kaltim 2005" sheetId="1" r:id="rId2"/>
    <sheet name="I-O Prov Kaltim 2010" sheetId="2" r:id="rId3"/>
    <sheet name="IDN_CO2_2009" sheetId="5" r:id="rId4"/>
    <sheet name="IDN_JOULE_2009" sheetId="6" r:id="rId5"/>
    <sheet name="SECTOR_MAPPING" sheetId="4" r:id="rId6"/>
  </sheets>
  <externalReferences>
    <externalReference r:id="rId7"/>
    <externalReference r:id="rId8"/>
  </externalReferences>
  <definedNames>
    <definedName name="CAP_CT">#REF!</definedName>
    <definedName name="CAP_GFCF">#REF!</definedName>
    <definedName name="CAP_IT">#REF!</definedName>
    <definedName name="CAP_OCon">#REF!</definedName>
    <definedName name="CAP_OMach">#REF!</definedName>
    <definedName name="CAP_Other">#REF!</definedName>
    <definedName name="CAP_QI">#REF!</definedName>
    <definedName name="CAP_RStruc">#REF!</definedName>
    <definedName name="CAP_Soft">#REF!</definedName>
    <definedName name="CAP_TraEq">#REF!</definedName>
    <definedName name="CAPIT">#REF!</definedName>
    <definedName name="CAPIT_QI">#REF!</definedName>
    <definedName name="capit_qph">#REF!</definedName>
    <definedName name="CAPNIT">#REF!</definedName>
    <definedName name="CAPNIT_QI">#REF!</definedName>
    <definedName name="capnit_qph">#REF!</definedName>
    <definedName name="FLAPPIE">#REF!</definedName>
    <definedName name="VAConL">#REF!</definedName>
  </definedNames>
  <calcPr calcId="152511"/>
</workbook>
</file>

<file path=xl/calcChain.xml><?xml version="1.0" encoding="utf-8"?>
<calcChain xmlns="http://schemas.openxmlformats.org/spreadsheetml/2006/main">
  <c r="BE4" i="4" l="1"/>
  <c r="BF4" i="4"/>
  <c r="BG4" i="4"/>
  <c r="BH4" i="4"/>
  <c r="BI4" i="4"/>
  <c r="BJ4" i="4"/>
  <c r="BK4" i="4"/>
  <c r="BL4" i="4"/>
  <c r="BM4" i="4"/>
  <c r="BN4" i="4"/>
  <c r="BE5" i="4"/>
  <c r="BF5" i="4"/>
  <c r="BG5" i="4"/>
  <c r="BH5" i="4"/>
  <c r="BI5" i="4"/>
  <c r="BJ5" i="4"/>
  <c r="BK5" i="4"/>
  <c r="BL5" i="4"/>
  <c r="BM5" i="4"/>
  <c r="BN5" i="4"/>
  <c r="BE6" i="4"/>
  <c r="BF6" i="4"/>
  <c r="BG6" i="4"/>
  <c r="BH6" i="4"/>
  <c r="BI6" i="4"/>
  <c r="BJ6" i="4"/>
  <c r="BK6" i="4"/>
  <c r="BL6" i="4"/>
  <c r="BM6" i="4"/>
  <c r="BN6" i="4"/>
  <c r="BE7" i="4"/>
  <c r="BF7" i="4"/>
  <c r="BG7" i="4"/>
  <c r="BH7" i="4"/>
  <c r="BI7" i="4"/>
  <c r="BJ7" i="4"/>
  <c r="BK7" i="4"/>
  <c r="BL7" i="4"/>
  <c r="BM7" i="4"/>
  <c r="BN7" i="4"/>
  <c r="BE8" i="4"/>
  <c r="BF8" i="4"/>
  <c r="BG8" i="4"/>
  <c r="BH8" i="4"/>
  <c r="BI8" i="4"/>
  <c r="BJ8" i="4"/>
  <c r="BK8" i="4"/>
  <c r="BL8" i="4"/>
  <c r="BM8" i="4"/>
  <c r="BN8" i="4"/>
  <c r="BE9" i="4"/>
  <c r="BF9" i="4"/>
  <c r="BG9" i="4"/>
  <c r="BH9" i="4"/>
  <c r="BI9" i="4"/>
  <c r="BJ9" i="4"/>
  <c r="BK9" i="4"/>
  <c r="BL9" i="4"/>
  <c r="BM9" i="4"/>
  <c r="BN9" i="4"/>
  <c r="BE10" i="4"/>
  <c r="BF10" i="4"/>
  <c r="BG10" i="4"/>
  <c r="BH10" i="4"/>
  <c r="BI10" i="4"/>
  <c r="BJ10" i="4"/>
  <c r="BK10" i="4"/>
  <c r="BL10" i="4"/>
  <c r="BM10" i="4"/>
  <c r="BN10" i="4"/>
  <c r="BE11" i="4"/>
  <c r="BF11" i="4"/>
  <c r="BG11" i="4"/>
  <c r="BH11" i="4"/>
  <c r="BI11" i="4"/>
  <c r="BJ11" i="4"/>
  <c r="BK11" i="4"/>
  <c r="BL11" i="4"/>
  <c r="BM11" i="4"/>
  <c r="BN11" i="4"/>
  <c r="BE12" i="4"/>
  <c r="BF12" i="4"/>
  <c r="BG12" i="4"/>
  <c r="BH12" i="4"/>
  <c r="BI12" i="4"/>
  <c r="BJ12" i="4"/>
  <c r="BK12" i="4"/>
  <c r="BL12" i="4"/>
  <c r="BM12" i="4"/>
  <c r="BN12" i="4"/>
  <c r="BE13" i="4"/>
  <c r="BF13" i="4"/>
  <c r="BG13" i="4"/>
  <c r="BH13" i="4"/>
  <c r="BI13" i="4"/>
  <c r="BJ13" i="4"/>
  <c r="BK13" i="4"/>
  <c r="BL13" i="4"/>
  <c r="BM13" i="4"/>
  <c r="BN13" i="4"/>
  <c r="BE14" i="4"/>
  <c r="BF14" i="4"/>
  <c r="BG14" i="4"/>
  <c r="BH14" i="4"/>
  <c r="BI14" i="4"/>
  <c r="BJ14" i="4"/>
  <c r="BK14" i="4"/>
  <c r="BL14" i="4"/>
  <c r="BM14" i="4"/>
  <c r="BN14" i="4"/>
  <c r="BE15" i="4"/>
  <c r="BF15" i="4"/>
  <c r="BG15" i="4"/>
  <c r="BH15" i="4"/>
  <c r="BI15" i="4"/>
  <c r="BJ15" i="4"/>
  <c r="BK15" i="4"/>
  <c r="BL15" i="4"/>
  <c r="BM15" i="4"/>
  <c r="BN15" i="4"/>
  <c r="BE16" i="4"/>
  <c r="BF16" i="4"/>
  <c r="BG16" i="4"/>
  <c r="BH16" i="4"/>
  <c r="BI16" i="4"/>
  <c r="BJ16" i="4"/>
  <c r="BK16" i="4"/>
  <c r="BL16" i="4"/>
  <c r="BM16" i="4"/>
  <c r="BN16" i="4"/>
  <c r="BE17" i="4"/>
  <c r="BF17" i="4"/>
  <c r="BG17" i="4"/>
  <c r="BH17" i="4"/>
  <c r="BI17" i="4"/>
  <c r="BJ17" i="4"/>
  <c r="BK17" i="4"/>
  <c r="BL17" i="4"/>
  <c r="BM17" i="4"/>
  <c r="BN17" i="4"/>
  <c r="BE18" i="4"/>
  <c r="BF18" i="4"/>
  <c r="BG18" i="4"/>
  <c r="BH18" i="4"/>
  <c r="BI18" i="4"/>
  <c r="BJ18" i="4"/>
  <c r="BK18" i="4"/>
  <c r="BL18" i="4"/>
  <c r="BM18" i="4"/>
  <c r="BN18" i="4"/>
  <c r="BE19" i="4"/>
  <c r="BF19" i="4"/>
  <c r="BG19" i="4"/>
  <c r="BH19" i="4"/>
  <c r="BI19" i="4"/>
  <c r="BJ19" i="4"/>
  <c r="BK19" i="4"/>
  <c r="BL19" i="4"/>
  <c r="BM19" i="4"/>
  <c r="BN19" i="4"/>
  <c r="BE20" i="4"/>
  <c r="BF20" i="4"/>
  <c r="BG20" i="4"/>
  <c r="BH20" i="4"/>
  <c r="BI20" i="4"/>
  <c r="BJ20" i="4"/>
  <c r="BK20" i="4"/>
  <c r="BL20" i="4"/>
  <c r="BM20" i="4"/>
  <c r="BN20" i="4"/>
  <c r="BE21" i="4"/>
  <c r="BF21" i="4"/>
  <c r="BG21" i="4"/>
  <c r="BH21" i="4"/>
  <c r="BI21" i="4"/>
  <c r="BJ21" i="4"/>
  <c r="BK21" i="4"/>
  <c r="BL21" i="4"/>
  <c r="BM21" i="4"/>
  <c r="BN21" i="4"/>
  <c r="BE22" i="4"/>
  <c r="BF22" i="4"/>
  <c r="BG22" i="4"/>
  <c r="BH22" i="4"/>
  <c r="BI22" i="4"/>
  <c r="BJ22" i="4"/>
  <c r="BK22" i="4"/>
  <c r="BL22" i="4"/>
  <c r="BM22" i="4"/>
  <c r="BN22" i="4"/>
  <c r="BE23" i="4"/>
  <c r="BF23" i="4"/>
  <c r="BG23" i="4"/>
  <c r="BH23" i="4"/>
  <c r="BI23" i="4"/>
  <c r="BJ23" i="4"/>
  <c r="BK23" i="4"/>
  <c r="BL23" i="4"/>
  <c r="BM23" i="4"/>
  <c r="BN23" i="4"/>
  <c r="BE24" i="4"/>
  <c r="BF24" i="4"/>
  <c r="BG24" i="4"/>
  <c r="BH24" i="4"/>
  <c r="BI24" i="4"/>
  <c r="BJ24" i="4"/>
  <c r="BK24" i="4"/>
  <c r="BL24" i="4"/>
  <c r="BM24" i="4"/>
  <c r="BN24" i="4"/>
  <c r="BE25" i="4"/>
  <c r="BF25" i="4"/>
  <c r="BG25" i="4"/>
  <c r="BH25" i="4"/>
  <c r="BI25" i="4"/>
  <c r="BJ25" i="4"/>
  <c r="BK25" i="4"/>
  <c r="BL25" i="4"/>
  <c r="BM25" i="4"/>
  <c r="BN25" i="4"/>
  <c r="BE26" i="4"/>
  <c r="BF26" i="4"/>
  <c r="BG26" i="4"/>
  <c r="BH26" i="4"/>
  <c r="BI26" i="4"/>
  <c r="BJ26" i="4"/>
  <c r="BK26" i="4"/>
  <c r="BL26" i="4"/>
  <c r="BM26" i="4"/>
  <c r="BN26" i="4"/>
  <c r="BE27" i="4"/>
  <c r="BF27" i="4"/>
  <c r="BG27" i="4"/>
  <c r="BH27" i="4"/>
  <c r="BI27" i="4"/>
  <c r="BJ27" i="4"/>
  <c r="BK27" i="4"/>
  <c r="BL27" i="4"/>
  <c r="BM27" i="4"/>
  <c r="BN27" i="4"/>
  <c r="BE28" i="4"/>
  <c r="BF28" i="4"/>
  <c r="BG28" i="4"/>
  <c r="BH28" i="4"/>
  <c r="BI28" i="4"/>
  <c r="BJ28" i="4"/>
  <c r="BK28" i="4"/>
  <c r="BL28" i="4"/>
  <c r="BM28" i="4"/>
  <c r="BN28" i="4"/>
  <c r="BE29" i="4"/>
  <c r="BF29" i="4"/>
  <c r="BG29" i="4"/>
  <c r="BH29" i="4"/>
  <c r="BI29" i="4"/>
  <c r="BJ29" i="4"/>
  <c r="BK29" i="4"/>
  <c r="BL29" i="4"/>
  <c r="BM29" i="4"/>
  <c r="BN29" i="4"/>
  <c r="BE30" i="4"/>
  <c r="BF30" i="4"/>
  <c r="BG30" i="4"/>
  <c r="BH30" i="4"/>
  <c r="BI30" i="4"/>
  <c r="BJ30" i="4"/>
  <c r="BK30" i="4"/>
  <c r="BL30" i="4"/>
  <c r="BM30" i="4"/>
  <c r="BN30" i="4"/>
  <c r="BE31" i="4"/>
  <c r="BF31" i="4"/>
  <c r="BG31" i="4"/>
  <c r="BH31" i="4"/>
  <c r="BI31" i="4"/>
  <c r="BJ31" i="4"/>
  <c r="BK31" i="4"/>
  <c r="BL31" i="4"/>
  <c r="BM31" i="4"/>
  <c r="BN31" i="4"/>
  <c r="BE32" i="4"/>
  <c r="BF32" i="4"/>
  <c r="BG32" i="4"/>
  <c r="BH32" i="4"/>
  <c r="BI32" i="4"/>
  <c r="BJ32" i="4"/>
  <c r="BK32" i="4"/>
  <c r="BL32" i="4"/>
  <c r="BM32" i="4"/>
  <c r="BN32" i="4"/>
  <c r="BE33" i="4"/>
  <c r="BF33" i="4"/>
  <c r="BG33" i="4"/>
  <c r="BH33" i="4"/>
  <c r="BI33" i="4"/>
  <c r="BJ33" i="4"/>
  <c r="BK33" i="4"/>
  <c r="BL33" i="4"/>
  <c r="BM33" i="4"/>
  <c r="BN33" i="4"/>
  <c r="BE34" i="4"/>
  <c r="BF34" i="4"/>
  <c r="BG34" i="4"/>
  <c r="BH34" i="4"/>
  <c r="BI34" i="4"/>
  <c r="BJ34" i="4"/>
  <c r="BK34" i="4"/>
  <c r="BL34" i="4"/>
  <c r="BM34" i="4"/>
  <c r="BN34" i="4"/>
  <c r="BE35" i="4"/>
  <c r="BF35" i="4"/>
  <c r="BG35" i="4"/>
  <c r="BH35" i="4"/>
  <c r="BI35" i="4"/>
  <c r="BJ35" i="4"/>
  <c r="BK35" i="4"/>
  <c r="BL35" i="4"/>
  <c r="BM35" i="4"/>
  <c r="BN35" i="4"/>
  <c r="BE36" i="4"/>
  <c r="BF36" i="4"/>
  <c r="BG36" i="4"/>
  <c r="BH36" i="4"/>
  <c r="BI36" i="4"/>
  <c r="BJ36" i="4"/>
  <c r="BK36" i="4"/>
  <c r="BL36" i="4"/>
  <c r="BM36" i="4"/>
  <c r="BN36" i="4"/>
  <c r="BE37" i="4"/>
  <c r="BF37" i="4"/>
  <c r="BG37" i="4"/>
  <c r="BH37" i="4"/>
  <c r="BI37" i="4"/>
  <c r="BJ37" i="4"/>
  <c r="BK37" i="4"/>
  <c r="BL37" i="4"/>
  <c r="BM37" i="4"/>
  <c r="BN37" i="4"/>
  <c r="BE38" i="4"/>
  <c r="BF38" i="4"/>
  <c r="BG38" i="4"/>
  <c r="BH38" i="4"/>
  <c r="BI38" i="4"/>
  <c r="BJ38" i="4"/>
  <c r="BK38" i="4"/>
  <c r="BL38" i="4"/>
  <c r="BM38" i="4"/>
  <c r="BN38" i="4"/>
  <c r="BE39" i="4"/>
  <c r="BF39" i="4"/>
  <c r="BG39" i="4"/>
  <c r="BH39" i="4"/>
  <c r="BI39" i="4"/>
  <c r="BJ39" i="4"/>
  <c r="BK39" i="4"/>
  <c r="BL39" i="4"/>
  <c r="BM39" i="4"/>
  <c r="BN39" i="4"/>
  <c r="BF3" i="4"/>
  <c r="BG3" i="4"/>
  <c r="BH3" i="4"/>
  <c r="BI3" i="4"/>
  <c r="BJ3" i="4"/>
  <c r="BK3" i="4"/>
  <c r="BL3" i="4"/>
  <c r="BM3" i="4"/>
  <c r="BN3" i="4"/>
  <c r="BC11" i="4"/>
  <c r="AW4" i="4"/>
  <c r="AX4" i="4"/>
  <c r="AY4" i="4"/>
  <c r="AZ4" i="4"/>
  <c r="BA4" i="4"/>
  <c r="BB4" i="4"/>
  <c r="BC4" i="4"/>
  <c r="BD4" i="4"/>
  <c r="AW5" i="4"/>
  <c r="AX5" i="4"/>
  <c r="AY5" i="4"/>
  <c r="AZ5" i="4"/>
  <c r="BA5" i="4"/>
  <c r="BB5" i="4"/>
  <c r="BC5" i="4"/>
  <c r="BD5" i="4"/>
  <c r="AW6" i="4"/>
  <c r="AX6" i="4"/>
  <c r="AY6" i="4"/>
  <c r="AZ6" i="4"/>
  <c r="BA6" i="4"/>
  <c r="BB6" i="4"/>
  <c r="BC6" i="4"/>
  <c r="BD6" i="4"/>
  <c r="AW7" i="4"/>
  <c r="AX7" i="4"/>
  <c r="AY7" i="4"/>
  <c r="AZ7" i="4"/>
  <c r="BA7" i="4"/>
  <c r="BB7" i="4"/>
  <c r="BC7" i="4"/>
  <c r="BD7" i="4"/>
  <c r="AW8" i="4"/>
  <c r="AX8" i="4"/>
  <c r="AY8" i="4"/>
  <c r="AZ8" i="4"/>
  <c r="BA8" i="4"/>
  <c r="BB8" i="4"/>
  <c r="BC8" i="4"/>
  <c r="BD8" i="4"/>
  <c r="AW9" i="4"/>
  <c r="AX9" i="4"/>
  <c r="AY9" i="4"/>
  <c r="AZ9" i="4"/>
  <c r="BA9" i="4"/>
  <c r="BB9" i="4"/>
  <c r="BC9" i="4"/>
  <c r="BD9" i="4"/>
  <c r="AW10" i="4"/>
  <c r="AX10" i="4"/>
  <c r="AY10" i="4"/>
  <c r="AZ10" i="4"/>
  <c r="BA10" i="4"/>
  <c r="BB10" i="4"/>
  <c r="BC10" i="4"/>
  <c r="BD10" i="4"/>
  <c r="AW11" i="4"/>
  <c r="AX11" i="4"/>
  <c r="AY11" i="4"/>
  <c r="AZ11" i="4"/>
  <c r="BA11" i="4"/>
  <c r="BB11" i="4"/>
  <c r="BD11" i="4"/>
  <c r="AW12" i="4"/>
  <c r="AX12" i="4"/>
  <c r="AY12" i="4"/>
  <c r="AZ12" i="4"/>
  <c r="BA12" i="4"/>
  <c r="BB12" i="4"/>
  <c r="BC12" i="4"/>
  <c r="BD12" i="4"/>
  <c r="AW13" i="4"/>
  <c r="AX13" i="4"/>
  <c r="AY13" i="4"/>
  <c r="AZ13" i="4"/>
  <c r="BA13" i="4"/>
  <c r="BB13" i="4"/>
  <c r="BC13" i="4"/>
  <c r="BD13" i="4"/>
  <c r="AW14" i="4"/>
  <c r="AX14" i="4"/>
  <c r="AY14" i="4"/>
  <c r="AZ14" i="4"/>
  <c r="BA14" i="4"/>
  <c r="BB14" i="4"/>
  <c r="BC14" i="4"/>
  <c r="BD14" i="4"/>
  <c r="AW15" i="4"/>
  <c r="AX15" i="4"/>
  <c r="AY15" i="4"/>
  <c r="AZ15" i="4"/>
  <c r="BA15" i="4"/>
  <c r="BB15" i="4"/>
  <c r="BC15" i="4"/>
  <c r="BD15" i="4"/>
  <c r="AW16" i="4"/>
  <c r="AX16" i="4"/>
  <c r="AY16" i="4"/>
  <c r="AZ16" i="4"/>
  <c r="BA16" i="4"/>
  <c r="BB16" i="4"/>
  <c r="BC16" i="4"/>
  <c r="BD16" i="4"/>
  <c r="AW17" i="4"/>
  <c r="AX17" i="4"/>
  <c r="AY17" i="4"/>
  <c r="AZ17" i="4"/>
  <c r="BA17" i="4"/>
  <c r="BB17" i="4"/>
  <c r="BC17" i="4"/>
  <c r="BD17" i="4"/>
  <c r="AW18" i="4"/>
  <c r="AX18" i="4"/>
  <c r="AY18" i="4"/>
  <c r="AZ18" i="4"/>
  <c r="BA18" i="4"/>
  <c r="BB18" i="4"/>
  <c r="BC18" i="4"/>
  <c r="BD18" i="4"/>
  <c r="AW19" i="4"/>
  <c r="AX19" i="4"/>
  <c r="AY19" i="4"/>
  <c r="AZ19" i="4"/>
  <c r="BA19" i="4"/>
  <c r="BB19" i="4"/>
  <c r="BC19" i="4"/>
  <c r="BD19" i="4"/>
  <c r="AW20" i="4"/>
  <c r="AX20" i="4"/>
  <c r="AY20" i="4"/>
  <c r="AZ20" i="4"/>
  <c r="BA20" i="4"/>
  <c r="BB20" i="4"/>
  <c r="BC20" i="4"/>
  <c r="BD20" i="4"/>
  <c r="AW21" i="4"/>
  <c r="AX21" i="4"/>
  <c r="AY21" i="4"/>
  <c r="AZ21" i="4"/>
  <c r="BA21" i="4"/>
  <c r="BB21" i="4"/>
  <c r="BC21" i="4"/>
  <c r="BD21" i="4"/>
  <c r="AW22" i="4"/>
  <c r="AX22" i="4"/>
  <c r="AY22" i="4"/>
  <c r="AZ22" i="4"/>
  <c r="BA22" i="4"/>
  <c r="BB22" i="4"/>
  <c r="BC22" i="4"/>
  <c r="BD22" i="4"/>
  <c r="AW23" i="4"/>
  <c r="AX23" i="4"/>
  <c r="AY23" i="4"/>
  <c r="AZ23" i="4"/>
  <c r="BA23" i="4"/>
  <c r="BB23" i="4"/>
  <c r="BC23" i="4"/>
  <c r="BD23" i="4"/>
  <c r="AW24" i="4"/>
  <c r="AX24" i="4"/>
  <c r="AY24" i="4"/>
  <c r="AZ24" i="4"/>
  <c r="BA24" i="4"/>
  <c r="BB24" i="4"/>
  <c r="BC24" i="4"/>
  <c r="BD24" i="4"/>
  <c r="AW25" i="4"/>
  <c r="AX25" i="4"/>
  <c r="AY25" i="4"/>
  <c r="AZ25" i="4"/>
  <c r="BA25" i="4"/>
  <c r="BB25" i="4"/>
  <c r="BC25" i="4"/>
  <c r="BD25" i="4"/>
  <c r="AW26" i="4"/>
  <c r="AX26" i="4"/>
  <c r="AY26" i="4"/>
  <c r="AZ26" i="4"/>
  <c r="BA26" i="4"/>
  <c r="BB26" i="4"/>
  <c r="BC26" i="4"/>
  <c r="BD26" i="4"/>
  <c r="AW27" i="4"/>
  <c r="AX27" i="4"/>
  <c r="AY27" i="4"/>
  <c r="AZ27" i="4"/>
  <c r="BA27" i="4"/>
  <c r="BB27" i="4"/>
  <c r="BC27" i="4"/>
  <c r="BD27" i="4"/>
  <c r="AW28" i="4"/>
  <c r="AX28" i="4"/>
  <c r="AY28" i="4"/>
  <c r="AZ28" i="4"/>
  <c r="BA28" i="4"/>
  <c r="BB28" i="4"/>
  <c r="BC28" i="4"/>
  <c r="BD28" i="4"/>
  <c r="AW29" i="4"/>
  <c r="AX29" i="4"/>
  <c r="AY29" i="4"/>
  <c r="AZ29" i="4"/>
  <c r="BA29" i="4"/>
  <c r="BB29" i="4"/>
  <c r="BC29" i="4"/>
  <c r="BD29" i="4"/>
  <c r="AW30" i="4"/>
  <c r="AX30" i="4"/>
  <c r="AY30" i="4"/>
  <c r="AZ30" i="4"/>
  <c r="BA30" i="4"/>
  <c r="BB30" i="4"/>
  <c r="BC30" i="4"/>
  <c r="BD30" i="4"/>
  <c r="AW31" i="4"/>
  <c r="AX31" i="4"/>
  <c r="AY31" i="4"/>
  <c r="AZ31" i="4"/>
  <c r="BA31" i="4"/>
  <c r="BB31" i="4"/>
  <c r="BC31" i="4"/>
  <c r="BD31" i="4"/>
  <c r="AW32" i="4"/>
  <c r="AX32" i="4"/>
  <c r="AY32" i="4"/>
  <c r="AZ32" i="4"/>
  <c r="BA32" i="4"/>
  <c r="BB32" i="4"/>
  <c r="BC32" i="4"/>
  <c r="BD32" i="4"/>
  <c r="AW33" i="4"/>
  <c r="AX33" i="4"/>
  <c r="AY33" i="4"/>
  <c r="AZ33" i="4"/>
  <c r="BA33" i="4"/>
  <c r="BB33" i="4"/>
  <c r="BC33" i="4"/>
  <c r="BD33" i="4"/>
  <c r="AW34" i="4"/>
  <c r="AX34" i="4"/>
  <c r="AY34" i="4"/>
  <c r="AZ34" i="4"/>
  <c r="BA34" i="4"/>
  <c r="BB34" i="4"/>
  <c r="BC34" i="4"/>
  <c r="BD34" i="4"/>
  <c r="AW35" i="4"/>
  <c r="AX35" i="4"/>
  <c r="AY35" i="4"/>
  <c r="AZ35" i="4"/>
  <c r="BA35" i="4"/>
  <c r="BB35" i="4"/>
  <c r="BC35" i="4"/>
  <c r="BD35" i="4"/>
  <c r="AW36" i="4"/>
  <c r="AX36" i="4"/>
  <c r="AY36" i="4"/>
  <c r="AZ36" i="4"/>
  <c r="BA36" i="4"/>
  <c r="BB36" i="4"/>
  <c r="BC36" i="4"/>
  <c r="BD36" i="4"/>
  <c r="AW37" i="4"/>
  <c r="AX37" i="4"/>
  <c r="AY37" i="4"/>
  <c r="AZ37" i="4"/>
  <c r="BA37" i="4"/>
  <c r="BB37" i="4"/>
  <c r="BC37" i="4"/>
  <c r="BD37" i="4"/>
  <c r="AW38" i="4"/>
  <c r="AX38" i="4"/>
  <c r="AY38" i="4"/>
  <c r="AZ38" i="4"/>
  <c r="BA38" i="4"/>
  <c r="BB38" i="4"/>
  <c r="BC38" i="4"/>
  <c r="BD38" i="4"/>
  <c r="AW39" i="4"/>
  <c r="AX39" i="4"/>
  <c r="AY39" i="4"/>
  <c r="AZ39" i="4"/>
  <c r="BA39" i="4"/>
  <c r="BB39" i="4"/>
  <c r="BC39" i="4"/>
  <c r="BD39" i="4"/>
  <c r="AY3" i="4"/>
  <c r="AZ3" i="4"/>
  <c r="BA3" i="4"/>
  <c r="BB3" i="4"/>
  <c r="BC3" i="4"/>
  <c r="BD3" i="4"/>
  <c r="BE3" i="4"/>
  <c r="AX3" i="4"/>
  <c r="AW3" i="4"/>
  <c r="AU3" i="4"/>
  <c r="BN2" i="4"/>
  <c r="BG2" i="4"/>
  <c r="BH2" i="4"/>
  <c r="BI2" i="4"/>
  <c r="BJ2" i="4"/>
  <c r="BK2" i="4"/>
  <c r="BL2" i="4"/>
  <c r="BM2" i="4"/>
  <c r="BF2" i="4"/>
  <c r="AX2" i="4"/>
  <c r="AY2" i="4"/>
  <c r="AZ2" i="4"/>
  <c r="BA2" i="4"/>
  <c r="BB2" i="4"/>
  <c r="BC2" i="4"/>
  <c r="BD2" i="4"/>
  <c r="BE2" i="4"/>
  <c r="AW2" i="4"/>
  <c r="AV4" i="4"/>
  <c r="AV5" i="4"/>
  <c r="AV6" i="4"/>
  <c r="AV7" i="4"/>
  <c r="AV8" i="4"/>
  <c r="AV9" i="4"/>
  <c r="AV10" i="4"/>
  <c r="AV11" i="4"/>
  <c r="AV12" i="4"/>
  <c r="AV13" i="4"/>
  <c r="AV14" i="4"/>
  <c r="AV15" i="4"/>
  <c r="AV16" i="4"/>
  <c r="AV17" i="4"/>
  <c r="AV18" i="4"/>
  <c r="AV19" i="4"/>
  <c r="AV20" i="4"/>
  <c r="AV21" i="4"/>
  <c r="AV22" i="4"/>
  <c r="AV23" i="4"/>
  <c r="AV24" i="4"/>
  <c r="AV25" i="4"/>
  <c r="AV26" i="4"/>
  <c r="AV27" i="4"/>
  <c r="AV28" i="4"/>
  <c r="AV29" i="4"/>
  <c r="AV30" i="4"/>
  <c r="AV31" i="4"/>
  <c r="AV32" i="4"/>
  <c r="AV33" i="4"/>
  <c r="AV34" i="4"/>
  <c r="AV35" i="4"/>
  <c r="AV36" i="4"/>
  <c r="AV37" i="4"/>
  <c r="AV38" i="4"/>
  <c r="AV39" i="4"/>
  <c r="AV3" i="4"/>
  <c r="AU4" i="4"/>
  <c r="AU5" i="4"/>
  <c r="AU6" i="4"/>
  <c r="AU7" i="4"/>
  <c r="AU8" i="4"/>
  <c r="AU9" i="4"/>
  <c r="AU10" i="4"/>
  <c r="AU11" i="4"/>
  <c r="AU12" i="4"/>
  <c r="AU13" i="4"/>
  <c r="AU14" i="4"/>
  <c r="AU15" i="4"/>
  <c r="AU16" i="4"/>
  <c r="AU17" i="4"/>
  <c r="AU18" i="4"/>
  <c r="AU19" i="4"/>
  <c r="AU20" i="4"/>
  <c r="AU21" i="4"/>
  <c r="AU22" i="4"/>
  <c r="AU23" i="4"/>
  <c r="AU24" i="4"/>
  <c r="AU25" i="4"/>
  <c r="AU26" i="4"/>
  <c r="AU27" i="4"/>
  <c r="AU28" i="4"/>
  <c r="AU29" i="4"/>
  <c r="AU30" i="4"/>
  <c r="AU31" i="4"/>
  <c r="AU32" i="4"/>
  <c r="AU33" i="4"/>
  <c r="AU34" i="4"/>
  <c r="AU35" i="4"/>
  <c r="AU36" i="4"/>
  <c r="AU37" i="4"/>
  <c r="AU38" i="4"/>
  <c r="AU39" i="4"/>
  <c r="AP4" i="4"/>
  <c r="AQ4" i="4"/>
  <c r="AP5" i="4"/>
  <c r="AQ5" i="4"/>
  <c r="AP6" i="4"/>
  <c r="AQ6" i="4"/>
  <c r="AP7" i="4"/>
  <c r="AQ7" i="4"/>
  <c r="AP8" i="4"/>
  <c r="AQ8" i="4"/>
  <c r="AP9" i="4"/>
  <c r="AQ9" i="4"/>
  <c r="AP10" i="4"/>
  <c r="AQ10" i="4"/>
  <c r="AP11" i="4"/>
  <c r="AQ11" i="4"/>
  <c r="AP12" i="4"/>
  <c r="AQ12" i="4"/>
  <c r="AP13" i="4"/>
  <c r="AQ13" i="4"/>
  <c r="AP14" i="4"/>
  <c r="AQ14" i="4"/>
  <c r="AP15" i="4"/>
  <c r="AQ15" i="4"/>
  <c r="AP16" i="4"/>
  <c r="AQ16" i="4"/>
  <c r="AP17" i="4"/>
  <c r="AQ17" i="4"/>
  <c r="AP18" i="4"/>
  <c r="AQ18" i="4"/>
  <c r="AP19" i="4"/>
  <c r="AQ19" i="4"/>
  <c r="AP20" i="4"/>
  <c r="AQ20" i="4"/>
  <c r="AP21" i="4"/>
  <c r="AQ21" i="4"/>
  <c r="AP22" i="4"/>
  <c r="AQ22" i="4"/>
  <c r="AP23" i="4"/>
  <c r="AQ23" i="4"/>
  <c r="AP24" i="4"/>
  <c r="AQ24" i="4"/>
  <c r="AP25" i="4"/>
  <c r="AQ25" i="4"/>
  <c r="AP26" i="4"/>
  <c r="AQ26" i="4"/>
  <c r="AP27" i="4"/>
  <c r="AQ27" i="4"/>
  <c r="AP28" i="4"/>
  <c r="AQ28" i="4"/>
  <c r="AP29" i="4"/>
  <c r="AQ29" i="4"/>
  <c r="AP30" i="4"/>
  <c r="AQ30" i="4"/>
  <c r="AP31" i="4"/>
  <c r="AQ31" i="4"/>
  <c r="AP32" i="4"/>
  <c r="AQ32" i="4"/>
  <c r="AP33" i="4"/>
  <c r="AQ33" i="4"/>
  <c r="AP34" i="4"/>
  <c r="AQ34" i="4"/>
  <c r="AP35" i="4"/>
  <c r="AQ35" i="4"/>
  <c r="AP36" i="4"/>
  <c r="AQ36" i="4"/>
  <c r="AP37" i="4"/>
  <c r="AQ37" i="4"/>
  <c r="AP38" i="4"/>
  <c r="AQ38" i="4"/>
  <c r="AP39" i="4"/>
  <c r="AQ39" i="4"/>
  <c r="AP40" i="4"/>
  <c r="AQ40" i="4"/>
  <c r="AP41" i="4"/>
  <c r="AQ41" i="4"/>
  <c r="AP42" i="4"/>
  <c r="AQ42" i="4"/>
  <c r="AP43" i="4"/>
  <c r="AQ43" i="4"/>
  <c r="AP44" i="4"/>
  <c r="AQ44" i="4"/>
  <c r="AP45" i="4"/>
  <c r="AQ45" i="4"/>
  <c r="AP46" i="4"/>
  <c r="AQ46" i="4"/>
  <c r="AP47" i="4"/>
  <c r="AQ47" i="4"/>
  <c r="AP48" i="4"/>
  <c r="AQ48" i="4"/>
  <c r="AP49" i="4"/>
  <c r="AQ49" i="4"/>
  <c r="AQ3" i="4"/>
  <c r="AP3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K41" i="4"/>
  <c r="AL41" i="4"/>
  <c r="AM41" i="4"/>
  <c r="AN41" i="4"/>
  <c r="AO41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K40" i="4"/>
  <c r="AL40" i="4"/>
  <c r="AM40" i="4"/>
  <c r="AN40" i="4"/>
  <c r="AO40" i="4"/>
  <c r="X40" i="4"/>
  <c r="Y47" i="4"/>
  <c r="Z47" i="4"/>
  <c r="AA47" i="4"/>
  <c r="AB47" i="4"/>
  <c r="AC47" i="4"/>
  <c r="AD47" i="4"/>
  <c r="AE47" i="4"/>
  <c r="AF47" i="4"/>
  <c r="AG47" i="4"/>
  <c r="AH47" i="4"/>
  <c r="AI47" i="4"/>
  <c r="AJ47" i="4"/>
  <c r="AK47" i="4"/>
  <c r="AL47" i="4"/>
  <c r="AM47" i="4"/>
  <c r="AN47" i="4"/>
  <c r="AO47" i="4"/>
  <c r="Y48" i="4"/>
  <c r="Z48" i="4"/>
  <c r="AA48" i="4"/>
  <c r="AB48" i="4"/>
  <c r="AC48" i="4"/>
  <c r="AD48" i="4"/>
  <c r="AE48" i="4"/>
  <c r="AF48" i="4"/>
  <c r="AG48" i="4"/>
  <c r="AH48" i="4"/>
  <c r="AI48" i="4"/>
  <c r="AJ48" i="4"/>
  <c r="AK48" i="4"/>
  <c r="AL48" i="4"/>
  <c r="AM48" i="4"/>
  <c r="AN48" i="4"/>
  <c r="AO48" i="4"/>
  <c r="X48" i="4"/>
  <c r="X47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K43" i="4"/>
  <c r="AL43" i="4"/>
  <c r="AM43" i="4"/>
  <c r="AN43" i="4"/>
  <c r="AO43" i="4"/>
  <c r="Y44" i="4"/>
  <c r="Z44" i="4"/>
  <c r="AA44" i="4"/>
  <c r="AB44" i="4"/>
  <c r="AC44" i="4"/>
  <c r="AD44" i="4"/>
  <c r="AE44" i="4"/>
  <c r="AF44" i="4"/>
  <c r="AG44" i="4"/>
  <c r="AH44" i="4"/>
  <c r="AI44" i="4"/>
  <c r="AJ44" i="4"/>
  <c r="AK44" i="4"/>
  <c r="AL44" i="4"/>
  <c r="AM44" i="4"/>
  <c r="AN44" i="4"/>
  <c r="AO44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AK45" i="4"/>
  <c r="AL45" i="4"/>
  <c r="AM45" i="4"/>
  <c r="AN45" i="4"/>
  <c r="AO45" i="4"/>
  <c r="X44" i="4"/>
  <c r="X45" i="4"/>
  <c r="X43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K36" i="4"/>
  <c r="AL36" i="4"/>
  <c r="AM36" i="4"/>
  <c r="AN36" i="4"/>
  <c r="AO36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AK37" i="4"/>
  <c r="AL37" i="4"/>
  <c r="AM37" i="4"/>
  <c r="AN37" i="4"/>
  <c r="AO37" i="4"/>
  <c r="X37" i="4"/>
  <c r="X36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K30" i="4"/>
  <c r="AL30" i="4"/>
  <c r="AM30" i="4"/>
  <c r="AN30" i="4"/>
  <c r="AO30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K31" i="4"/>
  <c r="AL31" i="4"/>
  <c r="AM31" i="4"/>
  <c r="AN31" i="4"/>
  <c r="AO31" i="4"/>
  <c r="X31" i="4"/>
  <c r="X30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K24" i="4"/>
  <c r="AL24" i="4"/>
  <c r="AM24" i="4"/>
  <c r="AN24" i="4"/>
  <c r="AO24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AL25" i="4"/>
  <c r="AM25" i="4"/>
  <c r="AN25" i="4"/>
  <c r="AO25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AK26" i="4"/>
  <c r="AL26" i="4"/>
  <c r="AM26" i="4"/>
  <c r="AN26" i="4"/>
  <c r="AO26" i="4"/>
  <c r="X25" i="4"/>
  <c r="X26" i="4"/>
  <c r="X24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AL20" i="4"/>
  <c r="AM20" i="4"/>
  <c r="AN20" i="4"/>
  <c r="AO20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AL21" i="4"/>
  <c r="AM21" i="4"/>
  <c r="AN21" i="4"/>
  <c r="AO21" i="4"/>
  <c r="X21" i="4"/>
  <c r="X20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AM16" i="4"/>
  <c r="AN16" i="4"/>
  <c r="AO16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AK17" i="4"/>
  <c r="AL17" i="4"/>
  <c r="AM17" i="4"/>
  <c r="AN17" i="4"/>
  <c r="AO17" i="4"/>
  <c r="X17" i="4"/>
  <c r="X16" i="4"/>
  <c r="AG4" i="4"/>
  <c r="AH4" i="4"/>
  <c r="AI4" i="4"/>
  <c r="AJ4" i="4"/>
  <c r="AK4" i="4"/>
  <c r="AL4" i="4"/>
  <c r="AM4" i="4"/>
  <c r="AN4" i="4"/>
  <c r="AO4" i="4"/>
  <c r="AG5" i="4"/>
  <c r="AH5" i="4"/>
  <c r="AI5" i="4"/>
  <c r="AJ5" i="4"/>
  <c r="AK5" i="4"/>
  <c r="AL5" i="4"/>
  <c r="AM5" i="4"/>
  <c r="AN5" i="4"/>
  <c r="AO5" i="4"/>
  <c r="AG6" i="4"/>
  <c r="AH6" i="4"/>
  <c r="AI6" i="4"/>
  <c r="AJ6" i="4"/>
  <c r="AK6" i="4"/>
  <c r="AL6" i="4"/>
  <c r="AM6" i="4"/>
  <c r="AN6" i="4"/>
  <c r="AO6" i="4"/>
  <c r="AG7" i="4"/>
  <c r="AH7" i="4"/>
  <c r="AI7" i="4"/>
  <c r="AJ7" i="4"/>
  <c r="AK7" i="4"/>
  <c r="AL7" i="4"/>
  <c r="AM7" i="4"/>
  <c r="AN7" i="4"/>
  <c r="AO7" i="4"/>
  <c r="AG8" i="4"/>
  <c r="AH8" i="4"/>
  <c r="AI8" i="4"/>
  <c r="AJ8" i="4"/>
  <c r="AK8" i="4"/>
  <c r="AL8" i="4"/>
  <c r="AM8" i="4"/>
  <c r="AN8" i="4"/>
  <c r="AO8" i="4"/>
  <c r="AG9" i="4"/>
  <c r="AH9" i="4"/>
  <c r="AI9" i="4"/>
  <c r="AJ9" i="4"/>
  <c r="AK9" i="4"/>
  <c r="AL9" i="4"/>
  <c r="AM9" i="4"/>
  <c r="AN9" i="4"/>
  <c r="AO9" i="4"/>
  <c r="AG10" i="4"/>
  <c r="AH10" i="4"/>
  <c r="AI10" i="4"/>
  <c r="AJ10" i="4"/>
  <c r="AK10" i="4"/>
  <c r="AL10" i="4"/>
  <c r="AM10" i="4"/>
  <c r="AN10" i="4"/>
  <c r="AO10" i="4"/>
  <c r="AG11" i="4"/>
  <c r="AH11" i="4"/>
  <c r="AI11" i="4"/>
  <c r="AJ11" i="4"/>
  <c r="AK11" i="4"/>
  <c r="AL11" i="4"/>
  <c r="AM11" i="4"/>
  <c r="AN11" i="4"/>
  <c r="AO11" i="4"/>
  <c r="AG12" i="4"/>
  <c r="AH12" i="4"/>
  <c r="AI12" i="4"/>
  <c r="AJ12" i="4"/>
  <c r="AK12" i="4"/>
  <c r="AL12" i="4"/>
  <c r="AM12" i="4"/>
  <c r="AN12" i="4"/>
  <c r="AO12" i="4"/>
  <c r="AG13" i="4"/>
  <c r="AH13" i="4"/>
  <c r="AI13" i="4"/>
  <c r="AJ13" i="4"/>
  <c r="AK13" i="4"/>
  <c r="AL13" i="4"/>
  <c r="AM13" i="4"/>
  <c r="AN13" i="4"/>
  <c r="AO13" i="4"/>
  <c r="AG14" i="4"/>
  <c r="AH14" i="4"/>
  <c r="AI14" i="4"/>
  <c r="AJ14" i="4"/>
  <c r="AK14" i="4"/>
  <c r="AL14" i="4"/>
  <c r="AM14" i="4"/>
  <c r="AN14" i="4"/>
  <c r="AO14" i="4"/>
  <c r="AG15" i="4"/>
  <c r="AH15" i="4"/>
  <c r="AI15" i="4"/>
  <c r="AJ15" i="4"/>
  <c r="AK15" i="4"/>
  <c r="AL15" i="4"/>
  <c r="AM15" i="4"/>
  <c r="AN15" i="4"/>
  <c r="AO15" i="4"/>
  <c r="AG18" i="4"/>
  <c r="AH18" i="4"/>
  <c r="AI18" i="4"/>
  <c r="AJ18" i="4"/>
  <c r="AK18" i="4"/>
  <c r="AL18" i="4"/>
  <c r="AM18" i="4"/>
  <c r="AN18" i="4"/>
  <c r="AO18" i="4"/>
  <c r="AG19" i="4"/>
  <c r="AH19" i="4"/>
  <c r="AI19" i="4"/>
  <c r="AJ19" i="4"/>
  <c r="AK19" i="4"/>
  <c r="AL19" i="4"/>
  <c r="AM19" i="4"/>
  <c r="AN19" i="4"/>
  <c r="AO19" i="4"/>
  <c r="AG22" i="4"/>
  <c r="AH22" i="4"/>
  <c r="AI22" i="4"/>
  <c r="AJ22" i="4"/>
  <c r="AK22" i="4"/>
  <c r="AL22" i="4"/>
  <c r="AM22" i="4"/>
  <c r="AN22" i="4"/>
  <c r="AO22" i="4"/>
  <c r="AG23" i="4"/>
  <c r="AH23" i="4"/>
  <c r="AI23" i="4"/>
  <c r="AJ23" i="4"/>
  <c r="AK23" i="4"/>
  <c r="AL23" i="4"/>
  <c r="AM23" i="4"/>
  <c r="AN23" i="4"/>
  <c r="AO23" i="4"/>
  <c r="AG27" i="4"/>
  <c r="AH27" i="4"/>
  <c r="AI27" i="4"/>
  <c r="AJ27" i="4"/>
  <c r="AK27" i="4"/>
  <c r="AL27" i="4"/>
  <c r="AM27" i="4"/>
  <c r="AN27" i="4"/>
  <c r="AO27" i="4"/>
  <c r="AG28" i="4"/>
  <c r="AH28" i="4"/>
  <c r="AI28" i="4"/>
  <c r="AJ28" i="4"/>
  <c r="AK28" i="4"/>
  <c r="AL28" i="4"/>
  <c r="AM28" i="4"/>
  <c r="AN28" i="4"/>
  <c r="AO28" i="4"/>
  <c r="AG29" i="4"/>
  <c r="AH29" i="4"/>
  <c r="AI29" i="4"/>
  <c r="AJ29" i="4"/>
  <c r="AK29" i="4"/>
  <c r="AL29" i="4"/>
  <c r="AM29" i="4"/>
  <c r="AN29" i="4"/>
  <c r="AO29" i="4"/>
  <c r="AG32" i="4"/>
  <c r="AH32" i="4"/>
  <c r="AI32" i="4"/>
  <c r="AJ32" i="4"/>
  <c r="AK32" i="4"/>
  <c r="AL32" i="4"/>
  <c r="AM32" i="4"/>
  <c r="AN32" i="4"/>
  <c r="AO32" i="4"/>
  <c r="AG33" i="4"/>
  <c r="AH33" i="4"/>
  <c r="AI33" i="4"/>
  <c r="AJ33" i="4"/>
  <c r="AK33" i="4"/>
  <c r="AL33" i="4"/>
  <c r="AM33" i="4"/>
  <c r="AN33" i="4"/>
  <c r="AO33" i="4"/>
  <c r="AG34" i="4"/>
  <c r="AH34" i="4"/>
  <c r="AI34" i="4"/>
  <c r="AJ34" i="4"/>
  <c r="AK34" i="4"/>
  <c r="AL34" i="4"/>
  <c r="AM34" i="4"/>
  <c r="AN34" i="4"/>
  <c r="AO34" i="4"/>
  <c r="AG35" i="4"/>
  <c r="AH35" i="4"/>
  <c r="AI35" i="4"/>
  <c r="AJ35" i="4"/>
  <c r="AK35" i="4"/>
  <c r="AL35" i="4"/>
  <c r="AM35" i="4"/>
  <c r="AN35" i="4"/>
  <c r="AO35" i="4"/>
  <c r="AG38" i="4"/>
  <c r="AH38" i="4"/>
  <c r="AI38" i="4"/>
  <c r="AJ38" i="4"/>
  <c r="AK38" i="4"/>
  <c r="AL38" i="4"/>
  <c r="AM38" i="4"/>
  <c r="AN38" i="4"/>
  <c r="AO38" i="4"/>
  <c r="AG39" i="4"/>
  <c r="AH39" i="4"/>
  <c r="AI39" i="4"/>
  <c r="AJ39" i="4"/>
  <c r="AK39" i="4"/>
  <c r="AL39" i="4"/>
  <c r="AM39" i="4"/>
  <c r="AN39" i="4"/>
  <c r="AO39" i="4"/>
  <c r="AG42" i="4"/>
  <c r="AH42" i="4"/>
  <c r="AI42" i="4"/>
  <c r="AJ42" i="4"/>
  <c r="AK42" i="4"/>
  <c r="AL42" i="4"/>
  <c r="AM42" i="4"/>
  <c r="AN42" i="4"/>
  <c r="AO42" i="4"/>
  <c r="AG46" i="4"/>
  <c r="AH46" i="4"/>
  <c r="AI46" i="4"/>
  <c r="AJ46" i="4"/>
  <c r="AK46" i="4"/>
  <c r="AL46" i="4"/>
  <c r="AM46" i="4"/>
  <c r="AN46" i="4"/>
  <c r="AO46" i="4"/>
  <c r="AG49" i="4"/>
  <c r="AH49" i="4"/>
  <c r="AI49" i="4"/>
  <c r="AJ49" i="4"/>
  <c r="AK49" i="4"/>
  <c r="AL49" i="4"/>
  <c r="AM49" i="4"/>
  <c r="AN49" i="4"/>
  <c r="AO49" i="4"/>
  <c r="AL3" i="4"/>
  <c r="AG3" i="4"/>
  <c r="AH3" i="4"/>
  <c r="AI3" i="4"/>
  <c r="AJ3" i="4"/>
  <c r="AK3" i="4"/>
  <c r="AM3" i="4"/>
  <c r="AN3" i="4"/>
  <c r="AO3" i="4"/>
  <c r="AF3" i="4"/>
  <c r="X3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3" i="4"/>
  <c r="V3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D5" i="4"/>
  <c r="E5" i="4"/>
  <c r="F5" i="4"/>
  <c r="G5" i="4"/>
  <c r="AA5" i="4" s="1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D11" i="4"/>
  <c r="E11" i="4"/>
  <c r="F11" i="4"/>
  <c r="G11" i="4"/>
  <c r="H11" i="4"/>
  <c r="I11" i="4"/>
  <c r="AC11" i="4" s="1"/>
  <c r="J11" i="4"/>
  <c r="K11" i="4"/>
  <c r="L11" i="4"/>
  <c r="M11" i="4"/>
  <c r="N11" i="4"/>
  <c r="O11" i="4"/>
  <c r="P11" i="4"/>
  <c r="Q11" i="4"/>
  <c r="R11" i="4"/>
  <c r="S11" i="4"/>
  <c r="T11" i="4"/>
  <c r="U11" i="4"/>
  <c r="D12" i="4"/>
  <c r="X12" i="4" s="1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D13" i="4"/>
  <c r="E13" i="4"/>
  <c r="F13" i="4"/>
  <c r="G13" i="4"/>
  <c r="AA13" i="4" s="1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D29" i="4"/>
  <c r="E29" i="4"/>
  <c r="F29" i="4"/>
  <c r="G29" i="4"/>
  <c r="AA29" i="4" s="1"/>
  <c r="H29" i="4"/>
  <c r="AB29" i="4" s="1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U3" i="4"/>
  <c r="T3" i="4"/>
  <c r="S3" i="4"/>
  <c r="R3" i="4"/>
  <c r="Q3" i="4"/>
  <c r="P3" i="4"/>
  <c r="O3" i="4"/>
  <c r="N3" i="4"/>
  <c r="M3" i="4"/>
  <c r="D3" i="4"/>
  <c r="L3" i="4"/>
  <c r="K3" i="4"/>
  <c r="J3" i="4"/>
  <c r="I3" i="4"/>
  <c r="H3" i="4"/>
  <c r="G3" i="4"/>
  <c r="F3" i="4"/>
  <c r="E3" i="4"/>
  <c r="AM48" i="2"/>
  <c r="AL48" i="2"/>
  <c r="AL49" i="2" s="1"/>
  <c r="AK48" i="2"/>
  <c r="AJ48" i="2"/>
  <c r="AI48" i="2"/>
  <c r="AH48" i="2"/>
  <c r="AH49" i="2" s="1"/>
  <c r="AG48" i="2"/>
  <c r="AF48" i="2"/>
  <c r="AE48" i="2"/>
  <c r="AD48" i="2"/>
  <c r="AD49" i="2" s="1"/>
  <c r="AC48" i="2"/>
  <c r="AB48" i="2"/>
  <c r="AA48" i="2"/>
  <c r="Z48" i="2"/>
  <c r="Z49" i="2" s="1"/>
  <c r="Y48" i="2"/>
  <c r="X48" i="2"/>
  <c r="W48" i="2"/>
  <c r="V48" i="2"/>
  <c r="V49" i="2" s="1"/>
  <c r="U48" i="2"/>
  <c r="T48" i="2"/>
  <c r="S48" i="2"/>
  <c r="R48" i="2"/>
  <c r="R49" i="2" s="1"/>
  <c r="Q48" i="2"/>
  <c r="P48" i="2"/>
  <c r="O48" i="2"/>
  <c r="N48" i="2"/>
  <c r="N49" i="2" s="1"/>
  <c r="M48" i="2"/>
  <c r="L48" i="2"/>
  <c r="K48" i="2"/>
  <c r="J48" i="2"/>
  <c r="J49" i="2" s="1"/>
  <c r="I48" i="2"/>
  <c r="H48" i="2"/>
  <c r="G48" i="2"/>
  <c r="F48" i="2"/>
  <c r="F49" i="2" s="1"/>
  <c r="E48" i="2"/>
  <c r="D48" i="2"/>
  <c r="C48" i="2"/>
  <c r="AN47" i="2"/>
  <c r="AN46" i="2"/>
  <c r="AN45" i="2"/>
  <c r="AN44" i="2"/>
  <c r="AN43" i="2"/>
  <c r="AY42" i="2"/>
  <c r="AT42" i="2"/>
  <c r="AU42" i="2" s="1"/>
  <c r="AN42" i="2"/>
  <c r="AX41" i="2"/>
  <c r="AW41" i="2"/>
  <c r="AV41" i="2"/>
  <c r="AP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AY40" i="2"/>
  <c r="AT40" i="2"/>
  <c r="AN40" i="2"/>
  <c r="AY39" i="2"/>
  <c r="AT39" i="2"/>
  <c r="AN39" i="2"/>
  <c r="AY38" i="2"/>
  <c r="AT38" i="2"/>
  <c r="AN38" i="2"/>
  <c r="AY37" i="2"/>
  <c r="AT37" i="2"/>
  <c r="AN37" i="2"/>
  <c r="AY36" i="2"/>
  <c r="AT36" i="2"/>
  <c r="AN36" i="2"/>
  <c r="AY35" i="2"/>
  <c r="AO35" i="2"/>
  <c r="AT35" i="2" s="1"/>
  <c r="AU35" i="2" s="1"/>
  <c r="AN35" i="2"/>
  <c r="AY34" i="2"/>
  <c r="AO34" i="2"/>
  <c r="AT34" i="2" s="1"/>
  <c r="AN34" i="2"/>
  <c r="AY33" i="2"/>
  <c r="AO33" i="2"/>
  <c r="AT33" i="2" s="1"/>
  <c r="AU33" i="2" s="1"/>
  <c r="AN33" i="2"/>
  <c r="AY32" i="2"/>
  <c r="AS32" i="2"/>
  <c r="AT32" i="2" s="1"/>
  <c r="AN32" i="2"/>
  <c r="AY31" i="2"/>
  <c r="AS31" i="2"/>
  <c r="AT31" i="2" s="1"/>
  <c r="AU31" i="2" s="1"/>
  <c r="AN31" i="2"/>
  <c r="AY30" i="2"/>
  <c r="AS30" i="2"/>
  <c r="AT30" i="2" s="1"/>
  <c r="AN30" i="2"/>
  <c r="AY29" i="2"/>
  <c r="AS29" i="2"/>
  <c r="AO29" i="2"/>
  <c r="AT29" i="2" s="1"/>
  <c r="AN29" i="2"/>
  <c r="AY28" i="2"/>
  <c r="AO28" i="2"/>
  <c r="AT28" i="2" s="1"/>
  <c r="AU28" i="2" s="1"/>
  <c r="AN28" i="2"/>
  <c r="AY27" i="2"/>
  <c r="AS27" i="2"/>
  <c r="AT27" i="2" s="1"/>
  <c r="AN27" i="2"/>
  <c r="AY26" i="2"/>
  <c r="AQ26" i="2"/>
  <c r="AQ41" i="2" s="1"/>
  <c r="AN26" i="2"/>
  <c r="AY25" i="2"/>
  <c r="AO25" i="2"/>
  <c r="AT25" i="2" s="1"/>
  <c r="AN25" i="2"/>
  <c r="AY24" i="2"/>
  <c r="AS24" i="2"/>
  <c r="AT24" i="2" s="1"/>
  <c r="AN24" i="2"/>
  <c r="AY23" i="2"/>
  <c r="AS23" i="2"/>
  <c r="AT23" i="2" s="1"/>
  <c r="AN23" i="2"/>
  <c r="AY22" i="2"/>
  <c r="AT22" i="2"/>
  <c r="AN22" i="2"/>
  <c r="AY21" i="2"/>
  <c r="AS21" i="2"/>
  <c r="AT21" i="2" s="1"/>
  <c r="AN21" i="2"/>
  <c r="AY20" i="2"/>
  <c r="AS20" i="2"/>
  <c r="AT20" i="2" s="1"/>
  <c r="AN20" i="2"/>
  <c r="AY19" i="2"/>
  <c r="AS19" i="2"/>
  <c r="AT19" i="2" s="1"/>
  <c r="AU19" i="2" s="1"/>
  <c r="AN19" i="2"/>
  <c r="AY18" i="2"/>
  <c r="AS18" i="2"/>
  <c r="AT18" i="2" s="1"/>
  <c r="AN18" i="2"/>
  <c r="AY17" i="2"/>
  <c r="AS17" i="2"/>
  <c r="AT17" i="2" s="1"/>
  <c r="AN17" i="2"/>
  <c r="AY16" i="2"/>
  <c r="AS16" i="2"/>
  <c r="AO16" i="2"/>
  <c r="AT16" i="2" s="1"/>
  <c r="AN16" i="2"/>
  <c r="AY15" i="2"/>
  <c r="AS15" i="2"/>
  <c r="AT15" i="2" s="1"/>
  <c r="AN15" i="2"/>
  <c r="AY14" i="2"/>
  <c r="AT14" i="2"/>
  <c r="AN14" i="2"/>
  <c r="AY13" i="2"/>
  <c r="AS13" i="2"/>
  <c r="AT13" i="2" s="1"/>
  <c r="AR13" i="2"/>
  <c r="AR41" i="2" s="1"/>
  <c r="AN13" i="2"/>
  <c r="AY12" i="2"/>
  <c r="AT12" i="2"/>
  <c r="AN12" i="2"/>
  <c r="AY11" i="2"/>
  <c r="AS11" i="2"/>
  <c r="AT11" i="2" s="1"/>
  <c r="AN11" i="2"/>
  <c r="AY10" i="2"/>
  <c r="AT10" i="2"/>
  <c r="AN10" i="2"/>
  <c r="AY9" i="2"/>
  <c r="AT9" i="2"/>
  <c r="AN9" i="2"/>
  <c r="AY8" i="2"/>
  <c r="AU8" i="2"/>
  <c r="AT8" i="2"/>
  <c r="AN8" i="2"/>
  <c r="AY7" i="2"/>
  <c r="AT7" i="2"/>
  <c r="AS7" i="2"/>
  <c r="AN7" i="2"/>
  <c r="AY6" i="2"/>
  <c r="AT6" i="2"/>
  <c r="AU6" i="2" s="1"/>
  <c r="AN6" i="2"/>
  <c r="AY5" i="2"/>
  <c r="AS5" i="2"/>
  <c r="AT5" i="2" s="1"/>
  <c r="AU5" i="2" s="1"/>
  <c r="AN5" i="2"/>
  <c r="AY4" i="2"/>
  <c r="AT4" i="2"/>
  <c r="AN4" i="2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AN47" i="1"/>
  <c r="AN46" i="1"/>
  <c r="AN45" i="1"/>
  <c r="AN44" i="1"/>
  <c r="AN43" i="1"/>
  <c r="AT42" i="1"/>
  <c r="AN42" i="1"/>
  <c r="AX41" i="1"/>
  <c r="AW41" i="1"/>
  <c r="AV41" i="1"/>
  <c r="AR41" i="1"/>
  <c r="AQ41" i="1"/>
  <c r="AP41" i="1"/>
  <c r="AO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AY40" i="1"/>
  <c r="AT40" i="1"/>
  <c r="AN40" i="1"/>
  <c r="AY39" i="1"/>
  <c r="AT39" i="1"/>
  <c r="AN39" i="1"/>
  <c r="AY38" i="1"/>
  <c r="AT38" i="1"/>
  <c r="AN38" i="1"/>
  <c r="AY37" i="1"/>
  <c r="AT37" i="1"/>
  <c r="AN37" i="1"/>
  <c r="AY36" i="1"/>
  <c r="AT36" i="1"/>
  <c r="AN36" i="1"/>
  <c r="AY35" i="1"/>
  <c r="AT35" i="1"/>
  <c r="AU35" i="1" s="1"/>
  <c r="AN35" i="1"/>
  <c r="AY34" i="1"/>
  <c r="AT34" i="1"/>
  <c r="AN34" i="1"/>
  <c r="AY33" i="1"/>
  <c r="AT33" i="1"/>
  <c r="AN33" i="1"/>
  <c r="AY32" i="1"/>
  <c r="AT32" i="1"/>
  <c r="AN32" i="1"/>
  <c r="AY31" i="1"/>
  <c r="AT31" i="1"/>
  <c r="AN31" i="1"/>
  <c r="AY30" i="1"/>
  <c r="AT30" i="1"/>
  <c r="AN30" i="1"/>
  <c r="AY29" i="1"/>
  <c r="AT29" i="1"/>
  <c r="AN29" i="1"/>
  <c r="AY28" i="1"/>
  <c r="AT28" i="1"/>
  <c r="AN28" i="1"/>
  <c r="AY27" i="1"/>
  <c r="AT27" i="1"/>
  <c r="AU27" i="1" s="1"/>
  <c r="AN27" i="1"/>
  <c r="AY26" i="1"/>
  <c r="AT26" i="1"/>
  <c r="AN26" i="1"/>
  <c r="AY25" i="1"/>
  <c r="AT25" i="1"/>
  <c r="AN25" i="1"/>
  <c r="AY24" i="1"/>
  <c r="AT24" i="1"/>
  <c r="AN24" i="1"/>
  <c r="AY23" i="1"/>
  <c r="AT23" i="1"/>
  <c r="AN23" i="1"/>
  <c r="AY22" i="1"/>
  <c r="AT22" i="1"/>
  <c r="AN22" i="1"/>
  <c r="AY21" i="1"/>
  <c r="AS21" i="1"/>
  <c r="AT21" i="1" s="1"/>
  <c r="AN21" i="1"/>
  <c r="AY20" i="1"/>
  <c r="AT20" i="1"/>
  <c r="AN20" i="1"/>
  <c r="AU20" i="1" s="1"/>
  <c r="AY19" i="1"/>
  <c r="AT19" i="1"/>
  <c r="AN19" i="1"/>
  <c r="AY18" i="1"/>
  <c r="AT18" i="1"/>
  <c r="AN18" i="1"/>
  <c r="AY17" i="1"/>
  <c r="AT17" i="1"/>
  <c r="AU17" i="1" s="1"/>
  <c r="AN17" i="1"/>
  <c r="AY16" i="1"/>
  <c r="AT16" i="1"/>
  <c r="AU16" i="1" s="1"/>
  <c r="AN16" i="1"/>
  <c r="AY15" i="1"/>
  <c r="AT15" i="1"/>
  <c r="AN15" i="1"/>
  <c r="AY14" i="1"/>
  <c r="AT14" i="1"/>
  <c r="AN14" i="1"/>
  <c r="AY13" i="1"/>
  <c r="AT13" i="1"/>
  <c r="AN13" i="1"/>
  <c r="AU13" i="1" s="1"/>
  <c r="AY12" i="1"/>
  <c r="AT12" i="1"/>
  <c r="AN12" i="1"/>
  <c r="AY11" i="1"/>
  <c r="AT11" i="1"/>
  <c r="AN11" i="1"/>
  <c r="AY10" i="1"/>
  <c r="AT10" i="1"/>
  <c r="AN10" i="1"/>
  <c r="AY9" i="1"/>
  <c r="AT9" i="1"/>
  <c r="AU9" i="1" s="1"/>
  <c r="AN9" i="1"/>
  <c r="AY8" i="1"/>
  <c r="AT8" i="1"/>
  <c r="AU8" i="1" s="1"/>
  <c r="AN8" i="1"/>
  <c r="AY7" i="1"/>
  <c r="AT7" i="1"/>
  <c r="AN7" i="1"/>
  <c r="AY6" i="1"/>
  <c r="AT6" i="1"/>
  <c r="AN6" i="1"/>
  <c r="AY5" i="1"/>
  <c r="AS5" i="1"/>
  <c r="AS41" i="1" s="1"/>
  <c r="AN5" i="1"/>
  <c r="AY4" i="1"/>
  <c r="AT4" i="1"/>
  <c r="AN4" i="1"/>
  <c r="AA11" i="4" l="1"/>
  <c r="Z35" i="4"/>
  <c r="Z27" i="4"/>
  <c r="Z19" i="4"/>
  <c r="AB27" i="4"/>
  <c r="AE3" i="4"/>
  <c r="Y11" i="4"/>
  <c r="X35" i="4"/>
  <c r="X27" i="4"/>
  <c r="X19" i="4"/>
  <c r="AF11" i="4"/>
  <c r="Y38" i="4"/>
  <c r="AE35" i="4"/>
  <c r="AE27" i="4"/>
  <c r="AE19" i="4"/>
  <c r="AB35" i="4"/>
  <c r="AB19" i="4"/>
  <c r="AD35" i="4"/>
  <c r="AD27" i="4"/>
  <c r="AD19" i="4"/>
  <c r="Z29" i="4"/>
  <c r="X14" i="4"/>
  <c r="Z5" i="4"/>
  <c r="Y13" i="4"/>
  <c r="Y5" i="4"/>
  <c r="AA35" i="4"/>
  <c r="X29" i="4"/>
  <c r="AF13" i="4"/>
  <c r="AD6" i="4"/>
  <c r="AF5" i="4"/>
  <c r="Y3" i="4"/>
  <c r="Y42" i="4"/>
  <c r="Y34" i="4"/>
  <c r="X10" i="4"/>
  <c r="AE29" i="4"/>
  <c r="AD29" i="4"/>
  <c r="Y32" i="4"/>
  <c r="X8" i="4"/>
  <c r="AC13" i="4"/>
  <c r="AC5" i="4"/>
  <c r="AA23" i="4"/>
  <c r="AA15" i="4"/>
  <c r="AD10" i="4"/>
  <c r="X46" i="4"/>
  <c r="X38" i="4"/>
  <c r="X22" i="4"/>
  <c r="AC6" i="4"/>
  <c r="Y46" i="4"/>
  <c r="AC29" i="4"/>
  <c r="AB13" i="4"/>
  <c r="AB5" i="4"/>
  <c r="AD8" i="4"/>
  <c r="Z39" i="4"/>
  <c r="X28" i="4"/>
  <c r="AC12" i="4"/>
  <c r="AC4" i="4"/>
  <c r="Y28" i="4"/>
  <c r="Y22" i="4"/>
  <c r="Z15" i="4"/>
  <c r="AC35" i="4"/>
  <c r="AC27" i="4"/>
  <c r="AC19" i="4"/>
  <c r="AB11" i="4"/>
  <c r="AA27" i="4"/>
  <c r="Z7" i="4"/>
  <c r="Z3" i="4"/>
  <c r="X42" i="4"/>
  <c r="X34" i="4"/>
  <c r="X18" i="4"/>
  <c r="AC10" i="4"/>
  <c r="AA19" i="4"/>
  <c r="Z13" i="4"/>
  <c r="X6" i="4"/>
  <c r="Z49" i="4"/>
  <c r="Z33" i="4"/>
  <c r="AA39" i="4"/>
  <c r="AD12" i="4"/>
  <c r="Z23" i="4"/>
  <c r="X32" i="4"/>
  <c r="AC8" i="4"/>
  <c r="Y18" i="4"/>
  <c r="Z11" i="4"/>
  <c r="AD4" i="4"/>
  <c r="Z9" i="4"/>
  <c r="AD3" i="4"/>
  <c r="AF49" i="4"/>
  <c r="AC46" i="4"/>
  <c r="AC42" i="4"/>
  <c r="AF39" i="4"/>
  <c r="AC38" i="4"/>
  <c r="AF35" i="4"/>
  <c r="AC34" i="4"/>
  <c r="AF33" i="4"/>
  <c r="AC32" i="4"/>
  <c r="AF29" i="4"/>
  <c r="AC28" i="4"/>
  <c r="AF27" i="4"/>
  <c r="AF23" i="4"/>
  <c r="AC22" i="4"/>
  <c r="AF19" i="4"/>
  <c r="AC18" i="4"/>
  <c r="AF15" i="4"/>
  <c r="AC14" i="4"/>
  <c r="AE13" i="4"/>
  <c r="AB12" i="4"/>
  <c r="AE11" i="4"/>
  <c r="AB10" i="4"/>
  <c r="AE9" i="4"/>
  <c r="AB8" i="4"/>
  <c r="AE7" i="4"/>
  <c r="AB6" i="4"/>
  <c r="AE5" i="4"/>
  <c r="AB4" i="4"/>
  <c r="AA33" i="4"/>
  <c r="AC3" i="4"/>
  <c r="AE49" i="4"/>
  <c r="AB46" i="4"/>
  <c r="AB42" i="4"/>
  <c r="AE39" i="4"/>
  <c r="AB38" i="4"/>
  <c r="AB34" i="4"/>
  <c r="AE33" i="4"/>
  <c r="AB32" i="4"/>
  <c r="AB28" i="4"/>
  <c r="AE23" i="4"/>
  <c r="AB22" i="4"/>
  <c r="AB18" i="4"/>
  <c r="AE15" i="4"/>
  <c r="AB14" i="4"/>
  <c r="AA12" i="4"/>
  <c r="AA10" i="4"/>
  <c r="Y9" i="4"/>
  <c r="AA8" i="4"/>
  <c r="Y7" i="4"/>
  <c r="AA6" i="4"/>
  <c r="AA4" i="4"/>
  <c r="AB3" i="4"/>
  <c r="Y49" i="4"/>
  <c r="AA46" i="4"/>
  <c r="AA42" i="4"/>
  <c r="Y39" i="4"/>
  <c r="AA38" i="4"/>
  <c r="Y35" i="4"/>
  <c r="AA34" i="4"/>
  <c r="Y33" i="4"/>
  <c r="AA32" i="4"/>
  <c r="Y29" i="4"/>
  <c r="AA28" i="4"/>
  <c r="Y27" i="4"/>
  <c r="Y23" i="4"/>
  <c r="AA22" i="4"/>
  <c r="Y19" i="4"/>
  <c r="AA18" i="4"/>
  <c r="Y15" i="4"/>
  <c r="AA14" i="4"/>
  <c r="AD13" i="4"/>
  <c r="X13" i="4"/>
  <c r="Z12" i="4"/>
  <c r="AD11" i="4"/>
  <c r="X11" i="4"/>
  <c r="Z10" i="4"/>
  <c r="AD9" i="4"/>
  <c r="X9" i="4"/>
  <c r="Z8" i="4"/>
  <c r="AD7" i="4"/>
  <c r="X7" i="4"/>
  <c r="Z6" i="4"/>
  <c r="AD5" i="4"/>
  <c r="X5" i="4"/>
  <c r="Z4" i="4"/>
  <c r="AA49" i="4"/>
  <c r="AA3" i="4"/>
  <c r="AD49" i="4"/>
  <c r="X49" i="4"/>
  <c r="Z46" i="4"/>
  <c r="Z42" i="4"/>
  <c r="AD39" i="4"/>
  <c r="X39" i="4"/>
  <c r="Z38" i="4"/>
  <c r="Z34" i="4"/>
  <c r="AD33" i="4"/>
  <c r="X33" i="4"/>
  <c r="Z32" i="4"/>
  <c r="Z28" i="4"/>
  <c r="AD23" i="4"/>
  <c r="X23" i="4"/>
  <c r="Z22" i="4"/>
  <c r="Z18" i="4"/>
  <c r="AD15" i="4"/>
  <c r="X15" i="4"/>
  <c r="Z14" i="4"/>
  <c r="AF12" i="4"/>
  <c r="AF10" i="4"/>
  <c r="AC9" i="4"/>
  <c r="AF8" i="4"/>
  <c r="AC7" i="4"/>
  <c r="AF6" i="4"/>
  <c r="AF4" i="4"/>
  <c r="AC49" i="4"/>
  <c r="AF46" i="4"/>
  <c r="AF42" i="4"/>
  <c r="AC39" i="4"/>
  <c r="AF38" i="4"/>
  <c r="AF34" i="4"/>
  <c r="AC33" i="4"/>
  <c r="AF32" i="4"/>
  <c r="AF28" i="4"/>
  <c r="AC23" i="4"/>
  <c r="AF22" i="4"/>
  <c r="AF18" i="4"/>
  <c r="AC15" i="4"/>
  <c r="AF14" i="4"/>
  <c r="AE12" i="4"/>
  <c r="AE10" i="4"/>
  <c r="AB9" i="4"/>
  <c r="AE8" i="4"/>
  <c r="AB7" i="4"/>
  <c r="AE6" i="4"/>
  <c r="AE4" i="4"/>
  <c r="AB49" i="4"/>
  <c r="AE46" i="4"/>
  <c r="AE42" i="4"/>
  <c r="AB39" i="4"/>
  <c r="AE38" i="4"/>
  <c r="AE34" i="4"/>
  <c r="AB33" i="4"/>
  <c r="AE32" i="4"/>
  <c r="AE28" i="4"/>
  <c r="AB23" i="4"/>
  <c r="AE22" i="4"/>
  <c r="AE18" i="4"/>
  <c r="AB15" i="4"/>
  <c r="AE14" i="4"/>
  <c r="Y14" i="4"/>
  <c r="Y12" i="4"/>
  <c r="Y10" i="4"/>
  <c r="AA9" i="4"/>
  <c r="Y8" i="4"/>
  <c r="AA7" i="4"/>
  <c r="Y6" i="4"/>
  <c r="Y4" i="4"/>
  <c r="X4" i="4"/>
  <c r="AD46" i="4"/>
  <c r="AD42" i="4"/>
  <c r="AD38" i="4"/>
  <c r="AD34" i="4"/>
  <c r="AD32" i="4"/>
  <c r="AD28" i="4"/>
  <c r="AD22" i="4"/>
  <c r="AD18" i="4"/>
  <c r="AD14" i="4"/>
  <c r="AF9" i="4"/>
  <c r="AF7" i="4"/>
  <c r="AU4" i="2"/>
  <c r="AU36" i="2"/>
  <c r="AU16" i="2"/>
  <c r="AU23" i="1"/>
  <c r="AU31" i="1"/>
  <c r="AU39" i="1"/>
  <c r="AU9" i="2"/>
  <c r="AU24" i="2"/>
  <c r="E49" i="2"/>
  <c r="M49" i="2"/>
  <c r="U49" i="2"/>
  <c r="AC49" i="2"/>
  <c r="AK49" i="2"/>
  <c r="AU11" i="2"/>
  <c r="AU27" i="2"/>
  <c r="AU34" i="2"/>
  <c r="AU13" i="2"/>
  <c r="AU17" i="2"/>
  <c r="AU25" i="2"/>
  <c r="AU30" i="2"/>
  <c r="AU4" i="1"/>
  <c r="AU38" i="2"/>
  <c r="I49" i="2"/>
  <c r="Q49" i="2"/>
  <c r="Y49" i="2"/>
  <c r="AG49" i="2"/>
  <c r="AU32" i="2"/>
  <c r="AU21" i="2"/>
  <c r="AT26" i="2"/>
  <c r="AU26" i="2" s="1"/>
  <c r="AU39" i="2"/>
  <c r="AU12" i="1"/>
  <c r="AU24" i="1"/>
  <c r="AU28" i="1"/>
  <c r="AU32" i="1"/>
  <c r="AU36" i="1"/>
  <c r="AU40" i="1"/>
  <c r="F49" i="1"/>
  <c r="J49" i="1"/>
  <c r="N49" i="1"/>
  <c r="R49" i="1"/>
  <c r="V49" i="1"/>
  <c r="Z49" i="1"/>
  <c r="AD49" i="1"/>
  <c r="AH49" i="1"/>
  <c r="AL49" i="1"/>
  <c r="AU22" i="1"/>
  <c r="AU26" i="1"/>
  <c r="AU30" i="1"/>
  <c r="AU34" i="1"/>
  <c r="AU38" i="1"/>
  <c r="AU25" i="1"/>
  <c r="AU29" i="1"/>
  <c r="AU33" i="1"/>
  <c r="AU37" i="1"/>
  <c r="D49" i="1"/>
  <c r="H49" i="1"/>
  <c r="L49" i="1"/>
  <c r="P49" i="1"/>
  <c r="T49" i="1"/>
  <c r="X49" i="1"/>
  <c r="AB49" i="1"/>
  <c r="AF49" i="1"/>
  <c r="AJ49" i="1"/>
  <c r="AU42" i="1"/>
  <c r="AV42" i="1" s="1"/>
  <c r="AY42" i="1" s="1"/>
  <c r="AY41" i="1"/>
  <c r="AU21" i="1"/>
  <c r="AT5" i="1"/>
  <c r="AU6" i="1"/>
  <c r="AU11" i="1"/>
  <c r="AU14" i="1"/>
  <c r="AU19" i="1"/>
  <c r="C49" i="1"/>
  <c r="G49" i="1"/>
  <c r="K49" i="1"/>
  <c r="O49" i="1"/>
  <c r="S49" i="1"/>
  <c r="W49" i="1"/>
  <c r="AA49" i="1"/>
  <c r="AE49" i="1"/>
  <c r="AI49" i="1"/>
  <c r="AM49" i="1"/>
  <c r="AU7" i="1"/>
  <c r="AU10" i="1"/>
  <c r="AU15" i="1"/>
  <c r="AU18" i="1"/>
  <c r="AN48" i="1"/>
  <c r="E49" i="1"/>
  <c r="I49" i="1"/>
  <c r="M49" i="1"/>
  <c r="Q49" i="1"/>
  <c r="U49" i="1"/>
  <c r="Y49" i="1"/>
  <c r="AC49" i="1"/>
  <c r="AG49" i="1"/>
  <c r="AK49" i="1"/>
  <c r="AN41" i="2"/>
  <c r="AS41" i="2"/>
  <c r="AU23" i="2"/>
  <c r="AN48" i="2"/>
  <c r="D49" i="2"/>
  <c r="H49" i="2"/>
  <c r="L49" i="2"/>
  <c r="P49" i="2"/>
  <c r="T49" i="2"/>
  <c r="X49" i="2"/>
  <c r="AB49" i="2"/>
  <c r="AF49" i="2"/>
  <c r="AJ49" i="2"/>
  <c r="AU7" i="2"/>
  <c r="AU10" i="2"/>
  <c r="AU12" i="2"/>
  <c r="AU14" i="2"/>
  <c r="AU37" i="2"/>
  <c r="C49" i="2"/>
  <c r="G49" i="2"/>
  <c r="K49" i="2"/>
  <c r="O49" i="2"/>
  <c r="S49" i="2"/>
  <c r="W49" i="2"/>
  <c r="AA49" i="2"/>
  <c r="AE49" i="2"/>
  <c r="AI49" i="2"/>
  <c r="AM49" i="2"/>
  <c r="AU15" i="2"/>
  <c r="AU18" i="2"/>
  <c r="AU20" i="2"/>
  <c r="AU22" i="2"/>
  <c r="AU29" i="2"/>
  <c r="AU40" i="2"/>
  <c r="AT41" i="2"/>
  <c r="AO41" i="2"/>
  <c r="AY41" i="2"/>
  <c r="AN41" i="1"/>
  <c r="AU41" i="2" l="1"/>
  <c r="AN49" i="1"/>
  <c r="AT41" i="1"/>
  <c r="AU5" i="1"/>
  <c r="AU41" i="1" s="1"/>
  <c r="AN49" i="2"/>
</calcChain>
</file>

<file path=xl/sharedStrings.xml><?xml version="1.0" encoding="utf-8"?>
<sst xmlns="http://schemas.openxmlformats.org/spreadsheetml/2006/main" count="544" uniqueCount="177">
  <si>
    <t>Padi</t>
  </si>
  <si>
    <t>Tanaman Bahan Makanan Lainnya</t>
  </si>
  <si>
    <t>Kelapa Sawit</t>
  </si>
  <si>
    <t>Tanaman Perkebunan Lainnya</t>
  </si>
  <si>
    <t>Peternakan</t>
  </si>
  <si>
    <t>Kayu</t>
  </si>
  <si>
    <t>Hasil Hutan Lainnya</t>
  </si>
  <si>
    <t>Perikanan</t>
  </si>
  <si>
    <t>Pertambangan minyak dan gas bumi</t>
  </si>
  <si>
    <t>Batubara</t>
  </si>
  <si>
    <t>Penggalian</t>
  </si>
  <si>
    <t>Industri Migas</t>
  </si>
  <si>
    <t>Industri makanan, minuman dan tembakau</t>
  </si>
  <si>
    <t>Industri tekstil, barang kulit dan alas kaki</t>
  </si>
  <si>
    <t>Industri kayu dan hasil hutan lainnya</t>
  </si>
  <si>
    <t>Industri kertas dan barang cetakan</t>
  </si>
  <si>
    <t>Industri pupuk, kimia dan barang dari karet</t>
  </si>
  <si>
    <t>Industri semen, barang lain bukan logam</t>
  </si>
  <si>
    <t>Industri logam dasar, besi dan baja</t>
  </si>
  <si>
    <t>Industri alat angkutan, mesin dan peralatan</t>
  </si>
  <si>
    <t>Industri barang lainnya</t>
  </si>
  <si>
    <t>Listrik Gas dan Air Bersih</t>
  </si>
  <si>
    <t>Konstruksi</t>
  </si>
  <si>
    <t>Perdagangan</t>
  </si>
  <si>
    <t>Hotel dan Restoran</t>
  </si>
  <si>
    <t>Angkutan darat</t>
  </si>
  <si>
    <t>Angkutan  laut,sungai,  dan penyeberangan</t>
  </si>
  <si>
    <t>Angkutan udara</t>
  </si>
  <si>
    <t>Jasa penunjang angkutan dan pergudangan</t>
  </si>
  <si>
    <t>komunikasi</t>
  </si>
  <si>
    <t>Bank dan lembaga keuangan lainnya</t>
  </si>
  <si>
    <t>Jasa persewaan dan Perusahaan</t>
  </si>
  <si>
    <t>Pemerintahan dan pertahanan</t>
  </si>
  <si>
    <t>Jasa sosial dan kemasyarakatan</t>
  </si>
  <si>
    <t>Jasa hiburan, rekreasi &amp; kebudayaan</t>
  </si>
  <si>
    <t>Jasa perorangan dan rumah tangga</t>
  </si>
  <si>
    <t>Kegiatan yang tidak jelas batasannya</t>
  </si>
  <si>
    <t>Jumlah Input antara</t>
  </si>
  <si>
    <t>Jumlah Input antara impor</t>
  </si>
  <si>
    <t>Upah dan gaji</t>
  </si>
  <si>
    <t>Surplus usaha</t>
  </si>
  <si>
    <t>Penyusutan</t>
  </si>
  <si>
    <t>Pajak tak langsung</t>
  </si>
  <si>
    <t>Subsidi</t>
  </si>
  <si>
    <t>Input primer/nilai tambah bruto</t>
  </si>
  <si>
    <t>Jumlah INPUT</t>
  </si>
  <si>
    <t>Kode I-O</t>
  </si>
  <si>
    <t>Nama Sektor</t>
  </si>
  <si>
    <t>Tabel Input-Output Provinsi Kalimantan Timur Tahun 2000</t>
  </si>
  <si>
    <t>Transaksi Total Atas Dasar Harga  Produsen</t>
  </si>
  <si>
    <t>Tabel Input-Output Provinsi Kalimantan Timur Tahun 2005</t>
  </si>
  <si>
    <t>Tabel Input-Output Provinsi Kalimantan Timur Tahun 2010</t>
  </si>
  <si>
    <t>Agriculture, Hunting, Forestry and Fishing</t>
  </si>
  <si>
    <t>Mining and Quarrying</t>
  </si>
  <si>
    <t>Food, Beverages and Tobacco</t>
  </si>
  <si>
    <t>Textiles and Textile Products</t>
  </si>
  <si>
    <t>Leather, Leather and Footwear</t>
  </si>
  <si>
    <t>Wood and Products of Wood and Cork</t>
  </si>
  <si>
    <t>Pulp, Paper, Paper , Printing and Publishing</t>
  </si>
  <si>
    <t>Coke, Refined Petroleum and Nuclear Fuel</t>
  </si>
  <si>
    <t>Chemicals and Chemical Products</t>
  </si>
  <si>
    <t>Rubber and Plastics</t>
  </si>
  <si>
    <t>Other Non-Metallic Mineral</t>
  </si>
  <si>
    <t>Basic Metals and Fabricated Metal</t>
  </si>
  <si>
    <t>Machinery, Nec</t>
  </si>
  <si>
    <t>Electrical and Optical Equipment</t>
  </si>
  <si>
    <t>Transport Equipment</t>
  </si>
  <si>
    <t>Manufacturing, Nec; Recycling</t>
  </si>
  <si>
    <t>Electricity, Gas and Water Supply</t>
  </si>
  <si>
    <t>Construction</t>
  </si>
  <si>
    <t>Sale, Maintenance and Repair of Motor Vehicles and Motorcycles; Retail Sale of Fuel</t>
  </si>
  <si>
    <t>Wholesale Trade and Commission Trade, Except of Motor Vehicles and Motorcycles</t>
  </si>
  <si>
    <t>Retail Trade, Except of Motor Vehicles and Motorcycles; Repair of Household Goods</t>
  </si>
  <si>
    <t>Hotels and Restaurants</t>
  </si>
  <si>
    <t>Inland Transport</t>
  </si>
  <si>
    <t>Water Transport</t>
  </si>
  <si>
    <t>Air Transport</t>
  </si>
  <si>
    <t>Other Supporting and Auxiliary Transport Activities; Activities of Travel Agencies</t>
  </si>
  <si>
    <t>Post and Telecommunications</t>
  </si>
  <si>
    <t>Financial Intermediation</t>
  </si>
  <si>
    <t>Real Estate Activities</t>
  </si>
  <si>
    <t>Renting of M&amp;Eq and Other Business Activities</t>
  </si>
  <si>
    <t>Public Admin and Defence; Compulsory Social Security</t>
  </si>
  <si>
    <t>Education</t>
  </si>
  <si>
    <t>Health and Social Work</t>
  </si>
  <si>
    <t>Other Community, Social and Personal Services</t>
  </si>
  <si>
    <t>Private Households with Employed Persons</t>
  </si>
  <si>
    <t>Extra-territorial organizations and bodies</t>
  </si>
  <si>
    <t>None</t>
  </si>
  <si>
    <t>total</t>
  </si>
  <si>
    <t>Grand Total</t>
  </si>
  <si>
    <t>FC_HH</t>
  </si>
  <si>
    <t>Final consumption expenditure by households</t>
  </si>
  <si>
    <t>secTOT</t>
  </si>
  <si>
    <t>Total intermediate consumption</t>
  </si>
  <si>
    <t>secQ</t>
  </si>
  <si>
    <t>secP</t>
  </si>
  <si>
    <t>secO</t>
  </si>
  <si>
    <t>secN</t>
  </si>
  <si>
    <t>secM</t>
  </si>
  <si>
    <t>secL</t>
  </si>
  <si>
    <t>sec71t74</t>
  </si>
  <si>
    <t>sec70</t>
  </si>
  <si>
    <t>secJ</t>
  </si>
  <si>
    <t>sec64</t>
  </si>
  <si>
    <t>sec63</t>
  </si>
  <si>
    <t>sec62</t>
  </si>
  <si>
    <t>sec61</t>
  </si>
  <si>
    <t>sec60</t>
  </si>
  <si>
    <t>secH</t>
  </si>
  <si>
    <t>sec52</t>
  </si>
  <si>
    <t>sec51</t>
  </si>
  <si>
    <t>sec50</t>
  </si>
  <si>
    <t>secF</t>
  </si>
  <si>
    <t>secE</t>
  </si>
  <si>
    <t>sec36t37</t>
  </si>
  <si>
    <t>sec34t35</t>
  </si>
  <si>
    <t>sec30t33</t>
  </si>
  <si>
    <t>sec29</t>
  </si>
  <si>
    <t>sec27t28</t>
  </si>
  <si>
    <t>sec26</t>
  </si>
  <si>
    <t>sec25</t>
  </si>
  <si>
    <t>sec24</t>
  </si>
  <si>
    <t>sec23</t>
  </si>
  <si>
    <t>sec21t22</t>
  </si>
  <si>
    <t>sec20</t>
  </si>
  <si>
    <t>sec19</t>
  </si>
  <si>
    <t>sec17t18</t>
  </si>
  <si>
    <t>sec15t16</t>
  </si>
  <si>
    <t>secC</t>
  </si>
  <si>
    <t>secAtB</t>
  </si>
  <si>
    <t>TOTAL</t>
  </si>
  <si>
    <t>StatDiff</t>
  </si>
  <si>
    <t>NonENERGY</t>
  </si>
  <si>
    <t>OTHSOURC</t>
  </si>
  <si>
    <t>WIND</t>
  </si>
  <si>
    <t>SOLAR</t>
  </si>
  <si>
    <t>GEOTHERM</t>
  </si>
  <si>
    <t>HYDRO</t>
  </si>
  <si>
    <t>NUCLEAR</t>
  </si>
  <si>
    <t>HEATPROD</t>
  </si>
  <si>
    <t>ELECTR</t>
  </si>
  <si>
    <t>OTHRENEW</t>
  </si>
  <si>
    <t>BIOGAS</t>
  </si>
  <si>
    <t>BIODIESEL</t>
  </si>
  <si>
    <t>BIOGASOL</t>
  </si>
  <si>
    <t>WASTE</t>
  </si>
  <si>
    <t>OTHGAS</t>
  </si>
  <si>
    <t>NATGAS</t>
  </si>
  <si>
    <t>OTHPETRO</t>
  </si>
  <si>
    <t>NAPHTA</t>
  </si>
  <si>
    <t>HFO</t>
  </si>
  <si>
    <t>LFO</t>
  </si>
  <si>
    <t>JETFUEL</t>
  </si>
  <si>
    <t>GASOLINE</t>
  </si>
  <si>
    <t>DIESEL</t>
  </si>
  <si>
    <t>CRUDE</t>
  </si>
  <si>
    <t>COKE</t>
  </si>
  <si>
    <t>BCOAL</t>
  </si>
  <si>
    <t>HCOAL</t>
  </si>
  <si>
    <t>LOSS</t>
  </si>
  <si>
    <t>ID</t>
  </si>
  <si>
    <t>SECTOR-KALTIM</t>
  </si>
  <si>
    <t>SECTOR-EU</t>
  </si>
  <si>
    <t>SECTOR-ID</t>
  </si>
  <si>
    <t>ENERGY-CONSUMPTION (JOULE)-ORIGINAL</t>
  </si>
  <si>
    <t>ENERGY-EMISSION (CO2)-ORIGINAL</t>
  </si>
  <si>
    <t>ENERGY-CONSUMPTION (JOULE)-REMAPPED</t>
  </si>
  <si>
    <t>ENERGY-EMISSION (CO2)-REMAPPED</t>
  </si>
  <si>
    <t>COUNT-X</t>
  </si>
  <si>
    <t>COUNT-Y</t>
  </si>
  <si>
    <t>SECTOR</t>
  </si>
  <si>
    <t>TOTAL ENERGY CONSUMPTION (EC)</t>
  </si>
  <si>
    <t>TOTAL EMISSION FROM ENERGY (EE)</t>
  </si>
  <si>
    <t>EC-TOTAL</t>
  </si>
  <si>
    <t>EE-TOTAL</t>
  </si>
  <si>
    <t>FINAL TABLE-PLEASE 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</si>
</sst>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164" formatCode="#,##0.00000"/>
    <numFmt numFmtId="167" formatCode="0.0"/>
  </numFmts>
  <fonts count="10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b/>
      <sz val="9"/>
      <color indexed="8"/>
      <name val="Arial"/>
      <family val="2"/>
    </font>
    <font>
      <sz val="9"/>
      <name val="Arial"/>
      <family val="2"/>
    </font>
    <font>
      <b/>
      <sz val="11"/>
      <color theme="1"/>
      <name val="Calibri"/>
      <family val="2"/>
      <scheme val="minor"/>
    </font>
    <font>
      <sz val="10"/>
      <name val="Arial"/>
    </font>
    <font>
      <b/>
      <sz val="10"/>
      <name val="Arial"/>
      <family val="2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 style="dotted">
        <color indexed="64"/>
      </left>
      <right/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dotted">
        <color indexed="64"/>
      </left>
      <right/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dotted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5" fillId="0" borderId="0"/>
    <xf numFmtId="0" fontId="1" fillId="0" borderId="0"/>
  </cellStyleXfs>
  <cellXfs count="107">
    <xf numFmtId="0" fontId="0" fillId="0" borderId="0" xfId="0"/>
    <xf numFmtId="4" fontId="0" fillId="0" borderId="0" xfId="0" applyNumberFormat="1"/>
    <xf numFmtId="4" fontId="0" fillId="0" borderId="0" xfId="0" applyNumberFormat="1" applyBorder="1"/>
    <xf numFmtId="3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/>
    <xf numFmtId="0" fontId="0" fillId="2" borderId="2" xfId="0" applyFill="1" applyBorder="1"/>
    <xf numFmtId="0" fontId="0" fillId="2" borderId="3" xfId="0" applyFill="1" applyBorder="1"/>
    <xf numFmtId="41" fontId="2" fillId="2" borderId="3" xfId="1" applyNumberFormat="1" applyFont="1" applyFill="1" applyBorder="1" applyAlignment="1" applyProtection="1">
      <alignment horizontal="right" vertical="center"/>
    </xf>
    <xf numFmtId="41" fontId="2" fillId="2" borderId="1" xfId="1" applyNumberFormat="1" applyFont="1" applyFill="1" applyBorder="1" applyAlignment="1" applyProtection="1">
      <alignment horizontal="right" vertical="center"/>
    </xf>
    <xf numFmtId="41" fontId="2" fillId="2" borderId="2" xfId="1" applyNumberFormat="1" applyFont="1" applyFill="1" applyBorder="1" applyAlignment="1" applyProtection="1">
      <alignment horizontal="right" vertical="center"/>
    </xf>
    <xf numFmtId="0" fontId="3" fillId="2" borderId="1" xfId="1" applyNumberFormat="1" applyFont="1" applyFill="1" applyBorder="1" applyProtection="1"/>
    <xf numFmtId="0" fontId="0" fillId="2" borderId="0" xfId="0" applyFill="1"/>
    <xf numFmtId="0" fontId="0" fillId="2" borderId="0" xfId="0" applyFill="1" applyAlignment="1">
      <alignment horizontal="center"/>
    </xf>
    <xf numFmtId="4" fontId="0" fillId="2" borderId="0" xfId="0" applyNumberFormat="1" applyFill="1"/>
    <xf numFmtId="4" fontId="0" fillId="2" borderId="0" xfId="0" applyNumberFormat="1" applyFill="1" applyBorder="1"/>
    <xf numFmtId="0" fontId="0" fillId="3" borderId="0" xfId="0" applyFill="1"/>
    <xf numFmtId="3" fontId="0" fillId="2" borderId="3" xfId="0" applyNumberFormat="1" applyFill="1" applyBorder="1"/>
    <xf numFmtId="4" fontId="0" fillId="3" borderId="0" xfId="0" applyNumberFormat="1" applyFill="1"/>
    <xf numFmtId="0" fontId="5" fillId="0" borderId="0" xfId="2"/>
    <xf numFmtId="0" fontId="5" fillId="0" borderId="0" xfId="2" applyAlignment="1">
      <alignment horizontal="left"/>
    </xf>
    <xf numFmtId="10" fontId="5" fillId="0" borderId="0" xfId="2" applyNumberFormat="1"/>
    <xf numFmtId="1" fontId="5" fillId="0" borderId="0" xfId="2" applyNumberFormat="1"/>
    <xf numFmtId="0" fontId="5" fillId="0" borderId="1" xfId="2" applyBorder="1"/>
    <xf numFmtId="0" fontId="5" fillId="0" borderId="3" xfId="2" applyBorder="1"/>
    <xf numFmtId="0" fontId="5" fillId="0" borderId="4" xfId="2" applyBorder="1"/>
    <xf numFmtId="0" fontId="5" fillId="0" borderId="5" xfId="2" applyBorder="1"/>
    <xf numFmtId="0" fontId="5" fillId="0" borderId="6" xfId="2" applyBorder="1"/>
    <xf numFmtId="0" fontId="1" fillId="0" borderId="7" xfId="3" applyFont="1" applyFill="1" applyBorder="1" applyAlignment="1">
      <alignment horizontal="left"/>
    </xf>
    <xf numFmtId="0" fontId="1" fillId="0" borderId="6" xfId="3" applyFont="1" applyFill="1" applyBorder="1" applyAlignment="1">
      <alignment horizontal="left"/>
    </xf>
    <xf numFmtId="0" fontId="1" fillId="0" borderId="0" xfId="3" applyFont="1" applyFill="1" applyBorder="1" applyAlignment="1">
      <alignment horizontal="left"/>
    </xf>
    <xf numFmtId="0" fontId="5" fillId="0" borderId="8" xfId="2" applyBorder="1"/>
    <xf numFmtId="0" fontId="5" fillId="0" borderId="9" xfId="2" applyBorder="1"/>
    <xf numFmtId="0" fontId="5" fillId="0" borderId="10" xfId="2" applyBorder="1"/>
    <xf numFmtId="0" fontId="5" fillId="0" borderId="11" xfId="2" applyBorder="1"/>
    <xf numFmtId="0" fontId="1" fillId="0" borderId="12" xfId="3" applyFont="1" applyFill="1" applyBorder="1" applyAlignment="1">
      <alignment horizontal="left"/>
    </xf>
    <xf numFmtId="0" fontId="1" fillId="0" borderId="0" xfId="2" applyFont="1"/>
    <xf numFmtId="0" fontId="5" fillId="0" borderId="13" xfId="2" applyBorder="1"/>
    <xf numFmtId="0" fontId="5" fillId="0" borderId="14" xfId="2" applyBorder="1"/>
    <xf numFmtId="0" fontId="5" fillId="0" borderId="15" xfId="2" applyBorder="1"/>
    <xf numFmtId="0" fontId="5" fillId="0" borderId="16" xfId="2" applyBorder="1"/>
    <xf numFmtId="0" fontId="1" fillId="0" borderId="17" xfId="3" applyFont="1" applyFill="1" applyBorder="1" applyAlignment="1">
      <alignment horizontal="left"/>
    </xf>
    <xf numFmtId="0" fontId="1" fillId="0" borderId="18" xfId="3" applyFont="1" applyFill="1" applyBorder="1" applyAlignment="1">
      <alignment horizontal="left"/>
    </xf>
    <xf numFmtId="0" fontId="5" fillId="0" borderId="19" xfId="2" applyBorder="1"/>
    <xf numFmtId="0" fontId="5" fillId="0" borderId="20" xfId="2" applyBorder="1"/>
    <xf numFmtId="0" fontId="5" fillId="0" borderId="21" xfId="2" applyBorder="1"/>
    <xf numFmtId="0" fontId="5" fillId="0" borderId="22" xfId="2" applyBorder="1"/>
    <xf numFmtId="0" fontId="1" fillId="0" borderId="23" xfId="3" applyFont="1" applyFill="1" applyBorder="1" applyAlignment="1">
      <alignment horizontal="left"/>
    </xf>
    <xf numFmtId="0" fontId="1" fillId="0" borderId="24" xfId="3" applyFont="1" applyFill="1" applyBorder="1" applyAlignment="1">
      <alignment horizontal="left"/>
    </xf>
    <xf numFmtId="0" fontId="6" fillId="0" borderId="1" xfId="2" applyFont="1" applyBorder="1"/>
    <xf numFmtId="0" fontId="1" fillId="0" borderId="25" xfId="2" applyFont="1" applyBorder="1"/>
    <xf numFmtId="0" fontId="1" fillId="0" borderId="7" xfId="2" applyFont="1" applyBorder="1"/>
    <xf numFmtId="0" fontId="1" fillId="0" borderId="5" xfId="2" applyFont="1" applyBorder="1"/>
    <xf numFmtId="0" fontId="1" fillId="0" borderId="26" xfId="2" applyFont="1" applyBorder="1"/>
    <xf numFmtId="0" fontId="5" fillId="0" borderId="7" xfId="2" applyBorder="1"/>
    <xf numFmtId="0" fontId="5" fillId="0" borderId="5" xfId="2" quotePrefix="1" applyBorder="1"/>
    <xf numFmtId="0" fontId="5" fillId="0" borderId="26" xfId="2" quotePrefix="1" applyBorder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7" fontId="0" fillId="4" borderId="0" xfId="0" applyNumberFormat="1" applyFill="1"/>
    <xf numFmtId="0" fontId="8" fillId="4" borderId="0" xfId="0" applyFont="1" applyFill="1" applyAlignment="1">
      <alignment horizontal="center"/>
    </xf>
    <xf numFmtId="0" fontId="4" fillId="4" borderId="0" xfId="0" applyFont="1" applyFill="1"/>
    <xf numFmtId="0" fontId="8" fillId="5" borderId="0" xfId="0" applyFont="1" applyFill="1" applyAlignment="1">
      <alignment horizontal="center"/>
    </xf>
    <xf numFmtId="0" fontId="4" fillId="5" borderId="0" xfId="0" applyFont="1" applyFill="1"/>
    <xf numFmtId="167" fontId="0" fillId="5" borderId="0" xfId="0" applyNumberFormat="1" applyFill="1"/>
    <xf numFmtId="0" fontId="8" fillId="8" borderId="0" xfId="0" applyFont="1" applyFill="1" applyAlignment="1">
      <alignment horizontal="center"/>
    </xf>
    <xf numFmtId="0" fontId="4" fillId="8" borderId="0" xfId="0" applyFont="1" applyFill="1"/>
    <xf numFmtId="167" fontId="0" fillId="8" borderId="0" xfId="0" applyNumberFormat="1" applyFill="1" applyAlignment="1">
      <alignment horizontal="center"/>
    </xf>
    <xf numFmtId="0" fontId="0" fillId="0" borderId="0" xfId="0" applyFill="1"/>
    <xf numFmtId="167" fontId="0" fillId="9" borderId="0" xfId="0" applyNumberFormat="1" applyFill="1" applyAlignment="1">
      <alignment horizontal="center"/>
    </xf>
    <xf numFmtId="0" fontId="8" fillId="6" borderId="27" xfId="0" applyFont="1" applyFill="1" applyBorder="1" applyAlignment="1">
      <alignment horizontal="center"/>
    </xf>
    <xf numFmtId="0" fontId="8" fillId="6" borderId="28" xfId="0" applyFont="1" applyFill="1" applyBorder="1" applyAlignment="1">
      <alignment horizontal="center"/>
    </xf>
    <xf numFmtId="0" fontId="8" fillId="6" borderId="29" xfId="0" applyFont="1" applyFill="1" applyBorder="1" applyAlignment="1">
      <alignment horizontal="center"/>
    </xf>
    <xf numFmtId="0" fontId="4" fillId="6" borderId="30" xfId="0" applyFont="1" applyFill="1" applyBorder="1"/>
    <xf numFmtId="0" fontId="4" fillId="6" borderId="0" xfId="0" applyFont="1" applyFill="1" applyBorder="1"/>
    <xf numFmtId="0" fontId="4" fillId="6" borderId="31" xfId="0" applyFont="1" applyFill="1" applyBorder="1"/>
    <xf numFmtId="167" fontId="0" fillId="0" borderId="30" xfId="0" applyNumberFormat="1" applyBorder="1"/>
    <xf numFmtId="167" fontId="0" fillId="0" borderId="0" xfId="0" applyNumberFormat="1" applyBorder="1"/>
    <xf numFmtId="0" fontId="0" fillId="0" borderId="31" xfId="0" applyBorder="1"/>
    <xf numFmtId="167" fontId="0" fillId="9" borderId="30" xfId="0" applyNumberFormat="1" applyFill="1" applyBorder="1"/>
    <xf numFmtId="167" fontId="0" fillId="9" borderId="0" xfId="0" applyNumberFormat="1" applyFill="1" applyBorder="1"/>
    <xf numFmtId="167" fontId="0" fillId="9" borderId="31" xfId="0" applyNumberFormat="1" applyFill="1" applyBorder="1"/>
    <xf numFmtId="167" fontId="0" fillId="0" borderId="32" xfId="0" applyNumberFormat="1" applyBorder="1"/>
    <xf numFmtId="167" fontId="0" fillId="0" borderId="33" xfId="0" applyNumberFormat="1" applyBorder="1"/>
    <xf numFmtId="0" fontId="0" fillId="0" borderId="34" xfId="0" applyBorder="1"/>
    <xf numFmtId="0" fontId="8" fillId="7" borderId="27" xfId="0" applyFont="1" applyFill="1" applyBorder="1" applyAlignment="1">
      <alignment horizontal="center"/>
    </xf>
    <xf numFmtId="0" fontId="8" fillId="7" borderId="28" xfId="0" applyFont="1" applyFill="1" applyBorder="1" applyAlignment="1">
      <alignment horizontal="center"/>
    </xf>
    <xf numFmtId="0" fontId="8" fillId="7" borderId="29" xfId="0" applyFont="1" applyFill="1" applyBorder="1" applyAlignment="1">
      <alignment horizontal="center"/>
    </xf>
    <xf numFmtId="0" fontId="4" fillId="7" borderId="30" xfId="0" applyFont="1" applyFill="1" applyBorder="1"/>
    <xf numFmtId="0" fontId="4" fillId="7" borderId="0" xfId="0" applyFont="1" applyFill="1" applyBorder="1"/>
    <xf numFmtId="0" fontId="4" fillId="7" borderId="31" xfId="0" applyFont="1" applyFill="1" applyBorder="1"/>
    <xf numFmtId="0" fontId="0" fillId="0" borderId="30" xfId="0" applyBorder="1"/>
    <xf numFmtId="0" fontId="0" fillId="0" borderId="0" xfId="0" applyBorder="1"/>
    <xf numFmtId="0" fontId="0" fillId="0" borderId="32" xfId="0" applyBorder="1"/>
    <xf numFmtId="0" fontId="0" fillId="0" borderId="33" xfId="0" applyBorder="1"/>
    <xf numFmtId="0" fontId="4" fillId="0" borderId="30" xfId="0" applyFont="1" applyBorder="1" applyAlignment="1">
      <alignment horizontal="center" wrapText="1"/>
    </xf>
    <xf numFmtId="167" fontId="0" fillId="0" borderId="31" xfId="0" applyNumberFormat="1" applyFill="1" applyBorder="1"/>
    <xf numFmtId="167" fontId="0" fillId="0" borderId="34" xfId="0" applyNumberFormat="1" applyFill="1" applyBorder="1"/>
    <xf numFmtId="0" fontId="7" fillId="0" borderId="0" xfId="0" applyFont="1" applyAlignment="1">
      <alignment vertical="center"/>
    </xf>
    <xf numFmtId="0" fontId="4" fillId="0" borderId="0" xfId="0" applyFont="1" applyBorder="1" applyAlignment="1">
      <alignment horizontal="center" wrapText="1"/>
    </xf>
    <xf numFmtId="0" fontId="4" fillId="0" borderId="27" xfId="0" applyFont="1" applyBorder="1"/>
    <xf numFmtId="0" fontId="4" fillId="0" borderId="28" xfId="0" applyFont="1" applyBorder="1"/>
    <xf numFmtId="0" fontId="4" fillId="0" borderId="29" xfId="0" applyFont="1" applyBorder="1"/>
    <xf numFmtId="0" fontId="9" fillId="10" borderId="0" xfId="0" applyFont="1" applyFill="1" applyAlignment="1">
      <alignment horizontal="center"/>
    </xf>
    <xf numFmtId="167" fontId="0" fillId="0" borderId="31" xfId="0" applyNumberFormat="1" applyBorder="1"/>
    <xf numFmtId="167" fontId="0" fillId="0" borderId="34" xfId="0" applyNumberFormat="1" applyBorder="1"/>
  </cellXfs>
  <cellStyles count="4">
    <cellStyle name="Normal" xfId="0" builtinId="0"/>
    <cellStyle name="Normal 2" xfId="2"/>
    <cellStyle name="Normal 4" xfId="3"/>
    <cellStyle name="Normal_TABEL I-O KALTIM-03-LENGKAP-FINAL" xfId="1"/>
  </cellStyles>
  <dxfs count="1">
    <dxf>
      <fill>
        <patternFill>
          <bgColor theme="6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RawData\aaPrograms\YL-files\NLD_raw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UKLEMS\Website\October%202009\nld_output_09I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GO"/>
      <sheetName val="II"/>
      <sheetName val="VA"/>
      <sheetName val="COMP"/>
      <sheetName val="LAB"/>
      <sheetName val="CAP"/>
      <sheetName val="EMP"/>
      <sheetName val="EMPE"/>
      <sheetName val="H_EMP"/>
      <sheetName val="H_EMPE"/>
      <sheetName val="GO_P"/>
      <sheetName val="II_P"/>
      <sheetName val="VA_P"/>
      <sheetName val="GO_QI"/>
      <sheetName val="II_QI"/>
      <sheetName val="VA_QI"/>
      <sheetName val="LABHS"/>
      <sheetName val="LABMS"/>
      <sheetName val="LABLS"/>
      <sheetName val="CAP_IT"/>
      <sheetName val="CAP_CT"/>
      <sheetName val="CAP_Soft"/>
      <sheetName val="CAP_TraEq"/>
      <sheetName val="CAP_Other"/>
      <sheetName val="CAP_Omach"/>
      <sheetName val="CAP_Ocon"/>
      <sheetName val="CAP_Rstruc"/>
      <sheetName val="GO (2)"/>
      <sheetName val="GO_QI (2)"/>
      <sheetName val="GO_P (2)"/>
      <sheetName val="II (2)"/>
      <sheetName val="II_QI (2)"/>
      <sheetName val="II_P (2)"/>
      <sheetName val="VA (2)"/>
      <sheetName val="VA_QI (2)"/>
      <sheetName val="VA_P (2)"/>
      <sheetName val="COMP (2)"/>
      <sheetName val="LAB (2)"/>
      <sheetName val="EMP (2)"/>
      <sheetName val="EMPE (2)"/>
      <sheetName val="H_EMP (2)"/>
      <sheetName val="H_EMPE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GO"/>
      <sheetName val="GO_QI"/>
      <sheetName val="GO_P"/>
      <sheetName val="II"/>
      <sheetName val="II_QI"/>
      <sheetName val="II_P"/>
      <sheetName val="VA"/>
      <sheetName val="VA_QI"/>
      <sheetName val="VA_P"/>
      <sheetName val="EMP"/>
      <sheetName val="EMPE"/>
      <sheetName val="H_EMP"/>
      <sheetName val="H_EMPE"/>
      <sheetName val="LP_I"/>
      <sheetName val="COMP"/>
      <sheetName val="LAB"/>
      <sheetName val="CAP"/>
      <sheetName val="LAB_QI"/>
      <sheetName val="LAB_QPH"/>
      <sheetName val="LAB_AVG"/>
      <sheetName val="H_AVG"/>
      <sheetName val="CAPIT"/>
      <sheetName val="CAPNIT"/>
      <sheetName val="CAP_QI"/>
      <sheetName val="CAPIT_QI"/>
      <sheetName val="CAPNIT_QI"/>
      <sheetName val="CAPIT_QPH"/>
      <sheetName val="CAPNIT_QPH"/>
      <sheetName val="CAP_GFCF"/>
      <sheetName val="TFPva_I"/>
      <sheetName val="VA_Q"/>
      <sheetName val="VAConH"/>
      <sheetName val="VAConLC"/>
      <sheetName val="VAConKIT"/>
      <sheetName val="VAConKNIT"/>
      <sheetName val="VAConTF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49"/>
  <sheetViews>
    <sheetView topLeftCell="A7" workbookViewId="0">
      <selection activeCell="B4" sqref="B4:B40"/>
    </sheetView>
  </sheetViews>
  <sheetFormatPr defaultRowHeight="15" x14ac:dyDescent="0.25"/>
  <cols>
    <col min="1" max="1" width="8.85546875" customWidth="1"/>
    <col min="2" max="2" width="40.140625" bestFit="1" customWidth="1"/>
    <col min="3" max="8" width="15.42578125" style="1" bestFit="1" customWidth="1"/>
    <col min="9" max="9" width="13.85546875" style="1" bestFit="1" customWidth="1"/>
    <col min="10" max="10" width="15.42578125" style="1" bestFit="1" customWidth="1"/>
    <col min="11" max="11" width="16.42578125" style="1" bestFit="1" customWidth="1"/>
    <col min="12" max="12" width="17.5703125" style="1" bestFit="1" customWidth="1"/>
    <col min="13" max="13" width="16.42578125" style="1" bestFit="1" customWidth="1"/>
    <col min="14" max="14" width="17.5703125" style="1" bestFit="1" customWidth="1"/>
    <col min="15" max="15" width="15.42578125" style="1" bestFit="1" customWidth="1"/>
    <col min="16" max="16" width="13.85546875" style="1" bestFit="1" customWidth="1"/>
    <col min="17" max="18" width="15.42578125" style="1" bestFit="1" customWidth="1"/>
    <col min="19" max="19" width="16.42578125" style="1" bestFit="1" customWidth="1"/>
    <col min="20" max="20" width="13.85546875" style="1" bestFit="1" customWidth="1"/>
    <col min="21" max="21" width="12.42578125" style="1" customWidth="1"/>
    <col min="22" max="23" width="13.85546875" style="1" bestFit="1" customWidth="1"/>
    <col min="24" max="24" width="16.140625" style="1" bestFit="1" customWidth="1"/>
    <col min="25" max="26" width="16.42578125" style="1" bestFit="1" customWidth="1"/>
    <col min="27" max="34" width="15.42578125" style="1" bestFit="1" customWidth="1"/>
    <col min="35" max="35" width="16.42578125" style="1" bestFit="1" customWidth="1"/>
    <col min="36" max="37" width="13.85546875" style="1" bestFit="1" customWidth="1"/>
    <col min="38" max="38" width="15.42578125" style="1" bestFit="1" customWidth="1"/>
    <col min="39" max="39" width="10.7109375" style="1" customWidth="1"/>
    <col min="40" max="40" width="17.5703125" style="1" bestFit="1" customWidth="1"/>
    <col min="41" max="43" width="16.42578125" style="1" bestFit="1" customWidth="1"/>
    <col min="44" max="44" width="15.42578125" style="1" bestFit="1" customWidth="1"/>
    <col min="45" max="48" width="17.5703125" style="1" bestFit="1" customWidth="1"/>
    <col min="49" max="49" width="17.28515625" style="1" bestFit="1" customWidth="1"/>
    <col min="50" max="51" width="17.5703125" style="1" bestFit="1" customWidth="1"/>
  </cols>
  <sheetData>
    <row r="1" spans="1:51" x14ac:dyDescent="0.25">
      <c r="B1" t="s">
        <v>48</v>
      </c>
    </row>
    <row r="2" spans="1:51" x14ac:dyDescent="0.25">
      <c r="B2" t="s">
        <v>49</v>
      </c>
    </row>
    <row r="3" spans="1:51" ht="24.75" customHeight="1" x14ac:dyDescent="0.25">
      <c r="A3" s="8"/>
      <c r="B3" s="8"/>
      <c r="C3" s="18">
        <v>1</v>
      </c>
      <c r="D3" s="18">
        <v>2</v>
      </c>
      <c r="E3" s="18">
        <v>3</v>
      </c>
      <c r="F3" s="18">
        <v>4</v>
      </c>
      <c r="G3" s="18">
        <v>5</v>
      </c>
      <c r="H3" s="18">
        <v>6</v>
      </c>
      <c r="I3" s="18">
        <v>7</v>
      </c>
      <c r="J3" s="18">
        <v>8</v>
      </c>
      <c r="K3" s="18">
        <v>9</v>
      </c>
      <c r="L3" s="18">
        <v>10</v>
      </c>
      <c r="M3" s="18">
        <v>11</v>
      </c>
      <c r="N3" s="18">
        <v>12</v>
      </c>
      <c r="O3" s="18">
        <v>13</v>
      </c>
      <c r="P3" s="18">
        <v>14</v>
      </c>
      <c r="Q3" s="18">
        <v>15</v>
      </c>
      <c r="R3" s="18">
        <v>16</v>
      </c>
      <c r="S3" s="18">
        <v>17</v>
      </c>
      <c r="T3" s="18">
        <v>18</v>
      </c>
      <c r="U3" s="18">
        <v>19</v>
      </c>
      <c r="V3" s="18">
        <v>20</v>
      </c>
      <c r="W3" s="18">
        <v>21</v>
      </c>
      <c r="X3" s="18">
        <v>22</v>
      </c>
      <c r="Y3" s="18">
        <v>23</v>
      </c>
      <c r="Z3" s="18">
        <v>24</v>
      </c>
      <c r="AA3" s="18">
        <v>25</v>
      </c>
      <c r="AB3" s="18">
        <v>26</v>
      </c>
      <c r="AC3" s="18">
        <v>27</v>
      </c>
      <c r="AD3" s="18">
        <v>28</v>
      </c>
      <c r="AE3" s="18">
        <v>29</v>
      </c>
      <c r="AF3" s="18">
        <v>30</v>
      </c>
      <c r="AG3" s="18">
        <v>31</v>
      </c>
      <c r="AH3" s="18">
        <v>32</v>
      </c>
      <c r="AI3" s="18">
        <v>33</v>
      </c>
      <c r="AJ3" s="18">
        <v>34</v>
      </c>
      <c r="AK3" s="18">
        <v>35</v>
      </c>
      <c r="AL3" s="18">
        <v>36</v>
      </c>
      <c r="AM3" s="18">
        <v>37</v>
      </c>
      <c r="AN3" s="18">
        <v>180</v>
      </c>
      <c r="AO3" s="18">
        <v>301</v>
      </c>
      <c r="AP3" s="18">
        <v>302</v>
      </c>
      <c r="AQ3" s="18">
        <v>303</v>
      </c>
      <c r="AR3" s="18">
        <v>304</v>
      </c>
      <c r="AS3" s="18">
        <v>305</v>
      </c>
      <c r="AT3" s="18">
        <v>309</v>
      </c>
      <c r="AU3" s="18">
        <v>310</v>
      </c>
      <c r="AV3" s="18">
        <v>409</v>
      </c>
      <c r="AW3" s="18">
        <v>509</v>
      </c>
      <c r="AX3" s="18">
        <v>600</v>
      </c>
      <c r="AY3" s="18">
        <v>700</v>
      </c>
    </row>
    <row r="4" spans="1:51" x14ac:dyDescent="0.25">
      <c r="A4" s="14">
        <v>1</v>
      </c>
      <c r="B4" t="s">
        <v>0</v>
      </c>
      <c r="C4" s="1">
        <v>8065.6002818329243</v>
      </c>
      <c r="D4" s="1">
        <v>236.13332874825443</v>
      </c>
      <c r="E4" s="1">
        <v>0</v>
      </c>
      <c r="F4" s="1">
        <v>0</v>
      </c>
      <c r="G4" s="1">
        <v>1998.8264319979137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126487.61630986445</v>
      </c>
      <c r="P4" s="1">
        <v>0</v>
      </c>
      <c r="Q4" s="1">
        <v>0</v>
      </c>
      <c r="R4" s="1">
        <v>98.155517466510133</v>
      </c>
      <c r="S4" s="1">
        <v>172.47910592847893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6.0512405739058472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23.55941123025957</v>
      </c>
      <c r="AJ4" s="1">
        <v>0</v>
      </c>
      <c r="AK4" s="1">
        <v>2.1342442695132013</v>
      </c>
      <c r="AL4" s="1">
        <v>0</v>
      </c>
      <c r="AM4" s="1">
        <v>0</v>
      </c>
      <c r="AN4" s="15">
        <v>137090.55587191222</v>
      </c>
      <c r="AO4" s="1">
        <v>0</v>
      </c>
      <c r="AP4" s="1">
        <v>0</v>
      </c>
      <c r="AQ4" s="1">
        <v>0</v>
      </c>
      <c r="AR4" s="1">
        <v>85552.381077592465</v>
      </c>
      <c r="AS4" s="1">
        <v>73151.461719947387</v>
      </c>
      <c r="AT4" s="19">
        <v>158703.84279753984</v>
      </c>
      <c r="AU4" s="15">
        <v>295794.39866945206</v>
      </c>
      <c r="AV4" s="1">
        <v>0</v>
      </c>
      <c r="AW4" s="1">
        <v>0</v>
      </c>
      <c r="AX4" s="1">
        <v>295794.26189885498</v>
      </c>
      <c r="AY4" s="15">
        <v>295794.26189885498</v>
      </c>
    </row>
    <row r="5" spans="1:51" x14ac:dyDescent="0.25">
      <c r="A5" s="14">
        <v>2</v>
      </c>
      <c r="B5" t="s">
        <v>1</v>
      </c>
      <c r="C5" s="1">
        <v>0</v>
      </c>
      <c r="D5" s="1">
        <v>7656.4216069468102</v>
      </c>
      <c r="E5" s="1">
        <v>0</v>
      </c>
      <c r="F5" s="1">
        <v>0</v>
      </c>
      <c r="G5" s="1">
        <v>1307.6649227140999</v>
      </c>
      <c r="H5" s="1">
        <v>3603.8416754916425</v>
      </c>
      <c r="I5" s="1">
        <v>0</v>
      </c>
      <c r="J5" s="1">
        <v>1061.2497485079355</v>
      </c>
      <c r="K5" s="1">
        <v>0</v>
      </c>
      <c r="L5" s="1">
        <v>0</v>
      </c>
      <c r="M5" s="1">
        <v>0</v>
      </c>
      <c r="N5" s="1">
        <v>7.7650643998261409E-2</v>
      </c>
      <c r="O5" s="1">
        <v>19559.972418950758</v>
      </c>
      <c r="P5" s="1">
        <v>1.7988010941632562E-2</v>
      </c>
      <c r="Q5" s="1">
        <v>7.4885235197128905E-2</v>
      </c>
      <c r="R5" s="1">
        <v>0</v>
      </c>
      <c r="S5" s="1">
        <v>259.22037531291977</v>
      </c>
      <c r="T5" s="1">
        <v>0</v>
      </c>
      <c r="U5" s="1">
        <v>0</v>
      </c>
      <c r="V5" s="1">
        <v>0</v>
      </c>
      <c r="W5" s="1">
        <v>2.1839413095107458</v>
      </c>
      <c r="X5" s="1">
        <v>0</v>
      </c>
      <c r="Y5" s="1">
        <v>0</v>
      </c>
      <c r="Z5" s="1">
        <v>0</v>
      </c>
      <c r="AA5" s="1">
        <v>26564.495095640272</v>
      </c>
      <c r="AB5" s="1">
        <v>0</v>
      </c>
      <c r="AC5" s="1">
        <v>6916.955804212268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91.503649600524881</v>
      </c>
      <c r="AJ5" s="1">
        <v>2500.1122143791004</v>
      </c>
      <c r="AK5" s="1">
        <v>568.30275940044442</v>
      </c>
      <c r="AL5" s="1">
        <v>0</v>
      </c>
      <c r="AM5" s="1">
        <v>0</v>
      </c>
      <c r="AN5" s="15">
        <v>70092.094736356405</v>
      </c>
      <c r="AO5" s="1">
        <v>390009.38545670989</v>
      </c>
      <c r="AP5" s="1">
        <v>0</v>
      </c>
      <c r="AQ5" s="1">
        <v>2.0056922208222945</v>
      </c>
      <c r="AR5" s="1">
        <v>8640.0100452573297</v>
      </c>
      <c r="AS5" s="1">
        <v>78023.275606614101</v>
      </c>
      <c r="AT5" s="19">
        <v>476674.67680080212</v>
      </c>
      <c r="AU5" s="15">
        <v>546766.77153715852</v>
      </c>
      <c r="AV5" s="1">
        <v>0</v>
      </c>
      <c r="AW5" s="1">
        <v>0</v>
      </c>
      <c r="AX5" s="1">
        <v>546766.78958655661</v>
      </c>
      <c r="AY5" s="15">
        <v>546766.78958655661</v>
      </c>
    </row>
    <row r="6" spans="1:51" x14ac:dyDescent="0.25">
      <c r="A6" s="14">
        <v>3</v>
      </c>
      <c r="B6" t="s">
        <v>2</v>
      </c>
      <c r="C6" s="1">
        <v>0</v>
      </c>
      <c r="D6" s="1">
        <v>0</v>
      </c>
      <c r="E6" s="1">
        <v>16945.291793247132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209790.77726978718</v>
      </c>
      <c r="P6" s="1">
        <v>0</v>
      </c>
      <c r="Q6" s="1">
        <v>0</v>
      </c>
      <c r="R6" s="1">
        <v>0</v>
      </c>
      <c r="S6" s="1">
        <v>7547.8460859477218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5">
        <v>234283.91514898205</v>
      </c>
      <c r="AO6" s="1">
        <v>0</v>
      </c>
      <c r="AP6" s="1">
        <v>0</v>
      </c>
      <c r="AQ6" s="1">
        <v>49903.489660317478</v>
      </c>
      <c r="AR6" s="1">
        <v>20597.016059283582</v>
      </c>
      <c r="AS6" s="1">
        <v>89296.984472345968</v>
      </c>
      <c r="AT6" s="19">
        <v>159797.49019194703</v>
      </c>
      <c r="AU6" s="15">
        <v>394081.40534092905</v>
      </c>
      <c r="AV6" s="1">
        <v>0</v>
      </c>
      <c r="AW6" s="1">
        <v>0</v>
      </c>
      <c r="AX6" s="1">
        <v>394081.34958210622</v>
      </c>
      <c r="AY6" s="15">
        <v>394081.34958210622</v>
      </c>
    </row>
    <row r="7" spans="1:51" x14ac:dyDescent="0.25">
      <c r="A7" s="14">
        <v>4</v>
      </c>
      <c r="B7" t="s">
        <v>3</v>
      </c>
      <c r="C7" s="1">
        <v>0</v>
      </c>
      <c r="D7" s="1">
        <v>0</v>
      </c>
      <c r="E7" s="1">
        <v>0</v>
      </c>
      <c r="F7" s="1">
        <v>4507.4923283037597</v>
      </c>
      <c r="G7" s="1">
        <v>215.98072767717912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2.9544248379095648</v>
      </c>
      <c r="O7" s="1">
        <v>2296.5675504988021</v>
      </c>
      <c r="P7" s="1">
        <v>128.8687759725122</v>
      </c>
      <c r="Q7" s="1">
        <v>2484.8719100958742</v>
      </c>
      <c r="R7" s="1">
        <v>102.19506627474868</v>
      </c>
      <c r="S7" s="1">
        <v>1533.9915368294835</v>
      </c>
      <c r="T7" s="1">
        <v>0</v>
      </c>
      <c r="U7" s="1">
        <v>0</v>
      </c>
      <c r="V7" s="1">
        <v>0</v>
      </c>
      <c r="W7" s="1">
        <v>539.44110048563459</v>
      </c>
      <c r="X7" s="1">
        <v>0</v>
      </c>
      <c r="Y7" s="1">
        <v>0</v>
      </c>
      <c r="Z7" s="1">
        <v>0</v>
      </c>
      <c r="AA7" s="1">
        <v>5021.8055578295543</v>
      </c>
      <c r="AB7" s="1">
        <v>0</v>
      </c>
      <c r="AC7" s="1">
        <v>45.599989885694903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78.666881741483976</v>
      </c>
      <c r="AK7" s="1">
        <v>37.869620225492525</v>
      </c>
      <c r="AL7" s="1">
        <v>73.537509243117171</v>
      </c>
      <c r="AM7" s="1">
        <v>0</v>
      </c>
      <c r="AN7" s="15">
        <v>17069.842979901245</v>
      </c>
      <c r="AO7" s="1">
        <v>23770.928724049365</v>
      </c>
      <c r="AP7" s="1">
        <v>0</v>
      </c>
      <c r="AQ7" s="1">
        <v>514.69577911796944</v>
      </c>
      <c r="AR7" s="1">
        <v>4303.6359600030564</v>
      </c>
      <c r="AS7" s="1">
        <v>103784.40231034429</v>
      </c>
      <c r="AT7" s="19">
        <v>132373.66277351469</v>
      </c>
      <c r="AU7" s="15">
        <v>149443.50575341593</v>
      </c>
      <c r="AV7" s="1">
        <v>0</v>
      </c>
      <c r="AW7" s="1">
        <v>0</v>
      </c>
      <c r="AX7" s="1">
        <v>149443.75323444724</v>
      </c>
      <c r="AY7" s="15">
        <v>149443.75323444724</v>
      </c>
    </row>
    <row r="8" spans="1:51" x14ac:dyDescent="0.25">
      <c r="A8" s="14">
        <v>5</v>
      </c>
      <c r="B8" t="s">
        <v>4</v>
      </c>
      <c r="C8" s="1">
        <v>93.187198437611386</v>
      </c>
      <c r="D8" s="1">
        <v>4083.2697085224072</v>
      </c>
      <c r="E8" s="1">
        <v>419.06346330255622</v>
      </c>
      <c r="F8" s="1">
        <v>152.99120218982821</v>
      </c>
      <c r="G8" s="1">
        <v>7315.6143956852211</v>
      </c>
      <c r="H8" s="1">
        <v>0</v>
      </c>
      <c r="I8" s="1">
        <v>0</v>
      </c>
      <c r="J8" s="1">
        <v>52.489143249944988</v>
      </c>
      <c r="K8" s="1">
        <v>0</v>
      </c>
      <c r="L8" s="1">
        <v>0</v>
      </c>
      <c r="M8" s="1">
        <v>0</v>
      </c>
      <c r="N8" s="1">
        <v>0</v>
      </c>
      <c r="O8" s="1">
        <v>25290.748036667072</v>
      </c>
      <c r="P8" s="1">
        <v>198.99417378682102</v>
      </c>
      <c r="Q8" s="1">
        <v>2.2723987289594993</v>
      </c>
      <c r="R8" s="1">
        <v>0</v>
      </c>
      <c r="S8" s="1">
        <v>332.77413963797216</v>
      </c>
      <c r="T8" s="1">
        <v>0</v>
      </c>
      <c r="U8" s="1">
        <v>0</v>
      </c>
      <c r="V8" s="1">
        <v>0</v>
      </c>
      <c r="W8" s="1">
        <v>470.76132162691107</v>
      </c>
      <c r="X8" s="1">
        <v>0</v>
      </c>
      <c r="Y8" s="1">
        <v>0</v>
      </c>
      <c r="Z8" s="1">
        <v>0</v>
      </c>
      <c r="AA8" s="1">
        <v>35926.271429297391</v>
      </c>
      <c r="AB8" s="1">
        <v>0</v>
      </c>
      <c r="AC8" s="1">
        <v>4885.2896735462155</v>
      </c>
      <c r="AD8" s="1">
        <v>0</v>
      </c>
      <c r="AE8" s="1">
        <v>0</v>
      </c>
      <c r="AF8" s="1">
        <v>0</v>
      </c>
      <c r="AG8" s="1">
        <v>0</v>
      </c>
      <c r="AH8" s="1">
        <v>0.47147724256971801</v>
      </c>
      <c r="AI8" s="1">
        <v>885.39103937475659</v>
      </c>
      <c r="AJ8" s="1">
        <v>912.40767136097077</v>
      </c>
      <c r="AK8" s="1">
        <v>48.779083334937653</v>
      </c>
      <c r="AL8" s="1">
        <v>0</v>
      </c>
      <c r="AM8" s="1">
        <v>0</v>
      </c>
      <c r="AN8" s="15">
        <v>81070.775555992135</v>
      </c>
      <c r="AO8" s="1">
        <v>274518.12608080445</v>
      </c>
      <c r="AP8" s="1">
        <v>0</v>
      </c>
      <c r="AQ8" s="1">
        <v>10832.615004532325</v>
      </c>
      <c r="AR8" s="1">
        <v>107662.02607297366</v>
      </c>
      <c r="AS8" s="1">
        <v>96169.890560259344</v>
      </c>
      <c r="AT8" s="19">
        <v>489182.6577185698</v>
      </c>
      <c r="AU8" s="15">
        <v>570253.43327456189</v>
      </c>
      <c r="AV8" s="1">
        <v>0</v>
      </c>
      <c r="AW8" s="1">
        <v>0</v>
      </c>
      <c r="AX8" s="1">
        <v>570253.53922189598</v>
      </c>
      <c r="AY8" s="15">
        <v>570253.53922189598</v>
      </c>
    </row>
    <row r="9" spans="1:51" x14ac:dyDescent="0.25">
      <c r="A9" s="14">
        <v>6</v>
      </c>
      <c r="B9" t="s">
        <v>5</v>
      </c>
      <c r="C9" s="1">
        <v>3.304982502632428</v>
      </c>
      <c r="D9" s="1">
        <v>22.797630595335828</v>
      </c>
      <c r="E9" s="1">
        <v>16.905597107111536</v>
      </c>
      <c r="F9" s="1">
        <v>110.27717994583971</v>
      </c>
      <c r="G9" s="1">
        <v>64.756524443529059</v>
      </c>
      <c r="H9" s="1">
        <v>40731.210810214325</v>
      </c>
      <c r="I9" s="1">
        <v>9.6578051952825259</v>
      </c>
      <c r="J9" s="1">
        <v>880.85034708052115</v>
      </c>
      <c r="K9" s="1">
        <v>0</v>
      </c>
      <c r="L9" s="1">
        <v>1627.7050877887514</v>
      </c>
      <c r="M9" s="1">
        <v>65.295007996683808</v>
      </c>
      <c r="N9" s="1">
        <v>0</v>
      </c>
      <c r="O9" s="1">
        <v>434.24045090142408</v>
      </c>
      <c r="P9" s="1">
        <v>8.2586145529670034</v>
      </c>
      <c r="Q9" s="1">
        <v>1485765.7341112187</v>
      </c>
      <c r="R9" s="1">
        <v>54842.189923029931</v>
      </c>
      <c r="S9" s="1">
        <v>70.081312141441884</v>
      </c>
      <c r="T9" s="1">
        <v>390.4382484915343</v>
      </c>
      <c r="U9" s="1">
        <v>0</v>
      </c>
      <c r="V9" s="1">
        <v>56.701055456044124</v>
      </c>
      <c r="W9" s="1">
        <v>29.240618451157623</v>
      </c>
      <c r="X9" s="1">
        <v>0</v>
      </c>
      <c r="Y9" s="1">
        <v>74348.11909050394</v>
      </c>
      <c r="Z9" s="1">
        <v>252.12723348350792</v>
      </c>
      <c r="AA9" s="1">
        <v>641.42871149135465</v>
      </c>
      <c r="AB9" s="1">
        <v>179.3214206184976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5.0438437144630228</v>
      </c>
      <c r="AI9" s="1">
        <v>0</v>
      </c>
      <c r="AJ9" s="1">
        <v>0.91065231861037965</v>
      </c>
      <c r="AK9" s="1">
        <v>0</v>
      </c>
      <c r="AL9" s="1">
        <v>0</v>
      </c>
      <c r="AM9" s="1">
        <v>0</v>
      </c>
      <c r="AN9" s="15">
        <v>1660556.5962592438</v>
      </c>
      <c r="AO9" s="1">
        <v>0</v>
      </c>
      <c r="AP9" s="1">
        <v>0</v>
      </c>
      <c r="AQ9" s="1">
        <v>0</v>
      </c>
      <c r="AR9" s="1">
        <v>10036.695700481807</v>
      </c>
      <c r="AS9" s="1">
        <v>1534504.7030024661</v>
      </c>
      <c r="AT9" s="19">
        <v>1544541.3987029479</v>
      </c>
      <c r="AU9" s="15">
        <v>3205097.9949621917</v>
      </c>
      <c r="AV9" s="1">
        <v>0</v>
      </c>
      <c r="AW9" s="1">
        <v>0</v>
      </c>
      <c r="AX9" s="1">
        <v>3205098.2288179612</v>
      </c>
      <c r="AY9" s="15">
        <v>3205098.2288179612</v>
      </c>
    </row>
    <row r="10" spans="1:51" x14ac:dyDescent="0.25">
      <c r="A10" s="14">
        <v>7</v>
      </c>
      <c r="B10" t="s">
        <v>6</v>
      </c>
      <c r="C10" s="1">
        <v>0</v>
      </c>
      <c r="D10" s="1">
        <v>0</v>
      </c>
      <c r="E10" s="1">
        <v>0</v>
      </c>
      <c r="F10" s="1">
        <v>0</v>
      </c>
      <c r="G10" s="1">
        <v>0.16731813676781029</v>
      </c>
      <c r="H10" s="1">
        <v>54.193867200041701</v>
      </c>
      <c r="I10" s="1">
        <v>9.6057505840907744</v>
      </c>
      <c r="J10" s="1">
        <v>61.775266057610487</v>
      </c>
      <c r="K10" s="1">
        <v>0</v>
      </c>
      <c r="L10" s="1">
        <v>0</v>
      </c>
      <c r="M10" s="1">
        <v>0</v>
      </c>
      <c r="N10" s="1">
        <v>0</v>
      </c>
      <c r="O10" s="1">
        <v>137.0165275483516</v>
      </c>
      <c r="P10" s="1">
        <v>46.872591878510612</v>
      </c>
      <c r="Q10" s="1">
        <v>37598.58800317788</v>
      </c>
      <c r="R10" s="1">
        <v>4.0732891008067886</v>
      </c>
      <c r="S10" s="1">
        <v>258.97914995246242</v>
      </c>
      <c r="T10" s="1">
        <v>0</v>
      </c>
      <c r="U10" s="1">
        <v>0</v>
      </c>
      <c r="V10" s="1">
        <v>0</v>
      </c>
      <c r="W10" s="1">
        <v>61.283986502910722</v>
      </c>
      <c r="X10" s="1">
        <v>0</v>
      </c>
      <c r="Y10" s="1">
        <v>21.615413315610184</v>
      </c>
      <c r="Z10" s="1">
        <v>0</v>
      </c>
      <c r="AA10" s="1">
        <v>52.507038856419214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0.2153901343031796</v>
      </c>
      <c r="AK10" s="1">
        <v>0.11544348456666358</v>
      </c>
      <c r="AL10" s="1">
        <v>241.4679895595747</v>
      </c>
      <c r="AM10" s="1">
        <v>0</v>
      </c>
      <c r="AN10" s="15">
        <v>38548.477025489912</v>
      </c>
      <c r="AO10" s="1">
        <v>124412.77347665075</v>
      </c>
      <c r="AP10" s="1">
        <v>0</v>
      </c>
      <c r="AQ10" s="1">
        <v>0</v>
      </c>
      <c r="AR10" s="1">
        <v>621.05543100097236</v>
      </c>
      <c r="AS10" s="1">
        <v>176955.32529533823</v>
      </c>
      <c r="AT10" s="19">
        <v>301989.15420298994</v>
      </c>
      <c r="AU10" s="15">
        <v>340537.63122847985</v>
      </c>
      <c r="AV10" s="1">
        <v>0</v>
      </c>
      <c r="AW10" s="1">
        <v>0</v>
      </c>
      <c r="AX10" s="1">
        <v>340537.5834837603</v>
      </c>
      <c r="AY10" s="15">
        <v>340537.5834837603</v>
      </c>
    </row>
    <row r="11" spans="1:51" x14ac:dyDescent="0.25">
      <c r="A11" s="14">
        <v>8</v>
      </c>
      <c r="B11" t="s">
        <v>7</v>
      </c>
      <c r="C11" s="1">
        <v>0</v>
      </c>
      <c r="D11" s="1">
        <v>3.3879724434564373</v>
      </c>
      <c r="E11" s="1">
        <v>0.85950963057473384</v>
      </c>
      <c r="F11" s="1">
        <v>0.72173527971013129</v>
      </c>
      <c r="G11" s="1">
        <v>0</v>
      </c>
      <c r="H11" s="1">
        <v>0</v>
      </c>
      <c r="I11" s="1">
        <v>0</v>
      </c>
      <c r="J11" s="1">
        <v>18057.779548828981</v>
      </c>
      <c r="K11" s="1">
        <v>0</v>
      </c>
      <c r="L11" s="1">
        <v>0</v>
      </c>
      <c r="M11" s="1">
        <v>0</v>
      </c>
      <c r="N11" s="1">
        <v>0</v>
      </c>
      <c r="O11" s="1">
        <v>32328.734713051257</v>
      </c>
      <c r="P11" s="1">
        <v>23.348599478424894</v>
      </c>
      <c r="Q11" s="1">
        <v>14712.007943019842</v>
      </c>
      <c r="R11" s="1">
        <v>0</v>
      </c>
      <c r="S11" s="1">
        <v>17.763676231378266</v>
      </c>
      <c r="T11" s="1">
        <v>0</v>
      </c>
      <c r="U11" s="1">
        <v>0</v>
      </c>
      <c r="V11" s="1">
        <v>1889.8349472947284</v>
      </c>
      <c r="W11" s="1">
        <v>188.17051979506309</v>
      </c>
      <c r="X11" s="1">
        <v>0</v>
      </c>
      <c r="Y11" s="1">
        <v>0</v>
      </c>
      <c r="Z11" s="1">
        <v>0</v>
      </c>
      <c r="AA11" s="1">
        <v>21597.079425990414</v>
      </c>
      <c r="AB11" s="1">
        <v>0</v>
      </c>
      <c r="AC11" s="1">
        <v>3413.3976147857411</v>
      </c>
      <c r="AD11" s="1">
        <v>0</v>
      </c>
      <c r="AE11" s="1">
        <v>0</v>
      </c>
      <c r="AF11" s="1">
        <v>0</v>
      </c>
      <c r="AG11" s="1">
        <v>0</v>
      </c>
      <c r="AH11" s="1">
        <v>164.15474461016166</v>
      </c>
      <c r="AI11" s="1">
        <v>0</v>
      </c>
      <c r="AJ11" s="1">
        <v>288.92458385403847</v>
      </c>
      <c r="AK11" s="1">
        <v>1.6057377987863799</v>
      </c>
      <c r="AL11" s="1">
        <v>0</v>
      </c>
      <c r="AM11" s="1">
        <v>0</v>
      </c>
      <c r="AN11" s="15">
        <v>92687.771272092577</v>
      </c>
      <c r="AO11" s="1">
        <v>491754.56923218176</v>
      </c>
      <c r="AP11" s="1">
        <v>0</v>
      </c>
      <c r="AQ11" s="1">
        <v>0</v>
      </c>
      <c r="AR11" s="1">
        <v>24424.91298752886</v>
      </c>
      <c r="AS11" s="1">
        <v>495562.06735833787</v>
      </c>
      <c r="AT11" s="19">
        <v>1011741.5495780485</v>
      </c>
      <c r="AU11" s="15">
        <v>1104429.3208501411</v>
      </c>
      <c r="AV11" s="1">
        <v>0</v>
      </c>
      <c r="AW11" s="1">
        <v>0</v>
      </c>
      <c r="AX11" s="1">
        <v>1104429.1862548331</v>
      </c>
      <c r="AY11" s="15">
        <v>1104429.1862548331</v>
      </c>
    </row>
    <row r="12" spans="1:51" x14ac:dyDescent="0.25">
      <c r="A12" s="14">
        <v>9</v>
      </c>
      <c r="B12" t="s">
        <v>8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301557.13107918989</v>
      </c>
      <c r="L12" s="1">
        <v>0</v>
      </c>
      <c r="M12" s="1">
        <v>0</v>
      </c>
      <c r="N12" s="1">
        <v>1081013.5277213582</v>
      </c>
      <c r="O12" s="1">
        <v>0</v>
      </c>
      <c r="P12" s="1">
        <v>0</v>
      </c>
      <c r="Q12" s="1">
        <v>0</v>
      </c>
      <c r="R12" s="1">
        <v>0</v>
      </c>
      <c r="S12" s="1">
        <v>46503.029759992758</v>
      </c>
      <c r="T12" s="1">
        <v>0</v>
      </c>
      <c r="U12" s="1">
        <v>0</v>
      </c>
      <c r="V12" s="1">
        <v>0</v>
      </c>
      <c r="W12" s="1">
        <v>0</v>
      </c>
      <c r="X12" s="1">
        <v>342.19376522047344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5">
        <v>1429415.8823257615</v>
      </c>
      <c r="AO12" s="1">
        <v>0</v>
      </c>
      <c r="AP12" s="1">
        <v>0</v>
      </c>
      <c r="AQ12" s="1">
        <v>0</v>
      </c>
      <c r="AR12" s="1">
        <v>8985.1477281180105</v>
      </c>
      <c r="AS12" s="1">
        <v>23160261.410277519</v>
      </c>
      <c r="AT12" s="19">
        <v>23169246.558005638</v>
      </c>
      <c r="AU12" s="15">
        <v>24598662.440331399</v>
      </c>
      <c r="AV12" s="1">
        <v>0</v>
      </c>
      <c r="AW12" s="1">
        <v>0</v>
      </c>
      <c r="AX12" s="1">
        <v>24598662.383939154</v>
      </c>
      <c r="AY12" s="15">
        <v>24598662.383939154</v>
      </c>
    </row>
    <row r="13" spans="1:51" x14ac:dyDescent="0.25">
      <c r="A13" s="14">
        <v>10</v>
      </c>
      <c r="B13" t="s">
        <v>9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553103.74411761144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18730.334001963576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5">
        <v>571834.07811957505</v>
      </c>
      <c r="AO13" s="1">
        <v>0</v>
      </c>
      <c r="AP13" s="1">
        <v>0</v>
      </c>
      <c r="AQ13" s="1">
        <v>0</v>
      </c>
      <c r="AR13" s="1">
        <v>650.54109160942085</v>
      </c>
      <c r="AS13" s="1">
        <v>7289341.8656343371</v>
      </c>
      <c r="AT13" s="19">
        <v>7289992.4067259468</v>
      </c>
      <c r="AU13" s="15">
        <v>7861826.4848455219</v>
      </c>
      <c r="AV13" s="1">
        <v>0</v>
      </c>
      <c r="AW13" s="1">
        <v>0</v>
      </c>
      <c r="AX13" s="1">
        <v>7861826.6889036978</v>
      </c>
      <c r="AY13" s="15">
        <v>7861826.6889036978</v>
      </c>
    </row>
    <row r="14" spans="1:51" x14ac:dyDescent="0.25">
      <c r="A14" s="14">
        <v>11</v>
      </c>
      <c r="B14" t="s">
        <v>10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204.29653424274994</v>
      </c>
      <c r="N14" s="1">
        <v>0</v>
      </c>
      <c r="O14" s="1">
        <v>85.411443276174211</v>
      </c>
      <c r="P14" s="1">
        <v>61.51385031962743</v>
      </c>
      <c r="Q14" s="1">
        <v>0</v>
      </c>
      <c r="R14" s="1">
        <v>47.511867005878777</v>
      </c>
      <c r="S14" s="1">
        <v>2508.4083392019279</v>
      </c>
      <c r="T14" s="1">
        <v>5561.1561004564501</v>
      </c>
      <c r="U14" s="1">
        <v>0</v>
      </c>
      <c r="V14" s="1">
        <v>12354.233810416383</v>
      </c>
      <c r="W14" s="1">
        <v>4183.4154577706477</v>
      </c>
      <c r="X14" s="1">
        <v>0</v>
      </c>
      <c r="Y14" s="1">
        <v>299557.11824517441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5">
        <v>324563.06564786425</v>
      </c>
      <c r="AO14" s="1">
        <v>0</v>
      </c>
      <c r="AP14" s="1">
        <v>0</v>
      </c>
      <c r="AQ14" s="1">
        <v>0</v>
      </c>
      <c r="AR14" s="1">
        <v>57959.176178680354</v>
      </c>
      <c r="AS14" s="1">
        <v>35866.89673206961</v>
      </c>
      <c r="AT14" s="19">
        <v>93826.072910749965</v>
      </c>
      <c r="AU14" s="15">
        <v>418389.13855861418</v>
      </c>
      <c r="AV14" s="1">
        <v>0</v>
      </c>
      <c r="AW14" s="1">
        <v>0</v>
      </c>
      <c r="AX14" s="1">
        <v>418389.02177041775</v>
      </c>
      <c r="AY14" s="15">
        <v>418389.02177041775</v>
      </c>
    </row>
    <row r="15" spans="1:51" x14ac:dyDescent="0.25">
      <c r="A15" s="14">
        <v>12</v>
      </c>
      <c r="B15" t="s">
        <v>11</v>
      </c>
      <c r="C15" s="1">
        <v>91.889300027305083</v>
      </c>
      <c r="D15" s="1">
        <v>886.05579068493466</v>
      </c>
      <c r="E15" s="1">
        <v>3676.84420865518</v>
      </c>
      <c r="F15" s="1">
        <v>201.01025114158654</v>
      </c>
      <c r="G15" s="1">
        <v>264.19138557890039</v>
      </c>
      <c r="H15" s="1">
        <v>78596.894412653433</v>
      </c>
      <c r="I15" s="1">
        <v>2728.5664575699129</v>
      </c>
      <c r="J15" s="1">
        <v>29560.112730739202</v>
      </c>
      <c r="K15" s="1">
        <v>52278.519114811374</v>
      </c>
      <c r="L15" s="1">
        <v>78054.045213220525</v>
      </c>
      <c r="M15" s="1">
        <v>7196.0451710855805</v>
      </c>
      <c r="N15" s="1">
        <v>200330.79564212001</v>
      </c>
      <c r="O15" s="1">
        <v>4310.391979880359</v>
      </c>
      <c r="P15" s="1">
        <v>461.87074153084319</v>
      </c>
      <c r="Q15" s="1">
        <v>83654.695255812054</v>
      </c>
      <c r="R15" s="1">
        <v>12169.14480511466</v>
      </c>
      <c r="S15" s="1">
        <v>34946.162303881938</v>
      </c>
      <c r="T15" s="1">
        <v>4423.3649821414292</v>
      </c>
      <c r="U15" s="1">
        <v>0</v>
      </c>
      <c r="V15" s="1">
        <v>4280.6677568724845</v>
      </c>
      <c r="W15" s="1">
        <v>1516.8086310876379</v>
      </c>
      <c r="X15" s="1">
        <v>50150.985612902128</v>
      </c>
      <c r="Y15" s="1">
        <v>72721.852195297324</v>
      </c>
      <c r="Z15" s="1">
        <v>97599.995562351134</v>
      </c>
      <c r="AA15" s="1">
        <v>3014.7310711494256</v>
      </c>
      <c r="AB15" s="1">
        <v>127792.94573888235</v>
      </c>
      <c r="AC15" s="1">
        <v>311342.80982845573</v>
      </c>
      <c r="AD15" s="1">
        <v>59623.766347203513</v>
      </c>
      <c r="AE15" s="1">
        <v>99196.204763659654</v>
      </c>
      <c r="AF15" s="1">
        <v>10562.222643505802</v>
      </c>
      <c r="AG15" s="1">
        <v>2913.6990323149189</v>
      </c>
      <c r="AH15" s="1">
        <v>7397.0160532100299</v>
      </c>
      <c r="AI15" s="1">
        <v>0</v>
      </c>
      <c r="AJ15" s="1">
        <v>221.90005597511234</v>
      </c>
      <c r="AK15" s="1">
        <v>113.39515726887826</v>
      </c>
      <c r="AL15" s="1">
        <v>2115.5561004735782</v>
      </c>
      <c r="AM15" s="1">
        <v>0</v>
      </c>
      <c r="AN15" s="15">
        <v>1444395.156297259</v>
      </c>
      <c r="AO15" s="1">
        <v>931441.59089743427</v>
      </c>
      <c r="AP15" s="1">
        <v>0</v>
      </c>
      <c r="AQ15" s="1">
        <v>0</v>
      </c>
      <c r="AR15" s="1">
        <v>162866.14718794229</v>
      </c>
      <c r="AS15" s="1">
        <v>35328937.931994237</v>
      </c>
      <c r="AT15" s="19">
        <v>36423245.670079611</v>
      </c>
      <c r="AU15" s="15">
        <v>37867640.82637687</v>
      </c>
      <c r="AV15" s="1">
        <v>0</v>
      </c>
      <c r="AW15" s="1">
        <v>0</v>
      </c>
      <c r="AX15" s="1">
        <v>37867640.792724311</v>
      </c>
      <c r="AY15" s="15">
        <v>37867640.792724311</v>
      </c>
    </row>
    <row r="16" spans="1:51" x14ac:dyDescent="0.25">
      <c r="A16" s="14">
        <v>13</v>
      </c>
      <c r="B16" t="s">
        <v>12</v>
      </c>
      <c r="C16" s="1">
        <v>0</v>
      </c>
      <c r="D16" s="1">
        <v>163.63892174966162</v>
      </c>
      <c r="E16" s="1">
        <v>167.07686471643686</v>
      </c>
      <c r="F16" s="1">
        <v>62.139617472860522</v>
      </c>
      <c r="G16" s="1">
        <v>20792.9603043272</v>
      </c>
      <c r="H16" s="1">
        <v>0</v>
      </c>
      <c r="I16" s="1">
        <v>0</v>
      </c>
      <c r="J16" s="1">
        <v>4036.1460310590874</v>
      </c>
      <c r="K16" s="1">
        <v>0</v>
      </c>
      <c r="L16" s="1">
        <v>0</v>
      </c>
      <c r="M16" s="1">
        <v>0</v>
      </c>
      <c r="N16" s="1">
        <v>0</v>
      </c>
      <c r="O16" s="1">
        <v>13303.430578460204</v>
      </c>
      <c r="P16" s="1">
        <v>63.092300642909159</v>
      </c>
      <c r="Q16" s="1">
        <v>323.96268097189875</v>
      </c>
      <c r="R16" s="1">
        <v>154.42392786415027</v>
      </c>
      <c r="S16" s="1">
        <v>2131.6167727814677</v>
      </c>
      <c r="T16" s="1">
        <v>6.7195134558663625</v>
      </c>
      <c r="U16" s="1">
        <v>0</v>
      </c>
      <c r="V16" s="1">
        <v>80.987231851018464</v>
      </c>
      <c r="W16" s="1">
        <v>64.251585836955172</v>
      </c>
      <c r="X16" s="1">
        <v>4.980659259977406</v>
      </c>
      <c r="Y16" s="1">
        <v>12.489591283117713</v>
      </c>
      <c r="Z16" s="1">
        <v>3877.9114275058032</v>
      </c>
      <c r="AA16" s="1">
        <v>7732.9131128317958</v>
      </c>
      <c r="AB16" s="1">
        <v>62.289692004059184</v>
      </c>
      <c r="AC16" s="1">
        <v>9094.078615094104</v>
      </c>
      <c r="AD16" s="1">
        <v>212.206837278308</v>
      </c>
      <c r="AE16" s="1">
        <v>533.99190795372954</v>
      </c>
      <c r="AF16" s="1">
        <v>85.397855261305637</v>
      </c>
      <c r="AG16" s="1">
        <v>120.23981546519143</v>
      </c>
      <c r="AH16" s="1">
        <v>155.16435566992379</v>
      </c>
      <c r="AI16" s="1">
        <v>1335.5335010829417</v>
      </c>
      <c r="AJ16" s="1">
        <v>378.23826772543038</v>
      </c>
      <c r="AK16" s="1">
        <v>617.9316793103485</v>
      </c>
      <c r="AL16" s="1">
        <v>13.012317802415238</v>
      </c>
      <c r="AM16" s="1">
        <v>0</v>
      </c>
      <c r="AN16" s="15">
        <v>65586.82596671817</v>
      </c>
      <c r="AO16" s="1">
        <v>380423.21198455471</v>
      </c>
      <c r="AP16" s="1">
        <v>0</v>
      </c>
      <c r="AQ16" s="1">
        <v>0</v>
      </c>
      <c r="AR16" s="1">
        <v>5130.4510168402212</v>
      </c>
      <c r="AS16" s="1">
        <v>830999.5848277387</v>
      </c>
      <c r="AT16" s="19">
        <v>1216553.2478291336</v>
      </c>
      <c r="AU16" s="15">
        <v>1282140.0737958518</v>
      </c>
      <c r="AV16" s="1">
        <v>0</v>
      </c>
      <c r="AW16" s="1">
        <v>0</v>
      </c>
      <c r="AX16" s="1">
        <v>1282140.0880176495</v>
      </c>
      <c r="AY16" s="15">
        <v>1282140.0880176495</v>
      </c>
    </row>
    <row r="17" spans="1:51" x14ac:dyDescent="0.25">
      <c r="A17" s="14">
        <v>14</v>
      </c>
      <c r="B17" t="s">
        <v>13</v>
      </c>
      <c r="C17" s="1">
        <v>1.7074235976695031</v>
      </c>
      <c r="D17" s="1">
        <v>1.5964866394145658</v>
      </c>
      <c r="E17" s="1">
        <v>0.15287269929032907</v>
      </c>
      <c r="F17" s="1">
        <v>1.2853426296917403</v>
      </c>
      <c r="G17" s="1">
        <v>4.061617644113771E-3</v>
      </c>
      <c r="H17" s="1">
        <v>11.230890635191244</v>
      </c>
      <c r="I17" s="1">
        <v>3.0099147583724295</v>
      </c>
      <c r="J17" s="1">
        <v>130.71705195877351</v>
      </c>
      <c r="K17" s="1">
        <v>145.02731468289079</v>
      </c>
      <c r="L17" s="1">
        <v>103.49767217257654</v>
      </c>
      <c r="M17" s="1">
        <v>2.0380053694473719</v>
      </c>
      <c r="N17" s="1">
        <v>114.52332443939005</v>
      </c>
      <c r="O17" s="1">
        <v>0.28590116699324225</v>
      </c>
      <c r="P17" s="1">
        <v>62.183057336330066</v>
      </c>
      <c r="Q17" s="1">
        <v>89.036490794351934</v>
      </c>
      <c r="R17" s="1">
        <v>3.9956944301178781</v>
      </c>
      <c r="S17" s="1">
        <v>10.02443669148092</v>
      </c>
      <c r="T17" s="1">
        <v>0.26759761839059287</v>
      </c>
      <c r="U17" s="1">
        <v>0</v>
      </c>
      <c r="V17" s="1">
        <v>1.6679846511825693</v>
      </c>
      <c r="W17" s="1">
        <v>18.795611043552416</v>
      </c>
      <c r="X17" s="1">
        <v>0.73556932937258035</v>
      </c>
      <c r="Y17" s="1">
        <v>0.73900149057694287</v>
      </c>
      <c r="Z17" s="1">
        <v>4.6954216771637611</v>
      </c>
      <c r="AA17" s="1">
        <v>37.116468806314529</v>
      </c>
      <c r="AB17" s="1">
        <v>2.7391708474824585</v>
      </c>
      <c r="AC17" s="1">
        <v>3.9596011600756382</v>
      </c>
      <c r="AD17" s="1">
        <v>0.51221407356459858</v>
      </c>
      <c r="AE17" s="1">
        <v>39.800570393864689</v>
      </c>
      <c r="AF17" s="1">
        <v>1.4626736660188058</v>
      </c>
      <c r="AG17" s="1">
        <v>1.5515224190540797</v>
      </c>
      <c r="AH17" s="1">
        <v>13.859518627081266</v>
      </c>
      <c r="AI17" s="1">
        <v>0</v>
      </c>
      <c r="AJ17" s="1">
        <v>2.2107512514642567</v>
      </c>
      <c r="AK17" s="1">
        <v>5.4142344427572618E-2</v>
      </c>
      <c r="AL17" s="1">
        <v>5.7260334658592775</v>
      </c>
      <c r="AM17" s="1">
        <v>0</v>
      </c>
      <c r="AN17" s="15">
        <v>816.20979448507182</v>
      </c>
      <c r="AO17" s="1">
        <v>7519.8221131477794</v>
      </c>
      <c r="AP17" s="1">
        <v>0</v>
      </c>
      <c r="AQ17" s="1">
        <v>4.7877376720226801</v>
      </c>
      <c r="AR17" s="1">
        <v>4.8894019671283111</v>
      </c>
      <c r="AS17" s="1">
        <v>29369.394229776888</v>
      </c>
      <c r="AT17" s="19">
        <v>36898.893482563821</v>
      </c>
      <c r="AU17" s="15">
        <v>37715.103277048889</v>
      </c>
      <c r="AV17" s="1">
        <v>0</v>
      </c>
      <c r="AW17" s="1">
        <v>0</v>
      </c>
      <c r="AX17" s="1">
        <v>37715.101788948901</v>
      </c>
      <c r="AY17" s="15">
        <v>37715.101788948901</v>
      </c>
    </row>
    <row r="18" spans="1:51" x14ac:dyDescent="0.25">
      <c r="A18" s="14">
        <v>15</v>
      </c>
      <c r="B18" t="s">
        <v>14</v>
      </c>
      <c r="C18" s="1">
        <v>0</v>
      </c>
      <c r="D18" s="1">
        <v>306.28454880152879</v>
      </c>
      <c r="E18" s="1">
        <v>0</v>
      </c>
      <c r="F18" s="1">
        <v>482.81118488528136</v>
      </c>
      <c r="G18" s="1">
        <v>61.175611127800714</v>
      </c>
      <c r="H18" s="1">
        <v>0</v>
      </c>
      <c r="I18" s="1">
        <v>0</v>
      </c>
      <c r="J18" s="1">
        <v>229.169652920332</v>
      </c>
      <c r="K18" s="1">
        <v>0</v>
      </c>
      <c r="L18" s="1">
        <v>0</v>
      </c>
      <c r="M18" s="1">
        <v>56.600051931597498</v>
      </c>
      <c r="N18" s="1">
        <v>13.061547455098379</v>
      </c>
      <c r="O18" s="1">
        <v>1080.3277636522341</v>
      </c>
      <c r="P18" s="1">
        <v>194.70125708823039</v>
      </c>
      <c r="Q18" s="1">
        <v>422084.08441363048</v>
      </c>
      <c r="R18" s="1">
        <v>225.2948973436531</v>
      </c>
      <c r="S18" s="1">
        <v>2397.6600561114351</v>
      </c>
      <c r="T18" s="1">
        <v>103.40429748727637</v>
      </c>
      <c r="U18" s="1">
        <v>0</v>
      </c>
      <c r="V18" s="1">
        <v>2322.9457507655197</v>
      </c>
      <c r="W18" s="1">
        <v>574.87743643827037</v>
      </c>
      <c r="X18" s="1">
        <v>57.246237510444658</v>
      </c>
      <c r="Y18" s="1">
        <v>3219162.68986216</v>
      </c>
      <c r="Z18" s="1">
        <v>80803.992687692444</v>
      </c>
      <c r="AA18" s="1">
        <v>240.17907341863369</v>
      </c>
      <c r="AB18" s="1">
        <v>226.80172129461945</v>
      </c>
      <c r="AC18" s="1">
        <v>309.4735445179308</v>
      </c>
      <c r="AD18" s="1">
        <v>39.465886126333601</v>
      </c>
      <c r="AE18" s="1">
        <v>542.56541751732209</v>
      </c>
      <c r="AF18" s="1">
        <v>200.44552016236574</v>
      </c>
      <c r="AG18" s="1">
        <v>305.61822939310935</v>
      </c>
      <c r="AH18" s="1">
        <v>42.142998016147395</v>
      </c>
      <c r="AI18" s="1">
        <v>0</v>
      </c>
      <c r="AJ18" s="1">
        <v>152.41515027493131</v>
      </c>
      <c r="AK18" s="1">
        <v>128.26634509319703</v>
      </c>
      <c r="AL18" s="1">
        <v>514.16898856841658</v>
      </c>
      <c r="AM18" s="1">
        <v>0</v>
      </c>
      <c r="AN18" s="15">
        <v>3732857.8701313841</v>
      </c>
      <c r="AO18" s="1">
        <v>202918.10509751321</v>
      </c>
      <c r="AP18" s="1">
        <v>0</v>
      </c>
      <c r="AQ18" s="1">
        <v>74703.038501185263</v>
      </c>
      <c r="AR18" s="1">
        <v>35856.500154529567</v>
      </c>
      <c r="AS18" s="1">
        <v>1614709.7346997017</v>
      </c>
      <c r="AT18" s="19">
        <v>1928187.3784529297</v>
      </c>
      <c r="AU18" s="15">
        <v>5661045.2485843133</v>
      </c>
      <c r="AV18" s="1">
        <v>0</v>
      </c>
      <c r="AW18" s="1">
        <v>0</v>
      </c>
      <c r="AX18" s="1">
        <v>5661044.8159197476</v>
      </c>
      <c r="AY18" s="15">
        <v>5661044.8159197476</v>
      </c>
    </row>
    <row r="19" spans="1:51" x14ac:dyDescent="0.25">
      <c r="A19" s="14">
        <v>16</v>
      </c>
      <c r="B19" t="s">
        <v>15</v>
      </c>
      <c r="C19" s="1">
        <v>0</v>
      </c>
      <c r="D19" s="1">
        <v>31.092434175429439</v>
      </c>
      <c r="E19" s="1">
        <v>60.496524329209237</v>
      </c>
      <c r="F19" s="1">
        <v>5.2914607508282625</v>
      </c>
      <c r="G19" s="1">
        <v>30.93484457795779</v>
      </c>
      <c r="H19" s="1">
        <v>561.34200609979735</v>
      </c>
      <c r="I19" s="1">
        <v>204.47462452129747</v>
      </c>
      <c r="J19" s="1">
        <v>18.362383238196646</v>
      </c>
      <c r="K19" s="1">
        <v>55.181632057622835</v>
      </c>
      <c r="L19" s="1">
        <v>337.48812402547924</v>
      </c>
      <c r="M19" s="1">
        <v>26.473010995191913</v>
      </c>
      <c r="N19" s="1">
        <v>4754.0061793869227</v>
      </c>
      <c r="O19" s="1">
        <v>885.71496532101548</v>
      </c>
      <c r="P19" s="1">
        <v>28.749937721886088</v>
      </c>
      <c r="Q19" s="1">
        <v>686.97398062475418</v>
      </c>
      <c r="R19" s="1">
        <v>16179.381084829751</v>
      </c>
      <c r="S19" s="1">
        <v>1596.7553137404616</v>
      </c>
      <c r="T19" s="1">
        <v>175.26896795387992</v>
      </c>
      <c r="U19" s="1">
        <v>0</v>
      </c>
      <c r="V19" s="1">
        <v>150.82351367884786</v>
      </c>
      <c r="W19" s="1">
        <v>46.972918491167697</v>
      </c>
      <c r="X19" s="1">
        <v>65.717128418398389</v>
      </c>
      <c r="Y19" s="1">
        <v>1004.1840827974702</v>
      </c>
      <c r="Z19" s="1">
        <v>30246.945223583076</v>
      </c>
      <c r="AA19" s="1">
        <v>189.57801261266218</v>
      </c>
      <c r="AB19" s="1">
        <v>315.30790973417146</v>
      </c>
      <c r="AC19" s="1">
        <v>276.20142566077516</v>
      </c>
      <c r="AD19" s="1">
        <v>405.71225447609964</v>
      </c>
      <c r="AE19" s="1">
        <v>77.569396777533129</v>
      </c>
      <c r="AF19" s="1">
        <v>874.34307577507946</v>
      </c>
      <c r="AG19" s="1">
        <v>3049.5927904094597</v>
      </c>
      <c r="AH19" s="1">
        <v>451.87369132529108</v>
      </c>
      <c r="AI19" s="1">
        <v>0</v>
      </c>
      <c r="AJ19" s="1">
        <v>264.15257295929479</v>
      </c>
      <c r="AK19" s="1">
        <v>34.424823263367749</v>
      </c>
      <c r="AL19" s="1">
        <v>178.91460539269022</v>
      </c>
      <c r="AM19" s="1">
        <v>0</v>
      </c>
      <c r="AN19" s="15">
        <v>63270.300899705064</v>
      </c>
      <c r="AO19" s="1">
        <v>213280.2835232128</v>
      </c>
      <c r="AP19" s="1">
        <v>0</v>
      </c>
      <c r="AQ19" s="1">
        <v>0</v>
      </c>
      <c r="AR19" s="1">
        <v>8414.9392948019085</v>
      </c>
      <c r="AS19" s="1">
        <v>165951.5904768937</v>
      </c>
      <c r="AT19" s="19">
        <v>387646.81329490838</v>
      </c>
      <c r="AU19" s="15">
        <v>450917.11419461342</v>
      </c>
      <c r="AV19" s="1">
        <v>0</v>
      </c>
      <c r="AW19" s="1">
        <v>0</v>
      </c>
      <c r="AX19" s="1">
        <v>450917.05122661259</v>
      </c>
      <c r="AY19" s="15">
        <v>450917.05122661259</v>
      </c>
    </row>
    <row r="20" spans="1:51" x14ac:dyDescent="0.25">
      <c r="A20" s="14">
        <v>17</v>
      </c>
      <c r="B20" t="s">
        <v>16</v>
      </c>
      <c r="C20" s="1">
        <v>6443.5141408268355</v>
      </c>
      <c r="D20" s="1">
        <v>8247.6449833434563</v>
      </c>
      <c r="E20" s="1">
        <v>8093.1502973561337</v>
      </c>
      <c r="F20" s="1">
        <v>5562.8589705860813</v>
      </c>
      <c r="G20" s="1">
        <v>2293.4334148445168</v>
      </c>
      <c r="H20" s="1">
        <v>1488.5738548870659</v>
      </c>
      <c r="I20" s="1">
        <v>145.55386069182589</v>
      </c>
      <c r="J20" s="1">
        <v>2725.1737319584868</v>
      </c>
      <c r="K20" s="1">
        <v>153290.91160457136</v>
      </c>
      <c r="L20" s="1">
        <v>28251.051850994962</v>
      </c>
      <c r="M20" s="1">
        <v>3173.1842320255178</v>
      </c>
      <c r="N20" s="1">
        <v>1747.2845374212859</v>
      </c>
      <c r="O20" s="1">
        <v>3923.0607839655563</v>
      </c>
      <c r="P20" s="1">
        <v>513.51348379242836</v>
      </c>
      <c r="Q20" s="1">
        <v>83195.184098932688</v>
      </c>
      <c r="R20" s="1">
        <v>6187.8971252868641</v>
      </c>
      <c r="S20" s="1">
        <v>146581.95403194529</v>
      </c>
      <c r="T20" s="1">
        <v>3249.3419948559927</v>
      </c>
      <c r="U20" s="1">
        <v>0</v>
      </c>
      <c r="V20" s="1">
        <v>3442.0940902137213</v>
      </c>
      <c r="W20" s="1">
        <v>176.28994759376894</v>
      </c>
      <c r="X20" s="1">
        <v>2050.7880309649245</v>
      </c>
      <c r="Y20" s="1">
        <v>37276.096784377551</v>
      </c>
      <c r="Z20" s="1">
        <v>37608.579811611729</v>
      </c>
      <c r="AA20" s="1">
        <v>541.43335399897614</v>
      </c>
      <c r="AB20" s="1">
        <v>8927.1162945201213</v>
      </c>
      <c r="AC20" s="1">
        <v>2257.0744860580712</v>
      </c>
      <c r="AD20" s="1">
        <v>2572.512278851656</v>
      </c>
      <c r="AE20" s="1">
        <v>7519.1978051825845</v>
      </c>
      <c r="AF20" s="1">
        <v>769.21955753421662</v>
      </c>
      <c r="AG20" s="1">
        <v>553.46435191449973</v>
      </c>
      <c r="AH20" s="1">
        <v>1414.6206335263439</v>
      </c>
      <c r="AI20" s="1">
        <v>0</v>
      </c>
      <c r="AJ20" s="1">
        <v>1615.6827329282364</v>
      </c>
      <c r="AK20" s="1">
        <v>200.08203348677108</v>
      </c>
      <c r="AL20" s="1">
        <v>6630.2298027914158</v>
      </c>
      <c r="AM20" s="1">
        <v>0</v>
      </c>
      <c r="AN20" s="15">
        <v>578667.76899384079</v>
      </c>
      <c r="AO20" s="1">
        <v>155251.90481961778</v>
      </c>
      <c r="AP20" s="1">
        <v>0</v>
      </c>
      <c r="AQ20" s="1">
        <v>0</v>
      </c>
      <c r="AR20" s="1">
        <v>11811.995526873809</v>
      </c>
      <c r="AS20" s="1">
        <v>803485.62540607341</v>
      </c>
      <c r="AT20" s="19">
        <v>970549.52575256501</v>
      </c>
      <c r="AU20" s="15">
        <v>1549217.2947464059</v>
      </c>
      <c r="AV20" s="1">
        <v>0</v>
      </c>
      <c r="AW20" s="1">
        <v>0</v>
      </c>
      <c r="AX20" s="1">
        <v>1549217.1375749437</v>
      </c>
      <c r="AY20" s="15">
        <v>1549217.1375749437</v>
      </c>
    </row>
    <row r="21" spans="1:51" x14ac:dyDescent="0.25">
      <c r="A21" s="14">
        <v>18</v>
      </c>
      <c r="B21" t="s">
        <v>17</v>
      </c>
      <c r="C21" s="1">
        <v>0</v>
      </c>
      <c r="D21" s="1">
        <v>9.0068967314587689E-3</v>
      </c>
      <c r="E21" s="1">
        <v>0.49625794221529701</v>
      </c>
      <c r="F21" s="1">
        <v>0.12785336578111164</v>
      </c>
      <c r="G21" s="1">
        <v>0.25754710300195516</v>
      </c>
      <c r="H21" s="1">
        <v>4.1847748268933254</v>
      </c>
      <c r="I21" s="1">
        <v>0.17833484253334209</v>
      </c>
      <c r="J21" s="1">
        <v>0.35502660593420909</v>
      </c>
      <c r="K21" s="1">
        <v>0</v>
      </c>
      <c r="L21" s="1">
        <v>0</v>
      </c>
      <c r="M21" s="1">
        <v>0</v>
      </c>
      <c r="N21" s="1">
        <v>0.60727905342016075</v>
      </c>
      <c r="O21" s="1">
        <v>43.866178315556617</v>
      </c>
      <c r="P21" s="1">
        <v>11.35769845890818</v>
      </c>
      <c r="Q21" s="1">
        <v>217.63538292465515</v>
      </c>
      <c r="R21" s="1">
        <v>1.2283994100419937</v>
      </c>
      <c r="S21" s="1">
        <v>120.81242157451094</v>
      </c>
      <c r="T21" s="1">
        <v>159.40157994108594</v>
      </c>
      <c r="U21" s="1">
        <v>0</v>
      </c>
      <c r="V21" s="1">
        <v>73.095808590981193</v>
      </c>
      <c r="W21" s="1">
        <v>3.1421786528637035</v>
      </c>
      <c r="X21" s="1">
        <v>1.4304210573615577</v>
      </c>
      <c r="Y21" s="1">
        <v>17868.419795062986</v>
      </c>
      <c r="Z21" s="1">
        <v>92.836084931062686</v>
      </c>
      <c r="AA21" s="1">
        <v>9.5026081493305004</v>
      </c>
      <c r="AB21" s="1">
        <v>32.735107522013436</v>
      </c>
      <c r="AC21" s="1">
        <v>18.905782391291847</v>
      </c>
      <c r="AD21" s="1">
        <v>3.6862382701026593</v>
      </c>
      <c r="AE21" s="1">
        <v>3.1096656951040842</v>
      </c>
      <c r="AF21" s="1">
        <v>8.1579441325366862</v>
      </c>
      <c r="AG21" s="1">
        <v>11.630516855377223</v>
      </c>
      <c r="AH21" s="1">
        <v>22.270012724673801</v>
      </c>
      <c r="AI21" s="1">
        <v>84.669371858155799</v>
      </c>
      <c r="AJ21" s="1">
        <v>7.3299684021437468</v>
      </c>
      <c r="AK21" s="1">
        <v>6.4589778943427749</v>
      </c>
      <c r="AL21" s="1">
        <v>212.46703164535603</v>
      </c>
      <c r="AM21" s="1">
        <v>0</v>
      </c>
      <c r="AN21" s="15">
        <v>19020.36525509696</v>
      </c>
      <c r="AO21" s="1">
        <v>4448.626715382934</v>
      </c>
      <c r="AP21" s="1">
        <v>0</v>
      </c>
      <c r="AQ21" s="1">
        <v>21.400874811984522</v>
      </c>
      <c r="AR21" s="1">
        <v>101.54870744813095</v>
      </c>
      <c r="AS21" s="1">
        <v>83246.499348470956</v>
      </c>
      <c r="AT21" s="19">
        <v>87818.075646114012</v>
      </c>
      <c r="AU21" s="15">
        <v>106838.44090121097</v>
      </c>
      <c r="AV21" s="1">
        <v>0</v>
      </c>
      <c r="AW21" s="1">
        <v>0</v>
      </c>
      <c r="AX21" s="1">
        <v>106838.45259436515</v>
      </c>
      <c r="AY21" s="15">
        <v>106838.45259436515</v>
      </c>
    </row>
    <row r="22" spans="1:51" x14ac:dyDescent="0.25">
      <c r="A22" s="14">
        <v>19</v>
      </c>
      <c r="B22" t="s">
        <v>18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5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9">
        <v>0</v>
      </c>
      <c r="AU22" s="15">
        <v>0</v>
      </c>
      <c r="AV22" s="1">
        <v>0</v>
      </c>
      <c r="AW22" s="1">
        <v>0</v>
      </c>
      <c r="AX22" s="1">
        <v>0</v>
      </c>
      <c r="AY22" s="15">
        <v>0</v>
      </c>
    </row>
    <row r="23" spans="1:51" x14ac:dyDescent="0.25">
      <c r="A23" s="14">
        <v>20</v>
      </c>
      <c r="B23" t="s">
        <v>19</v>
      </c>
      <c r="C23" s="1">
        <v>14.118361103034735</v>
      </c>
      <c r="D23" s="1">
        <v>6.3871466317796948</v>
      </c>
      <c r="E23" s="1">
        <v>21.791408835888483</v>
      </c>
      <c r="F23" s="1">
        <v>6.726630006065812</v>
      </c>
      <c r="G23" s="1">
        <v>0.12111794239694651</v>
      </c>
      <c r="H23" s="1">
        <v>2477.5801985296835</v>
      </c>
      <c r="I23" s="1">
        <v>5.6204421942504412</v>
      </c>
      <c r="J23" s="1">
        <v>549.27250062630253</v>
      </c>
      <c r="K23" s="1">
        <v>9985.3322977400494</v>
      </c>
      <c r="L23" s="1">
        <v>8346.154649974269</v>
      </c>
      <c r="M23" s="1">
        <v>626.04629354019619</v>
      </c>
      <c r="N23" s="1">
        <v>6490.8661871904915</v>
      </c>
      <c r="O23" s="1">
        <v>109.83063393076966</v>
      </c>
      <c r="P23" s="1">
        <v>8.9004096582966472</v>
      </c>
      <c r="Q23" s="1">
        <v>504.14983061705863</v>
      </c>
      <c r="R23" s="1">
        <v>12.817356427196787</v>
      </c>
      <c r="S23" s="1">
        <v>232.44205573308253</v>
      </c>
      <c r="T23" s="1">
        <v>28.819054309931214</v>
      </c>
      <c r="U23" s="1">
        <v>0</v>
      </c>
      <c r="V23" s="1">
        <v>1283.4846568372611</v>
      </c>
      <c r="W23" s="1">
        <v>44.778868099007994</v>
      </c>
      <c r="X23" s="1">
        <v>367.02583488342526</v>
      </c>
      <c r="Y23" s="1">
        <v>9471.6638003710068</v>
      </c>
      <c r="Z23" s="1">
        <v>1537.0423519912251</v>
      </c>
      <c r="AA23" s="1">
        <v>44.56790477259478</v>
      </c>
      <c r="AB23" s="1">
        <v>3739.5873074545639</v>
      </c>
      <c r="AC23" s="1">
        <v>6601.2278071968713</v>
      </c>
      <c r="AD23" s="1">
        <v>803.67709689718629</v>
      </c>
      <c r="AE23" s="1">
        <v>1068.7938274865262</v>
      </c>
      <c r="AF23" s="1">
        <v>359.74654500143339</v>
      </c>
      <c r="AG23" s="1">
        <v>483.96237598628022</v>
      </c>
      <c r="AH23" s="1">
        <v>724.32125199298866</v>
      </c>
      <c r="AI23" s="1">
        <v>522.25292091468657</v>
      </c>
      <c r="AJ23" s="1">
        <v>21.76619896886498</v>
      </c>
      <c r="AK23" s="1">
        <v>19.53637195344162</v>
      </c>
      <c r="AL23" s="1">
        <v>2228.5091535606402</v>
      </c>
      <c r="AM23" s="1">
        <v>0</v>
      </c>
      <c r="AN23" s="15">
        <v>58748.920849358743</v>
      </c>
      <c r="AO23" s="1">
        <v>15663.115742563659</v>
      </c>
      <c r="AP23" s="1">
        <v>0</v>
      </c>
      <c r="AQ23" s="1">
        <v>64925.152439713114</v>
      </c>
      <c r="AR23" s="1">
        <v>125.49685155753369</v>
      </c>
      <c r="AS23" s="1">
        <v>38923.44806537898</v>
      </c>
      <c r="AT23" s="19">
        <v>119637.21309921329</v>
      </c>
      <c r="AU23" s="15">
        <v>178386.13394857204</v>
      </c>
      <c r="AV23" s="1">
        <v>0</v>
      </c>
      <c r="AW23" s="1">
        <v>0</v>
      </c>
      <c r="AX23" s="1">
        <v>178386.14465630823</v>
      </c>
      <c r="AY23" s="15">
        <v>178386.14465630823</v>
      </c>
    </row>
    <row r="24" spans="1:51" x14ac:dyDescent="0.25">
      <c r="A24" s="14">
        <v>21</v>
      </c>
      <c r="B24" t="s">
        <v>20</v>
      </c>
      <c r="C24" s="1">
        <v>0</v>
      </c>
      <c r="D24" s="1">
        <v>1.815412538979247</v>
      </c>
      <c r="E24" s="1">
        <v>1.073767934083057</v>
      </c>
      <c r="F24" s="1">
        <v>2.061407566238076</v>
      </c>
      <c r="G24" s="1">
        <v>0.30967547983181476</v>
      </c>
      <c r="H24" s="1">
        <v>224.06821882103566</v>
      </c>
      <c r="I24" s="1">
        <v>71.006597575850591</v>
      </c>
      <c r="J24" s="1">
        <v>12.061587160570328</v>
      </c>
      <c r="K24" s="1">
        <v>4.0551037900389098</v>
      </c>
      <c r="L24" s="1">
        <v>30.794896155769194</v>
      </c>
      <c r="M24" s="1">
        <v>0.51096747823010069</v>
      </c>
      <c r="N24" s="1">
        <v>36.274276484304714</v>
      </c>
      <c r="O24" s="1">
        <v>33.345035774578122</v>
      </c>
      <c r="P24" s="1">
        <v>19.444931409225703</v>
      </c>
      <c r="Q24" s="1">
        <v>174.86381370051973</v>
      </c>
      <c r="R24" s="1">
        <v>6.0291861826437474</v>
      </c>
      <c r="S24" s="1">
        <v>18.080583384389374</v>
      </c>
      <c r="T24" s="1">
        <v>5.8173432790546444</v>
      </c>
      <c r="U24" s="1">
        <v>0</v>
      </c>
      <c r="V24" s="1">
        <v>417.87309452904753</v>
      </c>
      <c r="W24" s="1">
        <v>151.86992696568294</v>
      </c>
      <c r="X24" s="1">
        <v>5.4963588578936164</v>
      </c>
      <c r="Y24" s="1">
        <v>169.60645968782771</v>
      </c>
      <c r="Z24" s="1">
        <v>1393.3682488827055</v>
      </c>
      <c r="AA24" s="1">
        <v>16.680400214329055</v>
      </c>
      <c r="AB24" s="1">
        <v>151.73577606271144</v>
      </c>
      <c r="AC24" s="1">
        <v>135.25673551170604</v>
      </c>
      <c r="AD24" s="1">
        <v>28.843544281625807</v>
      </c>
      <c r="AE24" s="1">
        <v>21.17843612659647</v>
      </c>
      <c r="AF24" s="1">
        <v>47.395688155986257</v>
      </c>
      <c r="AG24" s="1">
        <v>428.61135023147727</v>
      </c>
      <c r="AH24" s="1">
        <v>119.20999299172924</v>
      </c>
      <c r="AI24" s="1">
        <v>0</v>
      </c>
      <c r="AJ24" s="1">
        <v>40.576976572929759</v>
      </c>
      <c r="AK24" s="1">
        <v>37.524733549923475</v>
      </c>
      <c r="AL24" s="1">
        <v>584.98095553196481</v>
      </c>
      <c r="AM24" s="1">
        <v>0</v>
      </c>
      <c r="AN24" s="15">
        <v>4391.82148286948</v>
      </c>
      <c r="AO24" s="1">
        <v>32073.425965432358</v>
      </c>
      <c r="AP24" s="1">
        <v>0</v>
      </c>
      <c r="AQ24" s="1">
        <v>296.80907263158213</v>
      </c>
      <c r="AR24" s="1">
        <v>303.0766398361805</v>
      </c>
      <c r="AS24" s="1">
        <v>8765.7864472807742</v>
      </c>
      <c r="AT24" s="19">
        <v>41439.098125180899</v>
      </c>
      <c r="AU24" s="15">
        <v>45830.919608050375</v>
      </c>
      <c r="AV24" s="1">
        <v>0</v>
      </c>
      <c r="AW24" s="1">
        <v>0</v>
      </c>
      <c r="AX24" s="1">
        <v>45830.945520000008</v>
      </c>
      <c r="AY24" s="15">
        <v>45830.945520000008</v>
      </c>
    </row>
    <row r="25" spans="1:51" x14ac:dyDescent="0.25">
      <c r="A25" s="14">
        <v>22</v>
      </c>
      <c r="B25" t="s">
        <v>21</v>
      </c>
      <c r="C25" s="1">
        <v>0</v>
      </c>
      <c r="D25" s="1">
        <v>72.776188101728508</v>
      </c>
      <c r="E25" s="1">
        <v>81.067197315803071</v>
      </c>
      <c r="F25" s="1">
        <v>133.34099487698992</v>
      </c>
      <c r="G25" s="1">
        <v>119.93918888277591</v>
      </c>
      <c r="H25" s="1">
        <v>3188.7206535055202</v>
      </c>
      <c r="I25" s="1">
        <v>846.32074096178576</v>
      </c>
      <c r="J25" s="1">
        <v>213.27401353766879</v>
      </c>
      <c r="K25" s="1">
        <v>30.012982280412526</v>
      </c>
      <c r="L25" s="1">
        <v>8787.4123144320238</v>
      </c>
      <c r="M25" s="1">
        <v>163.18792088456055</v>
      </c>
      <c r="N25" s="1">
        <v>0</v>
      </c>
      <c r="O25" s="1">
        <v>4600.6004402441604</v>
      </c>
      <c r="P25" s="1">
        <v>420.53796685959827</v>
      </c>
      <c r="Q25" s="1">
        <v>14928.277962544344</v>
      </c>
      <c r="R25" s="1">
        <v>1364.0252731123803</v>
      </c>
      <c r="S25" s="1">
        <v>9193.814430542785</v>
      </c>
      <c r="T25" s="1">
        <v>5349.6962038532083</v>
      </c>
      <c r="U25" s="1">
        <v>0</v>
      </c>
      <c r="V25" s="1">
        <v>2582.6978466277237</v>
      </c>
      <c r="W25" s="1">
        <v>293.5157315852282</v>
      </c>
      <c r="X25" s="1">
        <v>16597.315652234265</v>
      </c>
      <c r="Y25" s="1">
        <v>1758.795333455419</v>
      </c>
      <c r="Z25" s="1">
        <v>36636.94610893089</v>
      </c>
      <c r="AA25" s="1">
        <v>7022.1555432119258</v>
      </c>
      <c r="AB25" s="1">
        <v>2811.1091474047726</v>
      </c>
      <c r="AC25" s="1">
        <v>2426.8153080368888</v>
      </c>
      <c r="AD25" s="1">
        <v>108.16850197385116</v>
      </c>
      <c r="AE25" s="1">
        <v>5723.0839386124062</v>
      </c>
      <c r="AF25" s="1">
        <v>10049.682319812253</v>
      </c>
      <c r="AG25" s="1">
        <v>10894.433837278912</v>
      </c>
      <c r="AH25" s="1">
        <v>3315.3863894489214</v>
      </c>
      <c r="AI25" s="1">
        <v>4123.4368477810576</v>
      </c>
      <c r="AJ25" s="1">
        <v>2406.5330654266163</v>
      </c>
      <c r="AK25" s="1">
        <v>587.54779029998315</v>
      </c>
      <c r="AL25" s="1">
        <v>3746.8191120378892</v>
      </c>
      <c r="AM25" s="1">
        <v>0</v>
      </c>
      <c r="AN25" s="15">
        <v>160577.44694609477</v>
      </c>
      <c r="AO25" s="1">
        <v>134022.26353399764</v>
      </c>
      <c r="AP25" s="1">
        <v>0</v>
      </c>
      <c r="AQ25" s="1">
        <v>0</v>
      </c>
      <c r="AR25" s="1">
        <v>0</v>
      </c>
      <c r="AS25" s="1">
        <v>0</v>
      </c>
      <c r="AT25" s="19">
        <v>134022.26353399764</v>
      </c>
      <c r="AU25" s="15">
        <v>294599.71048009244</v>
      </c>
      <c r="AV25" s="1">
        <v>0</v>
      </c>
      <c r="AW25" s="1">
        <v>0</v>
      </c>
      <c r="AX25" s="1">
        <v>294600.04924018489</v>
      </c>
      <c r="AY25" s="15">
        <v>294600.04924018489</v>
      </c>
    </row>
    <row r="26" spans="1:51" x14ac:dyDescent="0.25">
      <c r="A26" s="14">
        <v>23</v>
      </c>
      <c r="B26" t="s">
        <v>22</v>
      </c>
      <c r="C26" s="1">
        <v>1102.967233421668</v>
      </c>
      <c r="D26" s="1">
        <v>627.78866306696125</v>
      </c>
      <c r="E26" s="1">
        <v>9175.4749809094446</v>
      </c>
      <c r="F26" s="1">
        <v>2737.2745549342153</v>
      </c>
      <c r="G26" s="1">
        <v>241.36304551573119</v>
      </c>
      <c r="H26" s="1">
        <v>109782.88410183688</v>
      </c>
      <c r="I26" s="1">
        <v>10978.353853907836</v>
      </c>
      <c r="J26" s="1">
        <v>1883.4506431582647</v>
      </c>
      <c r="K26" s="1">
        <v>1538.3107494155333</v>
      </c>
      <c r="L26" s="1">
        <v>35066.593340785985</v>
      </c>
      <c r="M26" s="1">
        <v>4328.4852150219749</v>
      </c>
      <c r="N26" s="1">
        <v>13262.973862962102</v>
      </c>
      <c r="O26" s="1">
        <v>258.559609226921</v>
      </c>
      <c r="P26" s="1">
        <v>77.542668574745178</v>
      </c>
      <c r="Q26" s="1">
        <v>9572.0118474420178</v>
      </c>
      <c r="R26" s="1">
        <v>84.939114623240002</v>
      </c>
      <c r="S26" s="1">
        <v>564.16787370616362</v>
      </c>
      <c r="T26" s="1">
        <v>5048.8098996897124</v>
      </c>
      <c r="U26" s="1">
        <v>0</v>
      </c>
      <c r="V26" s="1">
        <v>257.04004470238328</v>
      </c>
      <c r="W26" s="1">
        <v>3.7072598618919925</v>
      </c>
      <c r="X26" s="1">
        <v>1429.445317496841</v>
      </c>
      <c r="Y26" s="1">
        <v>1571.780293431369</v>
      </c>
      <c r="Z26" s="1">
        <v>24197.615228709918</v>
      </c>
      <c r="AA26" s="1">
        <v>1254.2724401716839</v>
      </c>
      <c r="AB26" s="1">
        <v>233.80704970287817</v>
      </c>
      <c r="AC26" s="1">
        <v>4482.1342551429525</v>
      </c>
      <c r="AD26" s="1">
        <v>45.590365690132067</v>
      </c>
      <c r="AE26" s="1">
        <v>58657.412162880653</v>
      </c>
      <c r="AF26" s="1">
        <v>13336.222907919739</v>
      </c>
      <c r="AG26" s="1">
        <v>13180.795889082543</v>
      </c>
      <c r="AH26" s="1">
        <v>8453.6208796660485</v>
      </c>
      <c r="AI26" s="1">
        <v>16423.202849224013</v>
      </c>
      <c r="AJ26" s="1">
        <v>363.02158771692444</v>
      </c>
      <c r="AK26" s="1">
        <v>66.889249653382777</v>
      </c>
      <c r="AL26" s="1">
        <v>979.14179555218436</v>
      </c>
      <c r="AM26" s="1">
        <v>0</v>
      </c>
      <c r="AN26" s="15">
        <v>351267.65083480492</v>
      </c>
      <c r="AO26" s="1">
        <v>0</v>
      </c>
      <c r="AP26" s="1">
        <v>0</v>
      </c>
      <c r="AQ26" s="1">
        <v>6823788.3207393428</v>
      </c>
      <c r="AR26" s="1">
        <v>0</v>
      </c>
      <c r="AS26" s="1">
        <v>0</v>
      </c>
      <c r="AT26" s="19">
        <v>6823788.3207393428</v>
      </c>
      <c r="AU26" s="15">
        <v>7175055.9715741482</v>
      </c>
      <c r="AV26" s="1">
        <v>0</v>
      </c>
      <c r="AW26" s="1">
        <v>0</v>
      </c>
      <c r="AX26" s="1">
        <v>7175056.319834129</v>
      </c>
      <c r="AY26" s="15">
        <v>7175056.319834129</v>
      </c>
    </row>
    <row r="27" spans="1:51" x14ac:dyDescent="0.25">
      <c r="A27" s="14">
        <v>24</v>
      </c>
      <c r="B27" t="s">
        <v>23</v>
      </c>
      <c r="C27" s="1">
        <v>4627.3479453699874</v>
      </c>
      <c r="D27" s="1">
        <v>7623.3567374865925</v>
      </c>
      <c r="E27" s="1">
        <v>10007.186700144459</v>
      </c>
      <c r="F27" s="1">
        <v>3097.2398423224986</v>
      </c>
      <c r="G27" s="1">
        <v>20265.930604632907</v>
      </c>
      <c r="H27" s="1">
        <v>31896.742344870367</v>
      </c>
      <c r="I27" s="1">
        <v>541.27495109930851</v>
      </c>
      <c r="J27" s="1">
        <v>22499.199716425457</v>
      </c>
      <c r="K27" s="1">
        <v>150826.00434558594</v>
      </c>
      <c r="L27" s="1">
        <v>108244.39571551717</v>
      </c>
      <c r="M27" s="1">
        <v>7316.9457813412864</v>
      </c>
      <c r="N27" s="1">
        <v>72933.288330572366</v>
      </c>
      <c r="O27" s="1">
        <v>162505.16229042065</v>
      </c>
      <c r="P27" s="1">
        <v>669.54886569671407</v>
      </c>
      <c r="Q27" s="1">
        <v>183124.39403549058</v>
      </c>
      <c r="R27" s="1">
        <v>27260.983023566227</v>
      </c>
      <c r="S27" s="1">
        <v>65566.358426929</v>
      </c>
      <c r="T27" s="1">
        <v>4219.3302339778138</v>
      </c>
      <c r="U27" s="1">
        <v>0</v>
      </c>
      <c r="V27" s="1">
        <v>22538.606295792564</v>
      </c>
      <c r="W27" s="1">
        <v>2795.1836427805674</v>
      </c>
      <c r="X27" s="1">
        <v>6269.9646613266459</v>
      </c>
      <c r="Y27" s="1">
        <v>396860.57925530564</v>
      </c>
      <c r="Z27" s="1">
        <v>75050.366794375775</v>
      </c>
      <c r="AA27" s="1">
        <v>40773.731840750901</v>
      </c>
      <c r="AB27" s="1">
        <v>42504.730643312338</v>
      </c>
      <c r="AC27" s="1">
        <v>85446.011370818611</v>
      </c>
      <c r="AD27" s="1">
        <v>10843.211671307758</v>
      </c>
      <c r="AE27" s="1">
        <v>16173.220011928683</v>
      </c>
      <c r="AF27" s="1">
        <v>5218.0016135663564</v>
      </c>
      <c r="AG27" s="1">
        <v>9266.606403258651</v>
      </c>
      <c r="AH27" s="1">
        <v>8506.472512265369</v>
      </c>
      <c r="AI27" s="1">
        <v>6339.42814577641</v>
      </c>
      <c r="AJ27" s="1">
        <v>3030.0295027754792</v>
      </c>
      <c r="AK27" s="1">
        <v>1153.9112465449609</v>
      </c>
      <c r="AL27" s="1">
        <v>25112.26107741375</v>
      </c>
      <c r="AM27" s="1">
        <v>0</v>
      </c>
      <c r="AN27" s="15">
        <v>1641107.0065807498</v>
      </c>
      <c r="AO27" s="1">
        <v>1427089.3386899077</v>
      </c>
      <c r="AP27" s="1">
        <v>0</v>
      </c>
      <c r="AQ27" s="1">
        <v>628969.48479764652</v>
      </c>
      <c r="AR27" s="1">
        <v>0</v>
      </c>
      <c r="AS27" s="1">
        <v>1996358.755685519</v>
      </c>
      <c r="AT27" s="19">
        <v>4052417.5791730732</v>
      </c>
      <c r="AU27" s="15">
        <v>5693524.5857538227</v>
      </c>
      <c r="AV27" s="1">
        <v>0</v>
      </c>
      <c r="AW27" s="1">
        <v>0</v>
      </c>
      <c r="AX27" s="1">
        <v>5693524.8969613397</v>
      </c>
      <c r="AY27" s="15">
        <v>5693524.8969613397</v>
      </c>
    </row>
    <row r="28" spans="1:51" x14ac:dyDescent="0.25">
      <c r="A28" s="14">
        <v>25</v>
      </c>
      <c r="B28" t="s">
        <v>24</v>
      </c>
      <c r="C28" s="1">
        <v>0</v>
      </c>
      <c r="D28" s="1">
        <v>128.68382621843131</v>
      </c>
      <c r="E28" s="1">
        <v>93.177347155955061</v>
      </c>
      <c r="F28" s="1">
        <v>65.386207525125144</v>
      </c>
      <c r="G28" s="1">
        <v>12.211764080008654</v>
      </c>
      <c r="H28" s="1">
        <v>15877.866271146602</v>
      </c>
      <c r="I28" s="1">
        <v>351.95912999385371</v>
      </c>
      <c r="J28" s="1">
        <v>564.62890174108054</v>
      </c>
      <c r="K28" s="1">
        <v>1827.2770284977378</v>
      </c>
      <c r="L28" s="1">
        <v>2773.8809470849383</v>
      </c>
      <c r="M28" s="1">
        <v>614.3112067989299</v>
      </c>
      <c r="N28" s="1">
        <v>8291.6289859820536</v>
      </c>
      <c r="O28" s="1">
        <v>595.72620931369033</v>
      </c>
      <c r="P28" s="1">
        <v>100.90311821290007</v>
      </c>
      <c r="Q28" s="1">
        <v>2997.4590627082966</v>
      </c>
      <c r="R28" s="1">
        <v>462.51349079420453</v>
      </c>
      <c r="S28" s="1">
        <v>2613.1072352294777</v>
      </c>
      <c r="T28" s="1">
        <v>482.14154234747878</v>
      </c>
      <c r="U28" s="1">
        <v>0</v>
      </c>
      <c r="V28" s="1">
        <v>757.82624413792291</v>
      </c>
      <c r="W28" s="1">
        <v>115.75446613421661</v>
      </c>
      <c r="X28" s="1">
        <v>124.05423924532698</v>
      </c>
      <c r="Y28" s="1">
        <v>6129.3552548770394</v>
      </c>
      <c r="Z28" s="1">
        <v>7603.5267242905302</v>
      </c>
      <c r="AA28" s="1">
        <v>213.00522213942216</v>
      </c>
      <c r="AB28" s="1">
        <v>2203.2766906466218</v>
      </c>
      <c r="AC28" s="1">
        <v>6545.1250077533978</v>
      </c>
      <c r="AD28" s="1">
        <v>4980.1915935886736</v>
      </c>
      <c r="AE28" s="1">
        <v>2864.8983351634274</v>
      </c>
      <c r="AF28" s="1">
        <v>579.23694038116616</v>
      </c>
      <c r="AG28" s="1">
        <v>1988.3698170025689</v>
      </c>
      <c r="AH28" s="1">
        <v>1107.1282500330224</v>
      </c>
      <c r="AI28" s="1">
        <v>10064.681720596054</v>
      </c>
      <c r="AJ28" s="1">
        <v>178.55063221951249</v>
      </c>
      <c r="AK28" s="1">
        <v>374.67437877069358</v>
      </c>
      <c r="AL28" s="1">
        <v>1641.5233377282711</v>
      </c>
      <c r="AM28" s="1">
        <v>0</v>
      </c>
      <c r="AN28" s="15">
        <v>85324.041129538644</v>
      </c>
      <c r="AO28" s="1">
        <v>557134.63041807723</v>
      </c>
      <c r="AP28" s="1">
        <v>0</v>
      </c>
      <c r="AQ28" s="1">
        <v>0</v>
      </c>
      <c r="AR28" s="1">
        <v>0</v>
      </c>
      <c r="AS28" s="1">
        <v>198006.36311523456</v>
      </c>
      <c r="AT28" s="19">
        <v>755140.99353331176</v>
      </c>
      <c r="AU28" s="15">
        <v>840465.03466285043</v>
      </c>
      <c r="AV28" s="1">
        <v>0</v>
      </c>
      <c r="AW28" s="1">
        <v>0</v>
      </c>
      <c r="AX28" s="1">
        <v>840465.30302254402</v>
      </c>
      <c r="AY28" s="15">
        <v>840465.30302254402</v>
      </c>
    </row>
    <row r="29" spans="1:51" x14ac:dyDescent="0.25">
      <c r="A29" s="14">
        <v>26</v>
      </c>
      <c r="B29" t="s">
        <v>25</v>
      </c>
      <c r="C29" s="1">
        <v>713.52378801072791</v>
      </c>
      <c r="D29" s="1">
        <v>1134.5045528939288</v>
      </c>
      <c r="E29" s="1">
        <v>2034.9656287764999</v>
      </c>
      <c r="F29" s="1">
        <v>1034.3890708579443</v>
      </c>
      <c r="G29" s="1">
        <v>6229.6027896797332</v>
      </c>
      <c r="H29" s="1">
        <v>3274.7620627584138</v>
      </c>
      <c r="I29" s="1">
        <v>967.54442982216392</v>
      </c>
      <c r="J29" s="1">
        <v>2091.4921166850158</v>
      </c>
      <c r="K29" s="1">
        <v>11029.003140626397</v>
      </c>
      <c r="L29" s="1">
        <v>24691.595644804602</v>
      </c>
      <c r="M29" s="1">
        <v>1948.0311733342687</v>
      </c>
      <c r="N29" s="1">
        <v>11608.538409952775</v>
      </c>
      <c r="O29" s="1">
        <v>13641.786454493449</v>
      </c>
      <c r="P29" s="1">
        <v>216.9459210597758</v>
      </c>
      <c r="Q29" s="1">
        <v>36654.009897365533</v>
      </c>
      <c r="R29" s="1">
        <v>3141.557438853572</v>
      </c>
      <c r="S29" s="1">
        <v>10448.211294715229</v>
      </c>
      <c r="T29" s="1">
        <v>1430.821057228685</v>
      </c>
      <c r="U29" s="1">
        <v>0</v>
      </c>
      <c r="V29" s="1">
        <v>2781.1968012872171</v>
      </c>
      <c r="W29" s="1">
        <v>586.67237993170806</v>
      </c>
      <c r="X29" s="1">
        <v>791.88492165974571</v>
      </c>
      <c r="Y29" s="1">
        <v>43354.59620634195</v>
      </c>
      <c r="Z29" s="1">
        <v>56192.444205676322</v>
      </c>
      <c r="AA29" s="1">
        <v>3480.6095550861814</v>
      </c>
      <c r="AB29" s="1">
        <v>8861.9595839092435</v>
      </c>
      <c r="AC29" s="1">
        <v>7368.5709358083641</v>
      </c>
      <c r="AD29" s="1">
        <v>1031.6620640454255</v>
      </c>
      <c r="AE29" s="1">
        <v>6933.2097448353943</v>
      </c>
      <c r="AF29" s="1">
        <v>2597.7503376916516</v>
      </c>
      <c r="AG29" s="1">
        <v>8175.0297593191272</v>
      </c>
      <c r="AH29" s="1">
        <v>1512.012000033722</v>
      </c>
      <c r="AI29" s="1">
        <v>10371.509816653885</v>
      </c>
      <c r="AJ29" s="1">
        <v>456.56054235812644</v>
      </c>
      <c r="AK29" s="1">
        <v>157.06743051734955</v>
      </c>
      <c r="AL29" s="1">
        <v>3296.5734982987724</v>
      </c>
      <c r="AM29" s="1">
        <v>0</v>
      </c>
      <c r="AN29" s="15">
        <v>290240.59465537296</v>
      </c>
      <c r="AO29" s="1">
        <v>252720.48747688075</v>
      </c>
      <c r="AP29" s="1">
        <v>0</v>
      </c>
      <c r="AQ29" s="1">
        <v>45615.32206684351</v>
      </c>
      <c r="AR29" s="1">
        <v>0</v>
      </c>
      <c r="AS29" s="1">
        <v>264990.11456675199</v>
      </c>
      <c r="AT29" s="19">
        <v>563325.92411047628</v>
      </c>
      <c r="AU29" s="15">
        <v>853566.51876584929</v>
      </c>
      <c r="AV29" s="1">
        <v>0</v>
      </c>
      <c r="AW29" s="1">
        <v>0</v>
      </c>
      <c r="AX29" s="1">
        <v>853566.49032394099</v>
      </c>
      <c r="AY29" s="15">
        <v>853566.49032394099</v>
      </c>
    </row>
    <row r="30" spans="1:51" x14ac:dyDescent="0.25">
      <c r="A30" s="14">
        <v>27</v>
      </c>
      <c r="B30" t="s">
        <v>26</v>
      </c>
      <c r="C30" s="1">
        <v>378.95408769497271</v>
      </c>
      <c r="D30" s="1">
        <v>637.68219855907523</v>
      </c>
      <c r="E30" s="1">
        <v>794.73406857880968</v>
      </c>
      <c r="F30" s="1">
        <v>273.11310700400503</v>
      </c>
      <c r="G30" s="1">
        <v>2511.6658766955879</v>
      </c>
      <c r="H30" s="1">
        <v>14002.138546248018</v>
      </c>
      <c r="I30" s="1">
        <v>85.376086767735103</v>
      </c>
      <c r="J30" s="1">
        <v>1980.3638299580607</v>
      </c>
      <c r="K30" s="1">
        <v>11659.316598281235</v>
      </c>
      <c r="L30" s="1">
        <v>156133.11635387858</v>
      </c>
      <c r="M30" s="1">
        <v>825.25225530191119</v>
      </c>
      <c r="N30" s="1">
        <v>16992.286117788888</v>
      </c>
      <c r="O30" s="1">
        <v>13928.046566970395</v>
      </c>
      <c r="P30" s="1">
        <v>525.09297259938535</v>
      </c>
      <c r="Q30" s="1">
        <v>86449.738726049283</v>
      </c>
      <c r="R30" s="1">
        <v>2385.3679173343266</v>
      </c>
      <c r="S30" s="1">
        <v>12149.422921586767</v>
      </c>
      <c r="T30" s="1">
        <v>3811.3121078184977</v>
      </c>
      <c r="U30" s="1">
        <v>0</v>
      </c>
      <c r="V30" s="1">
        <v>3196.7338170290636</v>
      </c>
      <c r="W30" s="1">
        <v>313.48655522940254</v>
      </c>
      <c r="X30" s="1">
        <v>696.80571158318151</v>
      </c>
      <c r="Y30" s="1">
        <v>32698.789562585167</v>
      </c>
      <c r="Z30" s="1">
        <v>38666.686418644422</v>
      </c>
      <c r="AA30" s="1">
        <v>3337.2588797723888</v>
      </c>
      <c r="AB30" s="1">
        <v>10299.80259452682</v>
      </c>
      <c r="AC30" s="1">
        <v>22930.544894126961</v>
      </c>
      <c r="AD30" s="1">
        <v>835.31964564598832</v>
      </c>
      <c r="AE30" s="1">
        <v>9177.9886031963033</v>
      </c>
      <c r="AF30" s="1">
        <v>4090.8635111648796</v>
      </c>
      <c r="AG30" s="1">
        <v>4557.4864703158919</v>
      </c>
      <c r="AH30" s="1">
        <v>1192.8569901369467</v>
      </c>
      <c r="AI30" s="1">
        <v>11793.905732354846</v>
      </c>
      <c r="AJ30" s="1">
        <v>359.98810904205595</v>
      </c>
      <c r="AK30" s="1">
        <v>282.217665298692</v>
      </c>
      <c r="AL30" s="1">
        <v>2658.2104279750106</v>
      </c>
      <c r="AM30" s="1">
        <v>0</v>
      </c>
      <c r="AN30" s="15">
        <v>472611.92592774355</v>
      </c>
      <c r="AO30" s="1">
        <v>755025.05714519694</v>
      </c>
      <c r="AP30" s="1">
        <v>0</v>
      </c>
      <c r="AQ30" s="1">
        <v>48453.408739916689</v>
      </c>
      <c r="AR30" s="1">
        <v>0</v>
      </c>
      <c r="AS30" s="1">
        <v>346852.86525345815</v>
      </c>
      <c r="AT30" s="19">
        <v>1150331.3311385717</v>
      </c>
      <c r="AU30" s="15">
        <v>1622943.2570663153</v>
      </c>
      <c r="AV30" s="1">
        <v>0</v>
      </c>
      <c r="AW30" s="1">
        <v>0</v>
      </c>
      <c r="AX30" s="1">
        <v>1622943.4043741357</v>
      </c>
      <c r="AY30" s="15">
        <v>1622943.4043741357</v>
      </c>
    </row>
    <row r="31" spans="1:51" x14ac:dyDescent="0.25">
      <c r="A31" s="14">
        <v>28</v>
      </c>
      <c r="B31" t="s">
        <v>27</v>
      </c>
      <c r="C31" s="1">
        <v>9.6120799076604442</v>
      </c>
      <c r="D31" s="1">
        <v>16.895986774106373</v>
      </c>
      <c r="E31" s="1">
        <v>25.149747541878355</v>
      </c>
      <c r="F31" s="1">
        <v>14.044763128354376</v>
      </c>
      <c r="G31" s="1">
        <v>48.753661576575212</v>
      </c>
      <c r="H31" s="1">
        <v>174.55377122240901</v>
      </c>
      <c r="I31" s="1">
        <v>1.4097586911678552</v>
      </c>
      <c r="J31" s="1">
        <v>50.055650379388183</v>
      </c>
      <c r="K31" s="1">
        <v>526.16816246248766</v>
      </c>
      <c r="L31" s="1">
        <v>1518.8709125685089</v>
      </c>
      <c r="M31" s="1">
        <v>88.068756755015656</v>
      </c>
      <c r="N31" s="1">
        <v>2668.573910976857</v>
      </c>
      <c r="O31" s="1">
        <v>398.02950306824147</v>
      </c>
      <c r="P31" s="1">
        <v>26.706770421418902</v>
      </c>
      <c r="Q31" s="1">
        <v>397.15719144821662</v>
      </c>
      <c r="R31" s="1">
        <v>72.787712307216353</v>
      </c>
      <c r="S31" s="1">
        <v>962.1081775402489</v>
      </c>
      <c r="T31" s="1">
        <v>19.990611496691251</v>
      </c>
      <c r="U31" s="1">
        <v>0</v>
      </c>
      <c r="V31" s="1">
        <v>99.48527561325173</v>
      </c>
      <c r="W31" s="1">
        <v>7.7130748928871364</v>
      </c>
      <c r="X31" s="1">
        <v>32.549413851974784</v>
      </c>
      <c r="Y31" s="1">
        <v>966.97305414151083</v>
      </c>
      <c r="Z31" s="1">
        <v>1255.8850567582006</v>
      </c>
      <c r="AA31" s="1">
        <v>97.069988108378439</v>
      </c>
      <c r="AB31" s="1">
        <v>100.80340972060129</v>
      </c>
      <c r="AC31" s="1">
        <v>240.68905040284869</v>
      </c>
      <c r="AD31" s="1">
        <v>28.456045637519871</v>
      </c>
      <c r="AE31" s="1">
        <v>115.14324374165116</v>
      </c>
      <c r="AF31" s="1">
        <v>43.074462597790863</v>
      </c>
      <c r="AG31" s="1">
        <v>432.85633981342124</v>
      </c>
      <c r="AH31" s="1">
        <v>63.62577772826787</v>
      </c>
      <c r="AI31" s="1">
        <v>516.59936169671926</v>
      </c>
      <c r="AJ31" s="1">
        <v>10.888603790262396</v>
      </c>
      <c r="AK31" s="1">
        <v>31.045770419160718</v>
      </c>
      <c r="AL31" s="1">
        <v>64.060954033225869</v>
      </c>
      <c r="AM31" s="1">
        <v>0</v>
      </c>
      <c r="AN31" s="15">
        <v>11125.856011214119</v>
      </c>
      <c r="AO31" s="1">
        <v>24941.549721624993</v>
      </c>
      <c r="AP31" s="1">
        <v>0</v>
      </c>
      <c r="AQ31" s="1">
        <v>1306.5161770262348</v>
      </c>
      <c r="AR31" s="1">
        <v>0</v>
      </c>
      <c r="AS31" s="1">
        <v>271677.2805546131</v>
      </c>
      <c r="AT31" s="19">
        <v>297925.34645326436</v>
      </c>
      <c r="AU31" s="15">
        <v>309051.2024644785</v>
      </c>
      <c r="AV31" s="1">
        <v>0</v>
      </c>
      <c r="AW31" s="1">
        <v>0</v>
      </c>
      <c r="AX31" s="1">
        <v>309051.18176915683</v>
      </c>
      <c r="AY31" s="15">
        <v>309051.18176915683</v>
      </c>
    </row>
    <row r="32" spans="1:51" x14ac:dyDescent="0.25">
      <c r="A32" s="14">
        <v>29</v>
      </c>
      <c r="B32" t="s">
        <v>28</v>
      </c>
      <c r="C32" s="1">
        <v>234.6544358421979</v>
      </c>
      <c r="D32" s="1">
        <v>394.34333644624866</v>
      </c>
      <c r="E32" s="1">
        <v>495.07995258878526</v>
      </c>
      <c r="F32" s="1">
        <v>178.54130308621964</v>
      </c>
      <c r="G32" s="1">
        <v>965.79286765870177</v>
      </c>
      <c r="H32" s="1">
        <v>3393.8138333816987</v>
      </c>
      <c r="I32" s="1">
        <v>84.467978170402219</v>
      </c>
      <c r="J32" s="1">
        <v>1313.3699986715778</v>
      </c>
      <c r="K32" s="1">
        <v>6897.5999472222784</v>
      </c>
      <c r="L32" s="1">
        <v>7423.1556596512355</v>
      </c>
      <c r="M32" s="1">
        <v>363.99936554494553</v>
      </c>
      <c r="N32" s="1">
        <v>4290.3182044208816</v>
      </c>
      <c r="O32" s="1">
        <v>7929.3623326675461</v>
      </c>
      <c r="P32" s="1">
        <v>389.31311432051757</v>
      </c>
      <c r="Q32" s="1">
        <v>37332.296297343782</v>
      </c>
      <c r="R32" s="1">
        <v>2228.9728948154611</v>
      </c>
      <c r="S32" s="1">
        <v>12879.16056950396</v>
      </c>
      <c r="T32" s="1">
        <v>5126.6461516826957</v>
      </c>
      <c r="U32" s="1">
        <v>0</v>
      </c>
      <c r="V32" s="1">
        <v>2395.7437282970332</v>
      </c>
      <c r="W32" s="1">
        <v>166.06817112020124</v>
      </c>
      <c r="X32" s="1">
        <v>778.27042053048092</v>
      </c>
      <c r="Y32" s="1">
        <v>18102.639920282065</v>
      </c>
      <c r="Z32" s="1">
        <v>61495.91589505053</v>
      </c>
      <c r="AA32" s="1">
        <v>2041.8645381116228</v>
      </c>
      <c r="AB32" s="1">
        <v>38690.339671999121</v>
      </c>
      <c r="AC32" s="1">
        <v>106787.686435439</v>
      </c>
      <c r="AD32" s="1">
        <v>23319.109128212902</v>
      </c>
      <c r="AE32" s="1">
        <v>109229.83252294637</v>
      </c>
      <c r="AF32" s="1">
        <v>6170.9881556306755</v>
      </c>
      <c r="AG32" s="1">
        <v>3136.073516308129</v>
      </c>
      <c r="AH32" s="1">
        <v>1399.7342972712752</v>
      </c>
      <c r="AI32" s="1">
        <v>12016.14309827971</v>
      </c>
      <c r="AJ32" s="1">
        <v>220.49293143924504</v>
      </c>
      <c r="AK32" s="1">
        <v>305.75804743271027</v>
      </c>
      <c r="AL32" s="1">
        <v>2367.6586577754033</v>
      </c>
      <c r="AM32" s="1">
        <v>0</v>
      </c>
      <c r="AN32" s="15">
        <v>480545.20737914561</v>
      </c>
      <c r="AO32" s="1">
        <v>319529.20764641627</v>
      </c>
      <c r="AP32" s="1">
        <v>0</v>
      </c>
      <c r="AQ32" s="1">
        <v>28690.196757517577</v>
      </c>
      <c r="AR32" s="1">
        <v>0</v>
      </c>
      <c r="AS32" s="1">
        <v>639740.67531476705</v>
      </c>
      <c r="AT32" s="19">
        <v>987960.07971870084</v>
      </c>
      <c r="AU32" s="15">
        <v>1468505.2870978464</v>
      </c>
      <c r="AV32" s="1">
        <v>0</v>
      </c>
      <c r="AW32" s="1">
        <v>0</v>
      </c>
      <c r="AX32" s="1">
        <v>1468504.9769408857</v>
      </c>
      <c r="AY32" s="15">
        <v>1468504.9769408857</v>
      </c>
    </row>
    <row r="33" spans="1:51" x14ac:dyDescent="0.25">
      <c r="A33" s="14">
        <v>30</v>
      </c>
      <c r="B33" t="s">
        <v>29</v>
      </c>
      <c r="C33" s="1">
        <v>0</v>
      </c>
      <c r="D33" s="1">
        <v>33.134412433215694</v>
      </c>
      <c r="E33" s="1">
        <v>262.4365647631181</v>
      </c>
      <c r="F33" s="1">
        <v>120.97411123494575</v>
      </c>
      <c r="G33" s="1">
        <v>4.9015796066860169</v>
      </c>
      <c r="H33" s="1">
        <v>568.84909433030418</v>
      </c>
      <c r="I33" s="1">
        <v>86.40535671899238</v>
      </c>
      <c r="J33" s="1">
        <v>58.330935473619853</v>
      </c>
      <c r="K33" s="1">
        <v>31.442426692547233</v>
      </c>
      <c r="L33" s="1">
        <v>7321.2070926440947</v>
      </c>
      <c r="M33" s="1">
        <v>217.11401061311503</v>
      </c>
      <c r="N33" s="1">
        <v>6216.3439741869042</v>
      </c>
      <c r="O33" s="1">
        <v>229.95581597443112</v>
      </c>
      <c r="P33" s="1">
        <v>143.36188570835327</v>
      </c>
      <c r="Q33" s="1">
        <v>4397.4240744618983</v>
      </c>
      <c r="R33" s="1">
        <v>737.45416924063852</v>
      </c>
      <c r="S33" s="1">
        <v>2117.328685044386</v>
      </c>
      <c r="T33" s="1">
        <v>397.07238488245548</v>
      </c>
      <c r="U33" s="1">
        <v>0</v>
      </c>
      <c r="V33" s="1">
        <v>365.12772405423863</v>
      </c>
      <c r="W33" s="1">
        <v>82.864323838303079</v>
      </c>
      <c r="X33" s="1">
        <v>570.10862239978633</v>
      </c>
      <c r="Y33" s="1">
        <v>3705.1405152549378</v>
      </c>
      <c r="Z33" s="1">
        <v>24443.469815218825</v>
      </c>
      <c r="AA33" s="1">
        <v>603.27276746232667</v>
      </c>
      <c r="AB33" s="1">
        <v>2129.5784564658861</v>
      </c>
      <c r="AC33" s="1">
        <v>8368.500172118218</v>
      </c>
      <c r="AD33" s="1">
        <v>279.53579436249254</v>
      </c>
      <c r="AE33" s="1">
        <v>12647.047993015938</v>
      </c>
      <c r="AF33" s="1">
        <v>16722.103428883638</v>
      </c>
      <c r="AG33" s="1">
        <v>13247.628899368627</v>
      </c>
      <c r="AH33" s="1">
        <v>2283.0188716491612</v>
      </c>
      <c r="AI33" s="1">
        <v>1457.6223212680013</v>
      </c>
      <c r="AJ33" s="1">
        <v>236.86657311505107</v>
      </c>
      <c r="AK33" s="1">
        <v>176.77476889505621</v>
      </c>
      <c r="AL33" s="1">
        <v>4278.3507699064976</v>
      </c>
      <c r="AM33" s="1">
        <v>0</v>
      </c>
      <c r="AN33" s="15">
        <v>114540.7483912867</v>
      </c>
      <c r="AO33" s="1">
        <v>355822.969966145</v>
      </c>
      <c r="AP33" s="1">
        <v>0</v>
      </c>
      <c r="AQ33" s="1">
        <v>0</v>
      </c>
      <c r="AR33" s="1">
        <v>0</v>
      </c>
      <c r="AS33" s="1">
        <v>38606.529520887088</v>
      </c>
      <c r="AT33" s="19">
        <v>394429.49948703207</v>
      </c>
      <c r="AU33" s="15">
        <v>508970.24787831877</v>
      </c>
      <c r="AV33" s="1">
        <v>0</v>
      </c>
      <c r="AW33" s="1">
        <v>0</v>
      </c>
      <c r="AX33" s="1">
        <v>508970.44040256366</v>
      </c>
      <c r="AY33" s="15">
        <v>508970.44040256366</v>
      </c>
    </row>
    <row r="34" spans="1:51" x14ac:dyDescent="0.25">
      <c r="A34" s="14">
        <v>31</v>
      </c>
      <c r="B34" t="s">
        <v>30</v>
      </c>
      <c r="C34" s="1">
        <v>709.46486881557439</v>
      </c>
      <c r="D34" s="1">
        <v>453.98331298567717</v>
      </c>
      <c r="E34" s="1">
        <v>3090.7690231492415</v>
      </c>
      <c r="F34" s="1">
        <v>610.46778438039951</v>
      </c>
      <c r="G34" s="1">
        <v>661.31045269171784</v>
      </c>
      <c r="H34" s="1">
        <v>23321.833444716183</v>
      </c>
      <c r="I34" s="1">
        <v>675.15117892252647</v>
      </c>
      <c r="J34" s="1">
        <v>3960.8661566097085</v>
      </c>
      <c r="K34" s="1">
        <v>55681.349364953676</v>
      </c>
      <c r="L34" s="1">
        <v>14438.830079338773</v>
      </c>
      <c r="M34" s="1">
        <v>2686.1598197062026</v>
      </c>
      <c r="N34" s="1">
        <v>32481.831946760234</v>
      </c>
      <c r="O34" s="1">
        <v>6254.3753478998269</v>
      </c>
      <c r="P34" s="1">
        <v>535.83697257973427</v>
      </c>
      <c r="Q34" s="1">
        <v>43669.790710336929</v>
      </c>
      <c r="R34" s="1">
        <v>2920.4980819900798</v>
      </c>
      <c r="S34" s="1">
        <v>7529.1740098405262</v>
      </c>
      <c r="T34" s="1">
        <v>576.38318927037631</v>
      </c>
      <c r="U34" s="1">
        <v>0</v>
      </c>
      <c r="V34" s="1">
        <v>909.2520257234097</v>
      </c>
      <c r="W34" s="1">
        <v>728.74846125528325</v>
      </c>
      <c r="X34" s="1">
        <v>737.37657531024934</v>
      </c>
      <c r="Y34" s="1">
        <v>8363.4656144617948</v>
      </c>
      <c r="Z34" s="1">
        <v>33442.500623814529</v>
      </c>
      <c r="AA34" s="1">
        <v>603.42300741227962</v>
      </c>
      <c r="AB34" s="1">
        <v>11731.185552360945</v>
      </c>
      <c r="AC34" s="1">
        <v>8647.8052142817141</v>
      </c>
      <c r="AD34" s="1">
        <v>461.79311951916065</v>
      </c>
      <c r="AE34" s="1">
        <v>5652.2697355885439</v>
      </c>
      <c r="AF34" s="1">
        <v>3718.7812726380039</v>
      </c>
      <c r="AG34" s="1">
        <v>68135.975135000393</v>
      </c>
      <c r="AH34" s="1">
        <v>8391.6930864757214</v>
      </c>
      <c r="AI34" s="1">
        <v>11468.33849374346</v>
      </c>
      <c r="AJ34" s="1">
        <v>273.14329940495736</v>
      </c>
      <c r="AK34" s="1">
        <v>394.64431140186423</v>
      </c>
      <c r="AL34" s="1">
        <v>1052.2397443581533</v>
      </c>
      <c r="AM34" s="1">
        <v>0</v>
      </c>
      <c r="AN34" s="15">
        <v>364970.71101769782</v>
      </c>
      <c r="AO34" s="1">
        <v>941243.54203234764</v>
      </c>
      <c r="AP34" s="1">
        <v>0</v>
      </c>
      <c r="AQ34" s="1">
        <v>0</v>
      </c>
      <c r="AR34" s="1">
        <v>0</v>
      </c>
      <c r="AS34" s="1">
        <v>72386.344853368282</v>
      </c>
      <c r="AT34" s="19">
        <v>1013629.8868857159</v>
      </c>
      <c r="AU34" s="15">
        <v>1378600.5979034137</v>
      </c>
      <c r="AV34" s="1">
        <v>0</v>
      </c>
      <c r="AW34" s="1">
        <v>0</v>
      </c>
      <c r="AX34" s="1">
        <v>1378600.8629979743</v>
      </c>
      <c r="AY34" s="15">
        <v>1378600.8629979743</v>
      </c>
    </row>
    <row r="35" spans="1:51" x14ac:dyDescent="0.25">
      <c r="A35" s="14">
        <v>32</v>
      </c>
      <c r="B35" t="s">
        <v>31</v>
      </c>
      <c r="C35" s="1">
        <v>334.50805458206787</v>
      </c>
      <c r="D35" s="1">
        <v>91.4348260763186</v>
      </c>
      <c r="E35" s="1">
        <v>67.224748277197463</v>
      </c>
      <c r="F35" s="1">
        <v>40.88479746653119</v>
      </c>
      <c r="G35" s="1">
        <v>7.9226851356408661</v>
      </c>
      <c r="H35" s="1">
        <v>25252.70070412309</v>
      </c>
      <c r="I35" s="1">
        <v>1323.9202722717275</v>
      </c>
      <c r="J35" s="1">
        <v>260.52716074693348</v>
      </c>
      <c r="K35" s="1">
        <v>102546.53984881636</v>
      </c>
      <c r="L35" s="1">
        <v>35255.061106432804</v>
      </c>
      <c r="M35" s="1">
        <v>1044.1274965024713</v>
      </c>
      <c r="N35" s="1">
        <v>27616.13412327024</v>
      </c>
      <c r="O35" s="1">
        <v>340.56227129774987</v>
      </c>
      <c r="P35" s="1">
        <v>146.74700872489106</v>
      </c>
      <c r="Q35" s="1">
        <v>9381.1172164887939</v>
      </c>
      <c r="R35" s="1">
        <v>642.55237615947703</v>
      </c>
      <c r="S35" s="1">
        <v>10335.147055482201</v>
      </c>
      <c r="T35" s="1">
        <v>527.93717292451959</v>
      </c>
      <c r="U35" s="1">
        <v>0</v>
      </c>
      <c r="V35" s="1">
        <v>181.94763978895878</v>
      </c>
      <c r="W35" s="1">
        <v>200.38534082034403</v>
      </c>
      <c r="X35" s="1">
        <v>774.10867513122207</v>
      </c>
      <c r="Y35" s="1">
        <v>17381.544391093103</v>
      </c>
      <c r="Z35" s="1">
        <v>86807.367882757884</v>
      </c>
      <c r="AA35" s="1">
        <v>846.85000021836731</v>
      </c>
      <c r="AB35" s="1">
        <v>4161.7726652826977</v>
      </c>
      <c r="AC35" s="1">
        <v>8876.5355565126647</v>
      </c>
      <c r="AD35" s="1">
        <v>1462.7834958910273</v>
      </c>
      <c r="AE35" s="1">
        <v>11468.074811594792</v>
      </c>
      <c r="AF35" s="1">
        <v>9828.3102541215503</v>
      </c>
      <c r="AG35" s="1">
        <v>22058.542905654325</v>
      </c>
      <c r="AH35" s="1">
        <v>4141.9391217137727</v>
      </c>
      <c r="AI35" s="1">
        <v>4309.1530821888064</v>
      </c>
      <c r="AJ35" s="1">
        <v>843.4520477378893</v>
      </c>
      <c r="AK35" s="1">
        <v>461.66760175788437</v>
      </c>
      <c r="AL35" s="1">
        <v>3573.9650303221747</v>
      </c>
      <c r="AM35" s="1">
        <v>0</v>
      </c>
      <c r="AN35" s="15">
        <v>392593.44942736649</v>
      </c>
      <c r="AO35" s="1">
        <v>71444.297120393894</v>
      </c>
      <c r="AP35" s="1">
        <v>0</v>
      </c>
      <c r="AQ35" s="1">
        <v>0</v>
      </c>
      <c r="AR35" s="1">
        <v>0</v>
      </c>
      <c r="AS35" s="1">
        <v>16437.735945865858</v>
      </c>
      <c r="AT35" s="19">
        <v>87882.033066259755</v>
      </c>
      <c r="AU35" s="15">
        <v>480475.48249362624</v>
      </c>
      <c r="AV35" s="1">
        <v>0</v>
      </c>
      <c r="AW35" s="1">
        <v>0</v>
      </c>
      <c r="AX35" s="1">
        <v>480475.69914356153</v>
      </c>
      <c r="AY35" s="15">
        <v>480475.69914356153</v>
      </c>
    </row>
    <row r="36" spans="1:51" x14ac:dyDescent="0.25">
      <c r="A36" s="14">
        <v>33</v>
      </c>
      <c r="B36" t="s">
        <v>32</v>
      </c>
      <c r="C36" s="1">
        <v>0</v>
      </c>
      <c r="D36" s="1">
        <v>4.3600751946361038</v>
      </c>
      <c r="E36" s="1">
        <v>0</v>
      </c>
      <c r="F36" s="1">
        <v>12.598872705180057</v>
      </c>
      <c r="G36" s="1">
        <v>13.505510071848468</v>
      </c>
      <c r="H36" s="1">
        <v>0</v>
      </c>
      <c r="I36" s="1">
        <v>0</v>
      </c>
      <c r="J36" s="1">
        <v>6.4183228593741815</v>
      </c>
      <c r="K36" s="1">
        <v>0</v>
      </c>
      <c r="L36" s="1">
        <v>10.305453865430938</v>
      </c>
      <c r="M36" s="1">
        <v>4.7926684554635761</v>
      </c>
      <c r="N36" s="1">
        <v>19.521507605086509</v>
      </c>
      <c r="O36" s="1">
        <v>17.68024860402506</v>
      </c>
      <c r="P36" s="1">
        <v>0</v>
      </c>
      <c r="Q36" s="1">
        <v>80.550939432186638</v>
      </c>
      <c r="R36" s="1">
        <v>0</v>
      </c>
      <c r="S36" s="1">
        <v>137.69273487169923</v>
      </c>
      <c r="T36" s="1">
        <v>16.225634452468203</v>
      </c>
      <c r="U36" s="1">
        <v>0</v>
      </c>
      <c r="V36" s="1">
        <v>0</v>
      </c>
      <c r="W36" s="1">
        <v>9.7605478422571963</v>
      </c>
      <c r="X36" s="1">
        <v>26.130577103123706</v>
      </c>
      <c r="Y36" s="1">
        <v>284.4836582725373</v>
      </c>
      <c r="Z36" s="1">
        <v>0</v>
      </c>
      <c r="AA36" s="1">
        <v>26.842904563356957</v>
      </c>
      <c r="AB36" s="1">
        <v>54.03505310171272</v>
      </c>
      <c r="AC36" s="1">
        <v>179.73151071999754</v>
      </c>
      <c r="AD36" s="1">
        <v>8.6125473997349005</v>
      </c>
      <c r="AE36" s="1">
        <v>82.557203776484428</v>
      </c>
      <c r="AF36" s="1">
        <v>391.35941017212707</v>
      </c>
      <c r="AG36" s="1">
        <v>903.83114009906069</v>
      </c>
      <c r="AH36" s="1">
        <v>41.693226123893794</v>
      </c>
      <c r="AI36" s="1">
        <v>44.771030102644986</v>
      </c>
      <c r="AJ36" s="1">
        <v>23.377678120444873</v>
      </c>
      <c r="AK36" s="1">
        <v>116.04827487879714</v>
      </c>
      <c r="AL36" s="1">
        <v>0</v>
      </c>
      <c r="AM36" s="1">
        <v>0</v>
      </c>
      <c r="AN36" s="15">
        <v>2516.8867303935722</v>
      </c>
      <c r="AO36" s="1">
        <v>4497.3068460885488</v>
      </c>
      <c r="AP36" s="1">
        <v>1232232.256687942</v>
      </c>
      <c r="AQ36" s="1">
        <v>0</v>
      </c>
      <c r="AR36" s="1">
        <v>0</v>
      </c>
      <c r="AS36" s="1">
        <v>2638.3238504126821</v>
      </c>
      <c r="AT36" s="19">
        <v>1239367.8873844431</v>
      </c>
      <c r="AU36" s="15">
        <v>1241884.7741148367</v>
      </c>
      <c r="AV36" s="1">
        <v>0</v>
      </c>
      <c r="AW36" s="1">
        <v>0</v>
      </c>
      <c r="AX36" s="1">
        <v>1241885.1200000001</v>
      </c>
      <c r="AY36" s="15">
        <v>1241885.1200000001</v>
      </c>
    </row>
    <row r="37" spans="1:51" x14ac:dyDescent="0.25">
      <c r="A37" s="14">
        <v>34</v>
      </c>
      <c r="B37" t="s">
        <v>33</v>
      </c>
      <c r="C37" s="1">
        <v>0</v>
      </c>
      <c r="D37" s="1">
        <v>8.7897665810655106</v>
      </c>
      <c r="E37" s="1">
        <v>0</v>
      </c>
      <c r="F37" s="1">
        <v>3.4170546101259074</v>
      </c>
      <c r="G37" s="1">
        <v>8.491106653029652</v>
      </c>
      <c r="H37" s="1">
        <v>0</v>
      </c>
      <c r="I37" s="1">
        <v>0</v>
      </c>
      <c r="J37" s="1">
        <v>31.34365669386888</v>
      </c>
      <c r="K37" s="1">
        <v>8.4529553872824472</v>
      </c>
      <c r="L37" s="1">
        <v>147.16491598512636</v>
      </c>
      <c r="M37" s="1">
        <v>39.040400598876211</v>
      </c>
      <c r="N37" s="1">
        <v>13.511999806209666</v>
      </c>
      <c r="O37" s="1">
        <v>114.14261707928989</v>
      </c>
      <c r="P37" s="1">
        <v>3.3853222553592284</v>
      </c>
      <c r="Q37" s="1">
        <v>320.55309271829964</v>
      </c>
      <c r="R37" s="1">
        <v>37.649098840007674</v>
      </c>
      <c r="S37" s="1">
        <v>162.77015643167721</v>
      </c>
      <c r="T37" s="1">
        <v>19.905035726477486</v>
      </c>
      <c r="U37" s="1">
        <v>0</v>
      </c>
      <c r="V37" s="1">
        <v>158.75008552269389</v>
      </c>
      <c r="W37" s="1">
        <v>3.4878205072188222</v>
      </c>
      <c r="X37" s="1">
        <v>56.036770992441959</v>
      </c>
      <c r="Y37" s="1">
        <v>527.14451256881728</v>
      </c>
      <c r="Z37" s="1">
        <v>220.39508966371784</v>
      </c>
      <c r="AA37" s="1">
        <v>65.064869356165971</v>
      </c>
      <c r="AB37" s="1">
        <v>73.713283813574023</v>
      </c>
      <c r="AC37" s="1">
        <v>179.62526016585642</v>
      </c>
      <c r="AD37" s="1">
        <v>2.5194225278588025</v>
      </c>
      <c r="AE37" s="1">
        <v>110.21719803060665</v>
      </c>
      <c r="AF37" s="1">
        <v>278.23035072520543</v>
      </c>
      <c r="AG37" s="1">
        <v>833.44426509725224</v>
      </c>
      <c r="AH37" s="1">
        <v>1235.0403970904015</v>
      </c>
      <c r="AI37" s="1">
        <v>51.837902869237489</v>
      </c>
      <c r="AJ37" s="1">
        <v>284.11066599635421</v>
      </c>
      <c r="AK37" s="1">
        <v>62.212931536754162</v>
      </c>
      <c r="AL37" s="1">
        <v>421.86340558244041</v>
      </c>
      <c r="AM37" s="1">
        <v>0</v>
      </c>
      <c r="AN37" s="15">
        <v>5482.3114114132923</v>
      </c>
      <c r="AO37" s="1">
        <v>13189.195183016498</v>
      </c>
      <c r="AP37" s="1">
        <v>67340.524922484008</v>
      </c>
      <c r="AQ37" s="1">
        <v>0</v>
      </c>
      <c r="AR37" s="1">
        <v>0</v>
      </c>
      <c r="AS37" s="1">
        <v>8107.077420526989</v>
      </c>
      <c r="AT37" s="19">
        <v>88636.797526027498</v>
      </c>
      <c r="AU37" s="15">
        <v>94119.108937440789</v>
      </c>
      <c r="AV37" s="1">
        <v>0</v>
      </c>
      <c r="AW37" s="1">
        <v>0</v>
      </c>
      <c r="AX37" s="1">
        <v>94119.073101810471</v>
      </c>
      <c r="AY37" s="15">
        <v>94119.073101810471</v>
      </c>
    </row>
    <row r="38" spans="1:51" x14ac:dyDescent="0.25">
      <c r="A38" s="14">
        <v>35</v>
      </c>
      <c r="B38" t="s">
        <v>34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27.727170472453629</v>
      </c>
      <c r="O38" s="1">
        <v>0</v>
      </c>
      <c r="P38" s="1">
        <v>0</v>
      </c>
      <c r="Q38" s="1">
        <v>824.37182460775648</v>
      </c>
      <c r="R38" s="1">
        <v>59.451760024741354</v>
      </c>
      <c r="S38" s="1">
        <v>452.25692976642114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25.993729318742691</v>
      </c>
      <c r="AB38" s="1">
        <v>60.253060906482602</v>
      </c>
      <c r="AC38" s="1">
        <v>2.0140422340502</v>
      </c>
      <c r="AD38" s="1">
        <v>6.7831179122325427</v>
      </c>
      <c r="AE38" s="1">
        <v>19.268197832346619</v>
      </c>
      <c r="AF38" s="1">
        <v>130.43545008500135</v>
      </c>
      <c r="AG38" s="1">
        <v>75.362750087289655</v>
      </c>
      <c r="AH38" s="1">
        <v>228.91578892053684</v>
      </c>
      <c r="AI38" s="1">
        <v>138.55494896585714</v>
      </c>
      <c r="AJ38" s="1">
        <v>49.318739766444878</v>
      </c>
      <c r="AK38" s="1">
        <v>3963.5611182154112</v>
      </c>
      <c r="AL38" s="1">
        <v>136.63930380655495</v>
      </c>
      <c r="AM38" s="1">
        <v>0</v>
      </c>
      <c r="AN38" s="15">
        <v>6200.9079329223232</v>
      </c>
      <c r="AO38" s="1">
        <v>15112.399870170342</v>
      </c>
      <c r="AP38" s="1">
        <v>0</v>
      </c>
      <c r="AQ38" s="1">
        <v>0</v>
      </c>
      <c r="AR38" s="1">
        <v>0</v>
      </c>
      <c r="AS38" s="1">
        <v>8666.8092028311348</v>
      </c>
      <c r="AT38" s="19">
        <v>23779.209073001475</v>
      </c>
      <c r="AU38" s="15">
        <v>29980.117005923799</v>
      </c>
      <c r="AV38" s="1">
        <v>0</v>
      </c>
      <c r="AW38" s="1">
        <v>0</v>
      </c>
      <c r="AX38" s="1">
        <v>29980.365813657583</v>
      </c>
      <c r="AY38" s="15">
        <v>29980.365813657583</v>
      </c>
    </row>
    <row r="39" spans="1:51" x14ac:dyDescent="0.25">
      <c r="A39" s="14">
        <v>36</v>
      </c>
      <c r="B39" t="s">
        <v>35</v>
      </c>
      <c r="C39" s="1">
        <v>113.45634207298617</v>
      </c>
      <c r="D39" s="1">
        <v>731.49413297103149</v>
      </c>
      <c r="E39" s="1">
        <v>4657.9579047974685</v>
      </c>
      <c r="F39" s="1">
        <v>382.84744421318015</v>
      </c>
      <c r="G39" s="1">
        <v>185.60272217866796</v>
      </c>
      <c r="H39" s="1">
        <v>2040.3017791122704</v>
      </c>
      <c r="I39" s="1">
        <v>4548.319146126224</v>
      </c>
      <c r="J39" s="1">
        <v>167.72232552514461</v>
      </c>
      <c r="K39" s="1">
        <v>74.445972198385405</v>
      </c>
      <c r="L39" s="1">
        <v>202.57385730351163</v>
      </c>
      <c r="M39" s="1">
        <v>2554.2892314286878</v>
      </c>
      <c r="N39" s="1">
        <v>4264.1843087253501</v>
      </c>
      <c r="O39" s="1">
        <v>317.49672696490035</v>
      </c>
      <c r="P39" s="1">
        <v>47.426729403335415</v>
      </c>
      <c r="Q39" s="1">
        <v>12061.808034370715</v>
      </c>
      <c r="R39" s="1">
        <v>439.35159207758988</v>
      </c>
      <c r="S39" s="1">
        <v>708.48340511376034</v>
      </c>
      <c r="T39" s="1">
        <v>308.57875020117456</v>
      </c>
      <c r="U39" s="1">
        <v>0</v>
      </c>
      <c r="V39" s="1">
        <v>1000.662519047735</v>
      </c>
      <c r="W39" s="1">
        <v>30.016357920335299</v>
      </c>
      <c r="X39" s="1">
        <v>1508.4056259835666</v>
      </c>
      <c r="Y39" s="1">
        <v>1494.1060312827128</v>
      </c>
      <c r="Z39" s="1">
        <v>4762.5108550182467</v>
      </c>
      <c r="AA39" s="1">
        <v>428.1647826752461</v>
      </c>
      <c r="AB39" s="1">
        <v>23753.88693838158</v>
      </c>
      <c r="AC39" s="1">
        <v>4219.2666255367785</v>
      </c>
      <c r="AD39" s="1">
        <v>73.647046433832671</v>
      </c>
      <c r="AE39" s="1">
        <v>2598.942498703037</v>
      </c>
      <c r="AF39" s="1">
        <v>1418.1360082598899</v>
      </c>
      <c r="AG39" s="1">
        <v>9170.5606510080233</v>
      </c>
      <c r="AH39" s="1">
        <v>4383.4210392013474</v>
      </c>
      <c r="AI39" s="1">
        <v>52.388852184267265</v>
      </c>
      <c r="AJ39" s="1">
        <v>414.31516776031674</v>
      </c>
      <c r="AK39" s="1">
        <v>158.52884943722998</v>
      </c>
      <c r="AL39" s="1">
        <v>1296.5131618458811</v>
      </c>
      <c r="AM39" s="1">
        <v>0</v>
      </c>
      <c r="AN39" s="15">
        <v>90569.813415464407</v>
      </c>
      <c r="AO39" s="1">
        <v>51223.111257536031</v>
      </c>
      <c r="AP39" s="1">
        <v>165207.7014926658</v>
      </c>
      <c r="AQ39" s="1">
        <v>0</v>
      </c>
      <c r="AR39" s="1">
        <v>0</v>
      </c>
      <c r="AS39" s="1">
        <v>723.24625063082669</v>
      </c>
      <c r="AT39" s="19">
        <v>217154.05900083267</v>
      </c>
      <c r="AU39" s="15">
        <v>307723.87241629709</v>
      </c>
      <c r="AV39" s="1">
        <v>0</v>
      </c>
      <c r="AW39" s="1">
        <v>0</v>
      </c>
      <c r="AX39" s="1">
        <v>307724.191631886</v>
      </c>
      <c r="AY39" s="15">
        <v>307724.191631886</v>
      </c>
    </row>
    <row r="40" spans="1:51" x14ac:dyDescent="0.25">
      <c r="A40" s="14">
        <v>37</v>
      </c>
      <c r="B40" t="s">
        <v>36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5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9">
        <v>0</v>
      </c>
      <c r="AU40" s="15">
        <v>0</v>
      </c>
      <c r="AV40" s="1">
        <v>0</v>
      </c>
      <c r="AW40" s="1">
        <v>0</v>
      </c>
      <c r="AX40" s="1">
        <v>0</v>
      </c>
      <c r="AY40" s="15">
        <v>0</v>
      </c>
    </row>
    <row r="41" spans="1:51" x14ac:dyDescent="0.25">
      <c r="A41" s="14">
        <v>190</v>
      </c>
      <c r="B41" s="13" t="s">
        <v>37</v>
      </c>
      <c r="C41" s="15">
        <v>22937.810524045854</v>
      </c>
      <c r="D41" s="15">
        <v>33605.762994507211</v>
      </c>
      <c r="E41" s="15">
        <v>60188.42642975448</v>
      </c>
      <c r="F41" s="15">
        <v>19800.315072469264</v>
      </c>
      <c r="G41" s="15">
        <v>65623.392138313575</v>
      </c>
      <c r="H41" s="15">
        <v>360528.28731661086</v>
      </c>
      <c r="I41" s="15">
        <v>23668.176671387137</v>
      </c>
      <c r="J41" s="15">
        <v>92456.558178457039</v>
      </c>
      <c r="K41" s="15">
        <v>859992.08166926366</v>
      </c>
      <c r="L41" s="15">
        <v>1071868.6450062366</v>
      </c>
      <c r="M41" s="15">
        <v>33544.294576952903</v>
      </c>
      <c r="N41" s="15">
        <v>1495190.8416238732</v>
      </c>
      <c r="O41" s="15">
        <v>651232.82497523807</v>
      </c>
      <c r="P41" s="15">
        <v>5135.0377280555904</v>
      </c>
      <c r="Q41" s="15">
        <v>2573685.0961122937</v>
      </c>
      <c r="R41" s="15">
        <v>131872.44208350612</v>
      </c>
      <c r="S41" s="15">
        <v>383059.28536332486</v>
      </c>
      <c r="T41" s="15">
        <v>41438.849655543141</v>
      </c>
      <c r="U41" s="15">
        <v>0</v>
      </c>
      <c r="V41" s="15">
        <v>63579.479748781421</v>
      </c>
      <c r="W41" s="15">
        <v>13409.648183870586</v>
      </c>
      <c r="X41" s="15">
        <v>102169.39080521683</v>
      </c>
      <c r="Y41" s="15">
        <v>4264813.9879248748</v>
      </c>
      <c r="Z41" s="15">
        <v>704199.17599319364</v>
      </c>
      <c r="AA41" s="15">
        <v>162449.86933341849</v>
      </c>
      <c r="AB41" s="15">
        <v>289100.83394047589</v>
      </c>
      <c r="AC41" s="15">
        <v>612001.28654757456</v>
      </c>
      <c r="AD41" s="15">
        <v>107177.76625760697</v>
      </c>
      <c r="AE41" s="15">
        <v>350455.57799263956</v>
      </c>
      <c r="AF41" s="15">
        <v>87481.567926844669</v>
      </c>
      <c r="AG41" s="15">
        <v>173925.36776368358</v>
      </c>
      <c r="AH41" s="15">
        <v>56766.707201409816</v>
      </c>
      <c r="AI41" s="15">
        <v>92114.484097746288</v>
      </c>
      <c r="AJ41" s="15">
        <v>15636.159215516598</v>
      </c>
      <c r="AK41" s="15">
        <v>10109.030587738369</v>
      </c>
      <c r="AL41" s="15">
        <v>63424.390764671225</v>
      </c>
      <c r="AM41" s="15">
        <v>0</v>
      </c>
      <c r="AN41" s="15">
        <v>15094642.852405095</v>
      </c>
      <c r="AO41" s="15">
        <v>8170481.2267370569</v>
      </c>
      <c r="AP41" s="15">
        <v>1464780.4831030918</v>
      </c>
      <c r="AQ41" s="15">
        <v>7778027.2440404966</v>
      </c>
      <c r="AR41" s="15">
        <v>554047.64311432641</v>
      </c>
      <c r="AS41" s="15">
        <v>75902500.00000003</v>
      </c>
      <c r="AT41" s="15">
        <v>93869836.596994936</v>
      </c>
      <c r="AU41" s="15">
        <v>108964479.44940007</v>
      </c>
      <c r="AV41" s="15">
        <v>0</v>
      </c>
      <c r="AW41" s="15">
        <v>0</v>
      </c>
      <c r="AX41" s="15">
        <v>108964481.69227438</v>
      </c>
      <c r="AY41" s="15">
        <v>108964481.69227438</v>
      </c>
    </row>
    <row r="42" spans="1:51" x14ac:dyDescent="0.25">
      <c r="A42" s="14">
        <v>200</v>
      </c>
      <c r="B42" t="s">
        <v>38</v>
      </c>
      <c r="C42" s="1">
        <v>6375.1343488136663</v>
      </c>
      <c r="D42" s="1">
        <v>11540.118714474542</v>
      </c>
      <c r="E42" s="1">
        <v>10875.423494887647</v>
      </c>
      <c r="F42" s="1">
        <v>9124.2823277463249</v>
      </c>
      <c r="G42" s="1">
        <v>79067.804380674948</v>
      </c>
      <c r="H42" s="1">
        <v>105169.74593044323</v>
      </c>
      <c r="I42" s="1">
        <v>4449.6054511252114</v>
      </c>
      <c r="J42" s="1">
        <v>43175.096273890827</v>
      </c>
      <c r="K42" s="1">
        <v>1969942.5288724089</v>
      </c>
      <c r="L42" s="1">
        <v>249336.83848672989</v>
      </c>
      <c r="M42" s="1">
        <v>16057.577109359299</v>
      </c>
      <c r="N42" s="1">
        <v>5915085.8453139784</v>
      </c>
      <c r="O42" s="1">
        <v>83919.170884711435</v>
      </c>
      <c r="P42" s="1">
        <v>6261.0816540901715</v>
      </c>
      <c r="Q42" s="1">
        <v>273719.15523501532</v>
      </c>
      <c r="R42" s="1">
        <v>63567.526295167278</v>
      </c>
      <c r="S42" s="1">
        <v>431931.72065951297</v>
      </c>
      <c r="T42" s="1">
        <v>11657.926583507542</v>
      </c>
      <c r="U42" s="1">
        <v>0</v>
      </c>
      <c r="V42" s="1">
        <v>38246.087801815156</v>
      </c>
      <c r="W42" s="1">
        <v>5108.4573361294224</v>
      </c>
      <c r="X42" s="1">
        <v>25612.963508476038</v>
      </c>
      <c r="Y42" s="1">
        <v>931542.65426274762</v>
      </c>
      <c r="Z42" s="1">
        <v>360443.69091827632</v>
      </c>
      <c r="AA42" s="1">
        <v>53134.167501360294</v>
      </c>
      <c r="AB42" s="1">
        <v>107279.53408890637</v>
      </c>
      <c r="AC42" s="1">
        <v>241774.62760185217</v>
      </c>
      <c r="AD42" s="1">
        <v>38354.271718345146</v>
      </c>
      <c r="AE42" s="1">
        <v>91122.841646927351</v>
      </c>
      <c r="AF42" s="1">
        <v>35905.205504079917</v>
      </c>
      <c r="AG42" s="1">
        <v>74674.787858901924</v>
      </c>
      <c r="AH42" s="1">
        <v>26621.637278051297</v>
      </c>
      <c r="AI42" s="1">
        <v>40944.635902253853</v>
      </c>
      <c r="AJ42" s="1">
        <v>7180.5857788617013</v>
      </c>
      <c r="AK42" s="1">
        <v>5662.6310488303116</v>
      </c>
      <c r="AL42" s="1">
        <v>47921.886615851639</v>
      </c>
      <c r="AM42" s="1">
        <v>0</v>
      </c>
      <c r="AN42" s="15">
        <v>11422787.248388203</v>
      </c>
      <c r="AO42" s="1">
        <v>4737110.7732629394</v>
      </c>
      <c r="AP42" s="1">
        <v>134304.51689690817</v>
      </c>
      <c r="AQ42" s="1">
        <v>714030.75595950335</v>
      </c>
      <c r="AR42" s="1">
        <v>181816.35688567371</v>
      </c>
      <c r="AS42" s="1">
        <v>0</v>
      </c>
      <c r="AT42" s="19">
        <v>5767262.4030050635</v>
      </c>
      <c r="AU42" s="15">
        <v>17190049.65139322</v>
      </c>
      <c r="AV42" s="1">
        <v>17190050.000000007</v>
      </c>
      <c r="AW42" s="1">
        <v>0</v>
      </c>
      <c r="AX42" s="1">
        <v>0</v>
      </c>
      <c r="AY42" s="15">
        <v>17190049.999999985</v>
      </c>
    </row>
    <row r="43" spans="1:51" x14ac:dyDescent="0.25">
      <c r="A43" s="14">
        <v>201</v>
      </c>
      <c r="B43" t="s">
        <v>39</v>
      </c>
      <c r="C43" s="1">
        <v>43827.571537521988</v>
      </c>
      <c r="D43" s="1">
        <v>96218.371971724991</v>
      </c>
      <c r="E43" s="1">
        <v>108838.05958163014</v>
      </c>
      <c r="F43" s="1">
        <v>28683.352825530896</v>
      </c>
      <c r="G43" s="1">
        <v>150587.9045812969</v>
      </c>
      <c r="H43" s="1">
        <v>583746.17954245664</v>
      </c>
      <c r="I43" s="1">
        <v>68425.70843892172</v>
      </c>
      <c r="J43" s="1">
        <v>188402.61252169011</v>
      </c>
      <c r="K43" s="1">
        <v>3444239.8211389882</v>
      </c>
      <c r="L43" s="1">
        <v>1535780.0767609996</v>
      </c>
      <c r="M43" s="1">
        <v>81656.38721764872</v>
      </c>
      <c r="N43" s="1">
        <v>8210080.8976400942</v>
      </c>
      <c r="O43" s="1">
        <v>125181.95052094288</v>
      </c>
      <c r="P43" s="1">
        <v>8584.6434402867926</v>
      </c>
      <c r="Q43" s="1">
        <v>883680.57120231248</v>
      </c>
      <c r="R43" s="1">
        <v>79445.761698320974</v>
      </c>
      <c r="S43" s="1">
        <v>195761.07230249158</v>
      </c>
      <c r="T43" s="1">
        <v>15548.703240826839</v>
      </c>
      <c r="U43" s="1">
        <v>0</v>
      </c>
      <c r="V43" s="1">
        <v>21629.82187864785</v>
      </c>
      <c r="W43" s="1">
        <v>10336.608310068954</v>
      </c>
      <c r="X43" s="1">
        <v>39505.774057591298</v>
      </c>
      <c r="Y43" s="1">
        <v>733162.16152640025</v>
      </c>
      <c r="Z43" s="1">
        <v>1260828.9543961755</v>
      </c>
      <c r="AA43" s="1">
        <v>224651.47046505261</v>
      </c>
      <c r="AB43" s="1">
        <v>214212.29033204776</v>
      </c>
      <c r="AC43" s="1">
        <v>309112.82420382235</v>
      </c>
      <c r="AD43" s="1">
        <v>76972.273753775109</v>
      </c>
      <c r="AE43" s="1">
        <v>403021.93055990792</v>
      </c>
      <c r="AF43" s="1">
        <v>72632.417255170833</v>
      </c>
      <c r="AG43" s="1">
        <v>257266.4154919438</v>
      </c>
      <c r="AH43" s="1">
        <v>74857.593197547772</v>
      </c>
      <c r="AI43" s="1">
        <v>866298.29663168662</v>
      </c>
      <c r="AJ43" s="1">
        <v>44088.741320334331</v>
      </c>
      <c r="AK43" s="1">
        <v>5217.476466824307</v>
      </c>
      <c r="AL43" s="1">
        <v>81310.971312669033</v>
      </c>
      <c r="AM43" s="1">
        <v>0</v>
      </c>
      <c r="AN43" s="15">
        <v>20543795.667323347</v>
      </c>
    </row>
    <row r="44" spans="1:51" x14ac:dyDescent="0.25">
      <c r="A44" s="14">
        <v>202</v>
      </c>
      <c r="B44" t="s">
        <v>40</v>
      </c>
      <c r="C44" s="1">
        <v>210917.43855852279</v>
      </c>
      <c r="D44" s="1">
        <v>396728.6230597531</v>
      </c>
      <c r="E44" s="1">
        <v>193103.31746666713</v>
      </c>
      <c r="F44" s="1">
        <v>86900.230590918276</v>
      </c>
      <c r="G44" s="1">
        <v>257878.95091812973</v>
      </c>
      <c r="H44" s="1">
        <v>1921935.7231629542</v>
      </c>
      <c r="I44" s="1">
        <v>231785.94541881952</v>
      </c>
      <c r="J44" s="1">
        <v>728117.52584888146</v>
      </c>
      <c r="K44" s="1">
        <v>16211991.281585362</v>
      </c>
      <c r="L44" s="1">
        <v>4379415.7000032095</v>
      </c>
      <c r="M44" s="1">
        <v>247690.23395273881</v>
      </c>
      <c r="N44" s="1">
        <v>25068300.681319047</v>
      </c>
      <c r="O44" s="1">
        <v>295527.70841485308</v>
      </c>
      <c r="P44" s="1">
        <v>14795.131497320232</v>
      </c>
      <c r="Q44" s="1">
        <v>1528671.1582021203</v>
      </c>
      <c r="R44" s="1">
        <v>141503.09503970091</v>
      </c>
      <c r="S44" s="1">
        <v>1010736.2902186249</v>
      </c>
      <c r="T44" s="1">
        <v>28596.930144683909</v>
      </c>
      <c r="U44" s="1">
        <v>0</v>
      </c>
      <c r="V44" s="1">
        <v>44786.399102957039</v>
      </c>
      <c r="W44" s="1">
        <v>14599.35564316343</v>
      </c>
      <c r="X44" s="1">
        <v>260213.34483228534</v>
      </c>
      <c r="Y44" s="1">
        <v>953820.54859558051</v>
      </c>
      <c r="Z44" s="1">
        <v>2726764.1264996007</v>
      </c>
      <c r="AA44" s="1">
        <v>311098.60260871239</v>
      </c>
      <c r="AB44" s="1">
        <v>133351.30994117231</v>
      </c>
      <c r="AC44" s="1">
        <v>252061.26967911242</v>
      </c>
      <c r="AD44" s="1">
        <v>34745.45381776194</v>
      </c>
      <c r="AE44" s="1">
        <v>359414.53455040028</v>
      </c>
      <c r="AF44" s="1">
        <v>222820.76032281283</v>
      </c>
      <c r="AG44" s="1">
        <v>826591.95080337021</v>
      </c>
      <c r="AH44" s="1">
        <v>262411.18880088354</v>
      </c>
      <c r="AI44" s="1">
        <v>0</v>
      </c>
      <c r="AJ44" s="1">
        <v>19239.602316115339</v>
      </c>
      <c r="AK44" s="1">
        <v>6919.425301906952</v>
      </c>
      <c r="AL44" s="1">
        <v>91523.382834154341</v>
      </c>
      <c r="AM44" s="1">
        <v>0</v>
      </c>
      <c r="AN44" s="15">
        <v>59474957.221052289</v>
      </c>
    </row>
    <row r="45" spans="1:51" x14ac:dyDescent="0.25">
      <c r="A45" s="14">
        <v>203</v>
      </c>
      <c r="B45" t="s">
        <v>41</v>
      </c>
      <c r="C45" s="1">
        <v>7461.7078460834455</v>
      </c>
      <c r="D45" s="1">
        <v>3213.9259102735082</v>
      </c>
      <c r="E45" s="1">
        <v>15066.102570757224</v>
      </c>
      <c r="F45" s="1">
        <v>2773.0015182659276</v>
      </c>
      <c r="G45" s="1">
        <v>11339.781212655564</v>
      </c>
      <c r="H45" s="1">
        <v>161034.32715985616</v>
      </c>
      <c r="I45" s="1">
        <v>8431.9552467811191</v>
      </c>
      <c r="J45" s="1">
        <v>38465.59327833249</v>
      </c>
      <c r="K45" s="1">
        <v>1219533.9700278251</v>
      </c>
      <c r="L45" s="1">
        <v>371345.58629963879</v>
      </c>
      <c r="M45" s="1">
        <v>26435.207335590429</v>
      </c>
      <c r="N45" s="1">
        <v>2254860.9898953564</v>
      </c>
      <c r="O45" s="1">
        <v>63916.904090461729</v>
      </c>
      <c r="P45" s="1">
        <v>2543.2877793754487</v>
      </c>
      <c r="Q45" s="1">
        <v>307747.93257970444</v>
      </c>
      <c r="R45" s="1">
        <v>22520.798763648094</v>
      </c>
      <c r="S45" s="1">
        <v>61265.982322691278</v>
      </c>
      <c r="T45" s="1">
        <v>6274.2155107219287</v>
      </c>
      <c r="U45" s="1">
        <v>0</v>
      </c>
      <c r="V45" s="1">
        <v>7850.0261618642708</v>
      </c>
      <c r="W45" s="1">
        <v>1280.4347414295153</v>
      </c>
      <c r="X45" s="1">
        <v>24019.230439578048</v>
      </c>
      <c r="Y45" s="1">
        <v>225217.82736073155</v>
      </c>
      <c r="Z45" s="1">
        <v>411518.95081958309</v>
      </c>
      <c r="AA45" s="1">
        <v>65179.460317949874</v>
      </c>
      <c r="AB45" s="1">
        <v>79113.588782141887</v>
      </c>
      <c r="AC45" s="1">
        <v>174949.64917521455</v>
      </c>
      <c r="AD45" s="1">
        <v>37272.664814991564</v>
      </c>
      <c r="AE45" s="1">
        <v>216518.18634101853</v>
      </c>
      <c r="AF45" s="1">
        <v>85498.517242236267</v>
      </c>
      <c r="AG45" s="1">
        <v>36705.883736909076</v>
      </c>
      <c r="AH45" s="1">
        <v>36374.026967597063</v>
      </c>
      <c r="AI45" s="1">
        <v>242527.70336831329</v>
      </c>
      <c r="AJ45" s="1">
        <v>6447.4366945784577</v>
      </c>
      <c r="AK45" s="1">
        <v>1626.1247838156212</v>
      </c>
      <c r="AL45" s="1">
        <v>13480.315914691988</v>
      </c>
      <c r="AM45" s="1">
        <v>0</v>
      </c>
      <c r="AN45" s="15">
        <v>6249811.2970106639</v>
      </c>
    </row>
    <row r="46" spans="1:51" x14ac:dyDescent="0.25">
      <c r="A46" s="14">
        <v>204</v>
      </c>
      <c r="B46" t="s">
        <v>42</v>
      </c>
      <c r="C46" s="1">
        <v>4274.5990838672933</v>
      </c>
      <c r="D46" s="1">
        <v>5459.9869358232954</v>
      </c>
      <c r="E46" s="1">
        <v>6010.0200384096288</v>
      </c>
      <c r="F46" s="1">
        <v>2162.5708995165533</v>
      </c>
      <c r="G46" s="1">
        <v>5755.7059908253023</v>
      </c>
      <c r="H46" s="1">
        <v>72683.965705640352</v>
      </c>
      <c r="I46" s="1">
        <v>3776.1922567255647</v>
      </c>
      <c r="J46" s="1">
        <v>13811.800153581116</v>
      </c>
      <c r="K46" s="1">
        <v>892962.70064530498</v>
      </c>
      <c r="L46" s="1">
        <v>254079.84234688253</v>
      </c>
      <c r="M46" s="1">
        <v>13005.321578127583</v>
      </c>
      <c r="N46" s="1">
        <v>303740.13319793215</v>
      </c>
      <c r="O46" s="1">
        <v>62361.529131442752</v>
      </c>
      <c r="P46" s="1">
        <v>395.91968982067249</v>
      </c>
      <c r="Q46" s="1">
        <v>93540.90258830128</v>
      </c>
      <c r="R46" s="1">
        <v>12007.427346269198</v>
      </c>
      <c r="S46" s="1">
        <v>53330.455572906649</v>
      </c>
      <c r="T46" s="1">
        <v>3321.8274590817969</v>
      </c>
      <c r="U46" s="1">
        <v>0</v>
      </c>
      <c r="V46" s="1">
        <v>2294.3299622425125</v>
      </c>
      <c r="W46" s="1">
        <v>1096.4413053381011</v>
      </c>
      <c r="X46" s="1">
        <v>1536.6012277337604</v>
      </c>
      <c r="Y46" s="1">
        <v>66499.140163794815</v>
      </c>
      <c r="Z46" s="1">
        <v>229769.99833451115</v>
      </c>
      <c r="AA46" s="1">
        <v>23951.732796050295</v>
      </c>
      <c r="AB46" s="1">
        <v>30508.933239196544</v>
      </c>
      <c r="AC46" s="1">
        <v>33043.747166559624</v>
      </c>
      <c r="AD46" s="1">
        <v>14528.751406676081</v>
      </c>
      <c r="AE46" s="1">
        <v>47971.905849991934</v>
      </c>
      <c r="AF46" s="1">
        <v>4631.9721514191788</v>
      </c>
      <c r="AG46" s="1">
        <v>9436.4573431657755</v>
      </c>
      <c r="AH46" s="1">
        <v>23444.545698072088</v>
      </c>
      <c r="AI46" s="1">
        <v>0</v>
      </c>
      <c r="AJ46" s="1">
        <v>1526.5477764040374</v>
      </c>
      <c r="AK46" s="1">
        <v>445.67762454202261</v>
      </c>
      <c r="AL46" s="1">
        <v>10063.244189847797</v>
      </c>
      <c r="AM46" s="1">
        <v>0</v>
      </c>
      <c r="AN46" s="15">
        <v>2303430.9268560037</v>
      </c>
    </row>
    <row r="47" spans="1:51" x14ac:dyDescent="0.25">
      <c r="A47" s="14">
        <v>205</v>
      </c>
      <c r="B47" t="s">
        <v>43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-5379618.5962659651</v>
      </c>
      <c r="O47" s="1">
        <v>0</v>
      </c>
      <c r="P47" s="1">
        <v>0</v>
      </c>
      <c r="Q47" s="1">
        <v>0</v>
      </c>
      <c r="R47" s="1">
        <v>0</v>
      </c>
      <c r="S47" s="1">
        <v>-586867.66886460828</v>
      </c>
      <c r="T47" s="1">
        <v>0</v>
      </c>
      <c r="U47" s="1">
        <v>0</v>
      </c>
      <c r="V47" s="1">
        <v>0</v>
      </c>
      <c r="W47" s="1">
        <v>0</v>
      </c>
      <c r="X47" s="1">
        <v>-158457.25563069648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5">
        <v>-6124943.5207612701</v>
      </c>
    </row>
    <row r="48" spans="1:51" x14ac:dyDescent="0.25">
      <c r="A48" s="14">
        <v>209</v>
      </c>
      <c r="B48" s="17" t="s">
        <v>44</v>
      </c>
      <c r="C48" s="19">
        <v>266481.31702599546</v>
      </c>
      <c r="D48" s="19">
        <v>501620.90787757491</v>
      </c>
      <c r="E48" s="19">
        <v>323017.4996574641</v>
      </c>
      <c r="F48" s="19">
        <v>120519.15583423164</v>
      </c>
      <c r="G48" s="19">
        <v>425562.34270290745</v>
      </c>
      <c r="H48" s="19">
        <v>2739400.1955709071</v>
      </c>
      <c r="I48" s="19">
        <v>312419.80136124796</v>
      </c>
      <c r="J48" s="19">
        <v>968797.53180248511</v>
      </c>
      <c r="K48" s="19">
        <v>21768727.773397483</v>
      </c>
      <c r="L48" s="19">
        <v>6540621.205410731</v>
      </c>
      <c r="M48" s="19">
        <v>368787.15008410555</v>
      </c>
      <c r="N48" s="19">
        <v>30457364.105786465</v>
      </c>
      <c r="O48" s="19">
        <v>546988.09215770045</v>
      </c>
      <c r="P48" s="19">
        <v>26318.982406803145</v>
      </c>
      <c r="Q48" s="19">
        <v>2813640.5645724386</v>
      </c>
      <c r="R48" s="19">
        <v>255477.08284793916</v>
      </c>
      <c r="S48" s="19">
        <v>734226.131552106</v>
      </c>
      <c r="T48" s="19">
        <v>53741.676355314477</v>
      </c>
      <c r="U48" s="19">
        <v>0</v>
      </c>
      <c r="V48" s="19">
        <v>76560.577105711665</v>
      </c>
      <c r="W48" s="19">
        <v>27312.84</v>
      </c>
      <c r="X48" s="19">
        <v>166817.694926492</v>
      </c>
      <c r="Y48" s="19">
        <v>1978699.6776465073</v>
      </c>
      <c r="Z48" s="19">
        <v>4628882.0300498698</v>
      </c>
      <c r="AA48" s="19">
        <v>624881.26618776517</v>
      </c>
      <c r="AB48" s="19">
        <v>457186.12229455856</v>
      </c>
      <c r="AC48" s="19">
        <v>769167.49022470904</v>
      </c>
      <c r="AD48" s="19">
        <v>163519.14379320468</v>
      </c>
      <c r="AE48" s="19">
        <v>1026926.5573013187</v>
      </c>
      <c r="AF48" s="19">
        <v>385583.66697163909</v>
      </c>
      <c r="AG48" s="19">
        <v>1130000.7073753888</v>
      </c>
      <c r="AH48" s="19">
        <v>397087.35466410045</v>
      </c>
      <c r="AI48" s="19">
        <v>1108826</v>
      </c>
      <c r="AJ48" s="19">
        <v>71302.328107432171</v>
      </c>
      <c r="AK48" s="19">
        <v>14208.704177088903</v>
      </c>
      <c r="AL48" s="19">
        <v>196377.91425136314</v>
      </c>
      <c r="AM48" s="19">
        <v>0</v>
      </c>
      <c r="AN48" s="15">
        <v>82447051.591481045</v>
      </c>
    </row>
    <row r="49" spans="1:40" x14ac:dyDescent="0.25">
      <c r="A49" s="14">
        <v>210</v>
      </c>
      <c r="B49" s="13" t="s">
        <v>45</v>
      </c>
      <c r="C49" s="15">
        <v>295794.26189885498</v>
      </c>
      <c r="D49" s="15">
        <v>546766.78958655661</v>
      </c>
      <c r="E49" s="15">
        <v>394081.34958210622</v>
      </c>
      <c r="F49" s="15">
        <v>149443.75323444724</v>
      </c>
      <c r="G49" s="15">
        <v>570253.53922189598</v>
      </c>
      <c r="H49" s="15">
        <v>3205098.2288179612</v>
      </c>
      <c r="I49" s="15">
        <v>340537.5834837603</v>
      </c>
      <c r="J49" s="15">
        <v>1104429.1862548329</v>
      </c>
      <c r="K49" s="15">
        <v>24598662.383939154</v>
      </c>
      <c r="L49" s="15">
        <v>7861826.6889036978</v>
      </c>
      <c r="M49" s="15">
        <v>418389.02177041781</v>
      </c>
      <c r="N49" s="15">
        <v>37867640.792724319</v>
      </c>
      <c r="O49" s="15">
        <v>1282140.0880176499</v>
      </c>
      <c r="P49" s="15">
        <v>37715.101788948909</v>
      </c>
      <c r="Q49" s="15">
        <v>5661044.8159197476</v>
      </c>
      <c r="R49" s="15">
        <v>450917.05122661253</v>
      </c>
      <c r="S49" s="15">
        <v>1549217.1375749439</v>
      </c>
      <c r="T49" s="15">
        <v>106838.45259436517</v>
      </c>
      <c r="U49" s="15">
        <v>0</v>
      </c>
      <c r="V49" s="15">
        <v>178386.14465630823</v>
      </c>
      <c r="W49" s="15">
        <v>45830.945520000008</v>
      </c>
      <c r="X49" s="15">
        <v>294600.04924018483</v>
      </c>
      <c r="Y49" s="15">
        <v>7175056.3198341299</v>
      </c>
      <c r="Z49" s="15">
        <v>5693524.8969613397</v>
      </c>
      <c r="AA49" s="15">
        <v>840465.3030225439</v>
      </c>
      <c r="AB49" s="15">
        <v>853566.49032394076</v>
      </c>
      <c r="AC49" s="15">
        <v>1622943.4043741357</v>
      </c>
      <c r="AD49" s="15">
        <v>309051.18176915683</v>
      </c>
      <c r="AE49" s="15">
        <v>1468504.9769408857</v>
      </c>
      <c r="AF49" s="15">
        <v>508970.44040256366</v>
      </c>
      <c r="AG49" s="15">
        <v>1378600.8629979745</v>
      </c>
      <c r="AH49" s="15">
        <v>480475.69914356153</v>
      </c>
      <c r="AI49" s="15">
        <v>1241885.1200000001</v>
      </c>
      <c r="AJ49" s="15">
        <v>94119.073101810471</v>
      </c>
      <c r="AK49" s="15">
        <v>29980.365813657583</v>
      </c>
      <c r="AL49" s="15">
        <v>307724.191631886</v>
      </c>
      <c r="AM49" s="15">
        <v>0</v>
      </c>
      <c r="AN49" s="15">
        <v>97541694.443886146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56"/>
  <sheetViews>
    <sheetView workbookViewId="0">
      <selection activeCell="B2" sqref="B2"/>
    </sheetView>
  </sheetViews>
  <sheetFormatPr defaultRowHeight="15" x14ac:dyDescent="0.25"/>
  <cols>
    <col min="2" max="2" width="39.42578125" customWidth="1"/>
    <col min="3" max="39" width="13.28515625" customWidth="1"/>
    <col min="40" max="40" width="13.85546875" bestFit="1" customWidth="1"/>
    <col min="41" max="41" width="15.85546875" bestFit="1" customWidth="1"/>
    <col min="42" max="42" width="14.85546875" bestFit="1" customWidth="1"/>
    <col min="43" max="43" width="15.85546875" bestFit="1" customWidth="1"/>
    <col min="44" max="44" width="14.85546875" bestFit="1" customWidth="1"/>
    <col min="45" max="45" width="16.85546875" bestFit="1" customWidth="1"/>
    <col min="46" max="47" width="13.85546875" bestFit="1" customWidth="1"/>
    <col min="48" max="48" width="13.85546875" customWidth="1"/>
    <col min="49" max="49" width="13.28515625" customWidth="1"/>
    <col min="50" max="50" width="13.85546875" bestFit="1" customWidth="1"/>
    <col min="51" max="51" width="14" customWidth="1"/>
  </cols>
  <sheetData>
    <row r="1" spans="1:53" x14ac:dyDescent="0.25">
      <c r="B1" t="s">
        <v>50</v>
      </c>
    </row>
    <row r="2" spans="1:53" x14ac:dyDescent="0.25">
      <c r="B2" t="s">
        <v>49</v>
      </c>
    </row>
    <row r="3" spans="1:53" ht="26.25" customHeight="1" x14ac:dyDescent="0.25">
      <c r="A3" s="7" t="s">
        <v>46</v>
      </c>
      <c r="B3" s="8" t="s">
        <v>47</v>
      </c>
      <c r="C3" s="9">
        <v>1</v>
      </c>
      <c r="D3" s="9">
        <v>2</v>
      </c>
      <c r="E3" s="9">
        <v>3</v>
      </c>
      <c r="F3" s="9">
        <v>4</v>
      </c>
      <c r="G3" s="9">
        <v>5</v>
      </c>
      <c r="H3" s="9">
        <v>6</v>
      </c>
      <c r="I3" s="9">
        <v>7</v>
      </c>
      <c r="J3" s="9">
        <v>8</v>
      </c>
      <c r="K3" s="9">
        <v>9</v>
      </c>
      <c r="L3" s="9">
        <v>10</v>
      </c>
      <c r="M3" s="9">
        <v>11</v>
      </c>
      <c r="N3" s="9">
        <v>12</v>
      </c>
      <c r="O3" s="9">
        <v>13</v>
      </c>
      <c r="P3" s="9">
        <v>14</v>
      </c>
      <c r="Q3" s="9">
        <v>15</v>
      </c>
      <c r="R3" s="9">
        <v>16</v>
      </c>
      <c r="S3" s="9">
        <v>17</v>
      </c>
      <c r="T3" s="9">
        <v>18</v>
      </c>
      <c r="U3" s="9">
        <v>19</v>
      </c>
      <c r="V3" s="9">
        <v>20</v>
      </c>
      <c r="W3" s="9">
        <v>21</v>
      </c>
      <c r="X3" s="9">
        <v>22</v>
      </c>
      <c r="Y3" s="9">
        <v>23</v>
      </c>
      <c r="Z3" s="9">
        <v>24</v>
      </c>
      <c r="AA3" s="9">
        <v>25</v>
      </c>
      <c r="AB3" s="9">
        <v>26</v>
      </c>
      <c r="AC3" s="9">
        <v>27</v>
      </c>
      <c r="AD3" s="9">
        <v>28</v>
      </c>
      <c r="AE3" s="9">
        <v>29</v>
      </c>
      <c r="AF3" s="9">
        <v>30</v>
      </c>
      <c r="AG3" s="9">
        <v>31</v>
      </c>
      <c r="AH3" s="9">
        <v>32</v>
      </c>
      <c r="AI3" s="9">
        <v>33</v>
      </c>
      <c r="AJ3" s="9">
        <v>34</v>
      </c>
      <c r="AK3" s="9">
        <v>35</v>
      </c>
      <c r="AL3" s="9">
        <v>36</v>
      </c>
      <c r="AM3" s="9">
        <v>37</v>
      </c>
      <c r="AN3" s="10">
        <v>180</v>
      </c>
      <c r="AO3" s="11">
        <v>301</v>
      </c>
      <c r="AP3" s="9">
        <v>302</v>
      </c>
      <c r="AQ3" s="9">
        <v>303</v>
      </c>
      <c r="AR3" s="9">
        <v>304</v>
      </c>
      <c r="AS3" s="9">
        <v>305</v>
      </c>
      <c r="AT3" s="10">
        <v>309</v>
      </c>
      <c r="AU3" s="10">
        <v>310</v>
      </c>
      <c r="AV3" s="11">
        <v>409</v>
      </c>
      <c r="AW3" s="9">
        <v>509</v>
      </c>
      <c r="AX3" s="11">
        <v>600</v>
      </c>
      <c r="AY3" s="12">
        <v>700</v>
      </c>
    </row>
    <row r="4" spans="1:53" x14ac:dyDescent="0.25">
      <c r="A4" s="14">
        <v>1</v>
      </c>
      <c r="B4" t="s">
        <v>0</v>
      </c>
      <c r="C4" s="1">
        <v>78362.259108462924</v>
      </c>
      <c r="D4" s="1">
        <v>1347.4772977571431</v>
      </c>
      <c r="E4" s="1">
        <v>0</v>
      </c>
      <c r="F4" s="1">
        <v>0</v>
      </c>
      <c r="G4" s="1">
        <v>15477.508914231048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662066.20663185802</v>
      </c>
      <c r="P4" s="1">
        <v>0</v>
      </c>
      <c r="Q4" s="1">
        <v>0</v>
      </c>
      <c r="R4" s="1">
        <v>2755.920355508687</v>
      </c>
      <c r="S4" s="1">
        <v>3069.0002770771976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30.972926695398847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69.489570227311859</v>
      </c>
      <c r="AJ4" s="1">
        <v>0</v>
      </c>
      <c r="AK4" s="1">
        <v>9.1777508746351355</v>
      </c>
      <c r="AL4" s="1">
        <v>0</v>
      </c>
      <c r="AM4" s="1">
        <v>0</v>
      </c>
      <c r="AN4" s="15">
        <f>SUM(C4:AM4)</f>
        <v>763188.01283269236</v>
      </c>
      <c r="AO4" s="1">
        <v>0</v>
      </c>
      <c r="AP4" s="1">
        <v>0</v>
      </c>
      <c r="AQ4" s="1">
        <v>0</v>
      </c>
      <c r="AR4" s="1">
        <v>-2726.3529469466503</v>
      </c>
      <c r="AS4" s="1">
        <v>0</v>
      </c>
      <c r="AT4" s="1">
        <f>SUM(AO4:AS4)</f>
        <v>-2726.3529469466503</v>
      </c>
      <c r="AU4" s="15">
        <f>+AT4+AN4</f>
        <v>760461.65988574573</v>
      </c>
      <c r="AV4" s="1">
        <v>0</v>
      </c>
      <c r="AW4" s="1">
        <v>0</v>
      </c>
      <c r="AX4" s="2">
        <v>760461.65701614413</v>
      </c>
      <c r="AY4" s="15">
        <f>SUM(AV4:AX4)</f>
        <v>760461.65701614413</v>
      </c>
      <c r="BA4" s="1"/>
    </row>
    <row r="5" spans="1:53" x14ac:dyDescent="0.25">
      <c r="A5" s="14">
        <v>2</v>
      </c>
      <c r="B5" t="s">
        <v>1</v>
      </c>
      <c r="C5" s="1">
        <v>0</v>
      </c>
      <c r="D5" s="1">
        <v>38136.433321983568</v>
      </c>
      <c r="E5" s="1">
        <v>0</v>
      </c>
      <c r="F5" s="1">
        <v>0</v>
      </c>
      <c r="G5" s="1">
        <v>9151.0072775766912</v>
      </c>
      <c r="H5" s="1">
        <v>8799.3656060645644</v>
      </c>
      <c r="I5" s="1">
        <v>0</v>
      </c>
      <c r="J5" s="1">
        <v>4572.0692830666167</v>
      </c>
      <c r="K5" s="1">
        <v>0</v>
      </c>
      <c r="L5" s="1">
        <v>0</v>
      </c>
      <c r="M5" s="1">
        <v>0</v>
      </c>
      <c r="N5" s="1">
        <v>3.0765024532474885</v>
      </c>
      <c r="O5" s="1">
        <v>47108.893910648512</v>
      </c>
      <c r="P5" s="1">
        <v>0.28824225713191598</v>
      </c>
      <c r="Q5" s="1">
        <v>0.33103711189634255</v>
      </c>
      <c r="R5" s="1">
        <v>0</v>
      </c>
      <c r="S5" s="1">
        <v>3154.0757011013798</v>
      </c>
      <c r="T5" s="1">
        <v>0</v>
      </c>
      <c r="U5" s="1">
        <v>0</v>
      </c>
      <c r="V5" s="1">
        <v>0</v>
      </c>
      <c r="W5" s="1">
        <v>64.320436099118012</v>
      </c>
      <c r="X5" s="1">
        <v>0</v>
      </c>
      <c r="Y5" s="1">
        <v>0</v>
      </c>
      <c r="Z5" s="1">
        <v>0</v>
      </c>
      <c r="AA5" s="1">
        <v>87505.718864484807</v>
      </c>
      <c r="AB5" s="1">
        <v>0</v>
      </c>
      <c r="AC5" s="1">
        <v>13894.588918445354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272.31733449627666</v>
      </c>
      <c r="AJ5" s="1">
        <v>12975.59168678278</v>
      </c>
      <c r="AK5" s="1">
        <v>1575.389860464772</v>
      </c>
      <c r="AL5" s="1">
        <v>0</v>
      </c>
      <c r="AM5" s="1">
        <v>0</v>
      </c>
      <c r="AN5" s="15">
        <f t="shared" ref="AN5:AN47" si="0">SUM(C5:AM5)</f>
        <v>227213.46798303668</v>
      </c>
      <c r="AO5" s="1">
        <v>668348.82338075584</v>
      </c>
      <c r="AP5" s="1">
        <v>0</v>
      </c>
      <c r="AQ5" s="1">
        <v>0</v>
      </c>
      <c r="AR5" s="1">
        <v>11387.608949301361</v>
      </c>
      <c r="AS5" s="1">
        <f>526416.181630764+2159.66</f>
        <v>528575.84163076407</v>
      </c>
      <c r="AT5" s="1">
        <f t="shared" ref="AT5:AT42" si="1">SUM(AO5:AS5)</f>
        <v>1208312.2739608213</v>
      </c>
      <c r="AU5" s="15">
        <f t="shared" ref="AU5:AU42" si="2">+AT5+AN5</f>
        <v>1435525.7419438581</v>
      </c>
      <c r="AV5" s="1">
        <v>0</v>
      </c>
      <c r="AW5" s="1">
        <v>0</v>
      </c>
      <c r="AX5" s="2">
        <v>1435525.7387503579</v>
      </c>
      <c r="AY5" s="15">
        <f t="shared" ref="AY5:AY42" si="3">SUM(AV5:AX5)</f>
        <v>1435525.7387503579</v>
      </c>
      <c r="BA5" s="1"/>
    </row>
    <row r="6" spans="1:53" x14ac:dyDescent="0.25">
      <c r="A6" s="14">
        <v>3</v>
      </c>
      <c r="B6" t="s">
        <v>2</v>
      </c>
      <c r="C6" s="1">
        <v>0</v>
      </c>
      <c r="D6" s="1">
        <v>0</v>
      </c>
      <c r="E6" s="1">
        <v>129594.48021663548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712574.92264476418</v>
      </c>
      <c r="P6" s="1">
        <v>0</v>
      </c>
      <c r="Q6" s="1">
        <v>0</v>
      </c>
      <c r="R6" s="1">
        <v>0</v>
      </c>
      <c r="S6" s="1">
        <v>148766.7059180857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5">
        <f t="shared" si="0"/>
        <v>990936.10877948534</v>
      </c>
      <c r="AO6" s="1">
        <v>0</v>
      </c>
      <c r="AP6" s="1">
        <v>0</v>
      </c>
      <c r="AQ6" s="1">
        <v>16789.281944414655</v>
      </c>
      <c r="AR6" s="1">
        <v>7936.7571390586727</v>
      </c>
      <c r="AS6" s="1">
        <v>138415.2477422657</v>
      </c>
      <c r="AT6" s="1">
        <f t="shared" si="1"/>
        <v>163141.28682573902</v>
      </c>
      <c r="AU6" s="15">
        <f t="shared" si="2"/>
        <v>1154077.3956052244</v>
      </c>
      <c r="AV6" s="1">
        <v>0</v>
      </c>
      <c r="AW6" s="1">
        <v>0</v>
      </c>
      <c r="AX6" s="2">
        <v>1154077.3958995983</v>
      </c>
      <c r="AY6" s="15">
        <f t="shared" si="3"/>
        <v>1154077.3958995983</v>
      </c>
      <c r="BA6" s="1"/>
    </row>
    <row r="7" spans="1:53" x14ac:dyDescent="0.25">
      <c r="A7" s="14">
        <v>4</v>
      </c>
      <c r="B7" t="s">
        <v>3</v>
      </c>
      <c r="C7" s="1">
        <v>0</v>
      </c>
      <c r="D7" s="1">
        <v>0</v>
      </c>
      <c r="E7" s="1">
        <v>0</v>
      </c>
      <c r="F7" s="1">
        <v>26308.220316776951</v>
      </c>
      <c r="G7" s="1">
        <v>1656.9638408050782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90.446827593191557</v>
      </c>
      <c r="O7" s="1">
        <v>7605.9203029647651</v>
      </c>
      <c r="P7" s="1">
        <v>1486.5618112148127</v>
      </c>
      <c r="Q7" s="1">
        <v>8840.8787281716523</v>
      </c>
      <c r="R7" s="1">
        <v>2747.6070283158201</v>
      </c>
      <c r="S7" s="1">
        <v>26887.696576575261</v>
      </c>
      <c r="T7" s="1">
        <v>0</v>
      </c>
      <c r="U7" s="1">
        <v>0</v>
      </c>
      <c r="V7" s="1">
        <v>0</v>
      </c>
      <c r="W7" s="1">
        <v>4070.9306855198715</v>
      </c>
      <c r="X7" s="1">
        <v>0</v>
      </c>
      <c r="Y7" s="1">
        <v>0</v>
      </c>
      <c r="Z7" s="1">
        <v>0</v>
      </c>
      <c r="AA7" s="1">
        <v>5814.714979440163</v>
      </c>
      <c r="AB7" s="1">
        <v>0</v>
      </c>
      <c r="AC7" s="1">
        <v>153.86329502586773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618.27841791862625</v>
      </c>
      <c r="AK7" s="1">
        <v>166.78145124741431</v>
      </c>
      <c r="AL7" s="1">
        <v>255.74119944657275</v>
      </c>
      <c r="AM7" s="1">
        <v>0</v>
      </c>
      <c r="AN7" s="15">
        <f t="shared" si="0"/>
        <v>86704.605461016035</v>
      </c>
      <c r="AO7" s="1">
        <v>23086.072364591801</v>
      </c>
      <c r="AP7" s="1">
        <v>0</v>
      </c>
      <c r="AQ7" s="1">
        <v>3138.1922710685353</v>
      </c>
      <c r="AR7" s="1">
        <v>1068.12927818093</v>
      </c>
      <c r="AS7" s="1">
        <v>161180.84898680559</v>
      </c>
      <c r="AT7" s="1">
        <f t="shared" si="1"/>
        <v>188473.24290064687</v>
      </c>
      <c r="AU7" s="15">
        <f t="shared" si="2"/>
        <v>275177.84836166294</v>
      </c>
      <c r="AV7" s="1">
        <v>0</v>
      </c>
      <c r="AW7" s="1">
        <v>0</v>
      </c>
      <c r="AX7" s="2">
        <v>275177.84959293954</v>
      </c>
      <c r="AY7" s="15">
        <f t="shared" si="3"/>
        <v>275177.84959293954</v>
      </c>
      <c r="BA7" s="1"/>
    </row>
    <row r="8" spans="1:53" x14ac:dyDescent="0.25">
      <c r="A8" s="14">
        <v>5</v>
      </c>
      <c r="B8" t="s">
        <v>4</v>
      </c>
      <c r="C8" s="1">
        <v>747.98613138833957</v>
      </c>
      <c r="D8" s="1">
        <v>20637.026062460489</v>
      </c>
      <c r="E8" s="1">
        <v>2519.7716514048693</v>
      </c>
      <c r="F8" s="1">
        <v>691.48289812229689</v>
      </c>
      <c r="G8" s="1">
        <v>43852.372674961371</v>
      </c>
      <c r="H8" s="1">
        <v>0</v>
      </c>
      <c r="I8" s="1">
        <v>0</v>
      </c>
      <c r="J8" s="1">
        <v>206.45780844044572</v>
      </c>
      <c r="K8" s="1">
        <v>0</v>
      </c>
      <c r="L8" s="1">
        <v>0</v>
      </c>
      <c r="M8" s="1">
        <v>0</v>
      </c>
      <c r="N8" s="1">
        <v>0</v>
      </c>
      <c r="O8" s="1">
        <v>84509.155599028672</v>
      </c>
      <c r="P8" s="1">
        <v>1582.2799424102734</v>
      </c>
      <c r="Q8" s="1">
        <v>6.5106762497759396</v>
      </c>
      <c r="R8" s="1">
        <v>0</v>
      </c>
      <c r="S8" s="1">
        <v>4904.3655540739373</v>
      </c>
      <c r="T8" s="1">
        <v>0</v>
      </c>
      <c r="U8" s="1">
        <v>0</v>
      </c>
      <c r="V8" s="1">
        <v>0</v>
      </c>
      <c r="W8" s="1">
        <v>2860.477399785218</v>
      </c>
      <c r="X8" s="1">
        <v>0</v>
      </c>
      <c r="Y8" s="1">
        <v>0</v>
      </c>
      <c r="Z8" s="1">
        <v>0</v>
      </c>
      <c r="AA8" s="1">
        <v>77445.735647426263</v>
      </c>
      <c r="AB8" s="1">
        <v>0</v>
      </c>
      <c r="AC8" s="1">
        <v>12370.102645888521</v>
      </c>
      <c r="AD8" s="1">
        <v>0</v>
      </c>
      <c r="AE8" s="1">
        <v>0</v>
      </c>
      <c r="AF8" s="1">
        <v>0</v>
      </c>
      <c r="AG8" s="1">
        <v>0</v>
      </c>
      <c r="AH8" s="1">
        <v>4.6802713879378093</v>
      </c>
      <c r="AI8" s="1">
        <v>2413.0937644755945</v>
      </c>
      <c r="AJ8" s="1">
        <v>6230.3757827148165</v>
      </c>
      <c r="AK8" s="1">
        <v>157.9497088711139</v>
      </c>
      <c r="AL8" s="1">
        <v>0</v>
      </c>
      <c r="AM8" s="1">
        <v>0</v>
      </c>
      <c r="AN8" s="15">
        <f t="shared" si="0"/>
        <v>261139.82421908993</v>
      </c>
      <c r="AO8" s="1">
        <v>178640.26319204972</v>
      </c>
      <c r="AP8" s="1">
        <v>0</v>
      </c>
      <c r="AQ8" s="1">
        <v>356354.2794341534</v>
      </c>
      <c r="AR8" s="1">
        <v>5159.5113099403934</v>
      </c>
      <c r="AS8" s="1">
        <v>527183.67698587757</v>
      </c>
      <c r="AT8" s="1">
        <f t="shared" si="1"/>
        <v>1067337.730922021</v>
      </c>
      <c r="AU8" s="15">
        <f t="shared" si="2"/>
        <v>1328477.5551411109</v>
      </c>
      <c r="AV8" s="1">
        <v>0</v>
      </c>
      <c r="AW8" s="1">
        <v>0</v>
      </c>
      <c r="AX8" s="2">
        <v>1328477.5552145266</v>
      </c>
      <c r="AY8" s="15">
        <f t="shared" si="3"/>
        <v>1328477.5552145266</v>
      </c>
      <c r="BA8" s="1"/>
    </row>
    <row r="9" spans="1:53" x14ac:dyDescent="0.25">
      <c r="A9" s="14">
        <v>6</v>
      </c>
      <c r="B9" t="s">
        <v>5</v>
      </c>
      <c r="C9" s="1">
        <v>24.058557563388153</v>
      </c>
      <c r="D9" s="1">
        <v>329.34854162691983</v>
      </c>
      <c r="E9" s="1">
        <v>87.304486772370723</v>
      </c>
      <c r="F9" s="1">
        <v>328.26171293112031</v>
      </c>
      <c r="G9" s="1">
        <v>375.90019654517675</v>
      </c>
      <c r="H9" s="1">
        <v>46386.278892462076</v>
      </c>
      <c r="I9" s="1">
        <v>17.43092570707255</v>
      </c>
      <c r="J9" s="1">
        <v>3113.5548924332516</v>
      </c>
      <c r="K9" s="1">
        <v>0</v>
      </c>
      <c r="L9" s="1">
        <v>11789.913094915737</v>
      </c>
      <c r="M9" s="1">
        <v>273.97335801928182</v>
      </c>
      <c r="N9" s="1">
        <v>0</v>
      </c>
      <c r="O9" s="1">
        <v>1409.1160597087221</v>
      </c>
      <c r="P9" s="1">
        <v>74.472454917485294</v>
      </c>
      <c r="Q9" s="1">
        <v>2539935.9935160195</v>
      </c>
      <c r="R9" s="1">
        <v>717966.0529056954</v>
      </c>
      <c r="S9" s="1">
        <v>609.74289750122966</v>
      </c>
      <c r="T9" s="1">
        <v>1267.2368214690089</v>
      </c>
      <c r="U9" s="1">
        <v>0</v>
      </c>
      <c r="V9" s="1">
        <v>147.84890687437991</v>
      </c>
      <c r="W9" s="1">
        <v>166.29643488517468</v>
      </c>
      <c r="X9" s="1">
        <v>0</v>
      </c>
      <c r="Y9" s="1">
        <v>151081.6522787374</v>
      </c>
      <c r="Z9" s="1">
        <v>565.93979031573906</v>
      </c>
      <c r="AA9" s="1">
        <v>2160.6839768685495</v>
      </c>
      <c r="AB9" s="1">
        <v>498.38385444738458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46.555920392853039</v>
      </c>
      <c r="AI9" s="1">
        <v>0</v>
      </c>
      <c r="AJ9" s="1">
        <v>5.7834748752983138</v>
      </c>
      <c r="AK9" s="1">
        <v>0</v>
      </c>
      <c r="AL9" s="1">
        <v>0</v>
      </c>
      <c r="AM9" s="1">
        <v>0</v>
      </c>
      <c r="AN9" s="15">
        <f t="shared" si="0"/>
        <v>3478661.7839516848</v>
      </c>
      <c r="AO9" s="1">
        <v>0</v>
      </c>
      <c r="AP9" s="1">
        <v>0</v>
      </c>
      <c r="AQ9" s="1">
        <v>0</v>
      </c>
      <c r="AR9" s="1">
        <v>5344.8881490777958</v>
      </c>
      <c r="AS9" s="1">
        <v>457007.40964186855</v>
      </c>
      <c r="AT9" s="1">
        <f t="shared" si="1"/>
        <v>462352.29779094632</v>
      </c>
      <c r="AU9" s="15">
        <f t="shared" si="2"/>
        <v>3941014.0817426313</v>
      </c>
      <c r="AV9" s="1">
        <v>0</v>
      </c>
      <c r="AW9" s="1">
        <v>0</v>
      </c>
      <c r="AX9" s="2">
        <v>3941014.0789969717</v>
      </c>
      <c r="AY9" s="15">
        <f t="shared" si="3"/>
        <v>3941014.0789969717</v>
      </c>
      <c r="BA9" s="1"/>
    </row>
    <row r="10" spans="1:53" x14ac:dyDescent="0.25">
      <c r="A10" s="14">
        <v>7</v>
      </c>
      <c r="B10" t="s">
        <v>6</v>
      </c>
      <c r="C10" s="1">
        <v>0</v>
      </c>
      <c r="D10" s="1">
        <v>0</v>
      </c>
      <c r="E10" s="1">
        <v>0</v>
      </c>
      <c r="F10" s="1">
        <v>0</v>
      </c>
      <c r="G10" s="1">
        <v>0.96126735464243429</v>
      </c>
      <c r="H10" s="1">
        <v>96.524874188100327</v>
      </c>
      <c r="I10" s="1">
        <v>13.9398218231748</v>
      </c>
      <c r="J10" s="1">
        <v>208.70554355435425</v>
      </c>
      <c r="K10" s="1">
        <v>0</v>
      </c>
      <c r="L10" s="1">
        <v>0</v>
      </c>
      <c r="M10" s="1">
        <v>0</v>
      </c>
      <c r="N10" s="1">
        <v>0</v>
      </c>
      <c r="O10" s="1">
        <v>434.32609269688771</v>
      </c>
      <c r="P10" s="1">
        <v>413.19868627799542</v>
      </c>
      <c r="Q10" s="1">
        <v>82877.871323269981</v>
      </c>
      <c r="R10" s="1">
        <v>67.125707534643951</v>
      </c>
      <c r="S10" s="1">
        <v>2749.8395145011668</v>
      </c>
      <c r="T10" s="1">
        <v>0</v>
      </c>
      <c r="U10" s="1">
        <v>0</v>
      </c>
      <c r="V10" s="1">
        <v>0</v>
      </c>
      <c r="W10" s="1">
        <v>339.7753251160413</v>
      </c>
      <c r="X10" s="1">
        <v>0</v>
      </c>
      <c r="Y10" s="1">
        <v>56.354708144829914</v>
      </c>
      <c r="Z10" s="1">
        <v>0</v>
      </c>
      <c r="AA10" s="1">
        <v>218.08806282269057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1.3736612932912915</v>
      </c>
      <c r="AK10" s="1">
        <v>0.39137039807316604</v>
      </c>
      <c r="AL10" s="1">
        <v>669.87073990404917</v>
      </c>
      <c r="AM10" s="1">
        <v>0</v>
      </c>
      <c r="AN10" s="15">
        <f t="shared" si="0"/>
        <v>88148.346698879919</v>
      </c>
      <c r="AO10" s="1">
        <v>34569.529915171814</v>
      </c>
      <c r="AP10" s="1">
        <v>0</v>
      </c>
      <c r="AQ10" s="1">
        <v>0</v>
      </c>
      <c r="AR10" s="1">
        <v>381.15562955828932</v>
      </c>
      <c r="AS10" s="1">
        <v>292615.81985047349</v>
      </c>
      <c r="AT10" s="1">
        <f t="shared" si="1"/>
        <v>327566.5053952036</v>
      </c>
      <c r="AU10" s="15">
        <f t="shared" si="2"/>
        <v>415714.8520940835</v>
      </c>
      <c r="AV10" s="1">
        <v>0</v>
      </c>
      <c r="AW10" s="1">
        <v>0</v>
      </c>
      <c r="AX10" s="2">
        <v>415714.84783560823</v>
      </c>
      <c r="AY10" s="15">
        <f t="shared" si="3"/>
        <v>415714.84783560823</v>
      </c>
      <c r="BA10" s="1"/>
    </row>
    <row r="11" spans="1:53" x14ac:dyDescent="0.25">
      <c r="A11" s="14">
        <v>8</v>
      </c>
      <c r="B11" t="s">
        <v>7</v>
      </c>
      <c r="C11" s="1">
        <v>0</v>
      </c>
      <c r="D11" s="1">
        <v>21.464166047319953</v>
      </c>
      <c r="E11" s="1">
        <v>7.1194656642459897</v>
      </c>
      <c r="F11" s="1">
        <v>5.2945426738177472</v>
      </c>
      <c r="G11" s="1">
        <v>0</v>
      </c>
      <c r="H11" s="1">
        <v>0</v>
      </c>
      <c r="I11" s="1">
        <v>0</v>
      </c>
      <c r="J11" s="1">
        <v>102471.61157961682</v>
      </c>
      <c r="K11" s="1">
        <v>0</v>
      </c>
      <c r="L11" s="1">
        <v>0</v>
      </c>
      <c r="M11" s="1">
        <v>0</v>
      </c>
      <c r="N11" s="1">
        <v>0</v>
      </c>
      <c r="O11" s="1">
        <v>173674.66838314646</v>
      </c>
      <c r="P11" s="1">
        <v>289.98108697063361</v>
      </c>
      <c r="Q11" s="1">
        <v>27882.182896326995</v>
      </c>
      <c r="R11" s="1">
        <v>0</v>
      </c>
      <c r="S11" s="1">
        <v>304.5038448524403</v>
      </c>
      <c r="T11" s="1">
        <v>0</v>
      </c>
      <c r="U11" s="1">
        <v>0</v>
      </c>
      <c r="V11" s="1">
        <v>9267.0802287721654</v>
      </c>
      <c r="W11" s="1">
        <v>1671.3411718036823</v>
      </c>
      <c r="X11" s="1">
        <v>0</v>
      </c>
      <c r="Y11" s="1">
        <v>0</v>
      </c>
      <c r="Z11" s="1">
        <v>0</v>
      </c>
      <c r="AA11" s="1">
        <v>183187.030009218</v>
      </c>
      <c r="AB11" s="1">
        <v>0</v>
      </c>
      <c r="AC11" s="1">
        <v>13685.524271975602</v>
      </c>
      <c r="AD11" s="1">
        <v>0</v>
      </c>
      <c r="AE11" s="1">
        <v>0</v>
      </c>
      <c r="AF11" s="1">
        <v>0</v>
      </c>
      <c r="AG11" s="1">
        <v>0</v>
      </c>
      <c r="AH11" s="1">
        <v>2636.3261130133533</v>
      </c>
      <c r="AI11" s="1">
        <v>0</v>
      </c>
      <c r="AJ11" s="1">
        <v>2347.6422961284347</v>
      </c>
      <c r="AK11" s="1">
        <v>8.2385446145237502</v>
      </c>
      <c r="AL11" s="1">
        <v>0</v>
      </c>
      <c r="AM11" s="1">
        <v>0</v>
      </c>
      <c r="AN11" s="15">
        <f t="shared" si="0"/>
        <v>517460.00860082457</v>
      </c>
      <c r="AO11" s="1">
        <v>1351434.1582868495</v>
      </c>
      <c r="AP11" s="1">
        <v>0</v>
      </c>
      <c r="AQ11" s="1">
        <v>0</v>
      </c>
      <c r="AR11" s="1">
        <v>19391.923104662143</v>
      </c>
      <c r="AS11" s="1">
        <v>779770.64928517491</v>
      </c>
      <c r="AT11" s="1">
        <f t="shared" si="1"/>
        <v>2150596.7306766864</v>
      </c>
      <c r="AU11" s="15">
        <f t="shared" si="2"/>
        <v>2668056.7392775109</v>
      </c>
      <c r="AV11" s="1">
        <v>0</v>
      </c>
      <c r="AW11" s="1">
        <v>0</v>
      </c>
      <c r="AX11" s="2">
        <v>2668056.7372347894</v>
      </c>
      <c r="AY11" s="15">
        <f t="shared" si="3"/>
        <v>2668056.7372347894</v>
      </c>
      <c r="BA11" s="1"/>
    </row>
    <row r="12" spans="1:53" x14ac:dyDescent="0.25">
      <c r="A12" s="14">
        <v>9</v>
      </c>
      <c r="B12" t="s">
        <v>8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7342545.2139571402</v>
      </c>
      <c r="L12" s="1">
        <v>0</v>
      </c>
      <c r="M12" s="1">
        <v>0</v>
      </c>
      <c r="N12" s="1">
        <v>17101471.935160726</v>
      </c>
      <c r="O12" s="1">
        <v>0</v>
      </c>
      <c r="P12" s="1">
        <v>0</v>
      </c>
      <c r="Q12" s="1">
        <v>0</v>
      </c>
      <c r="R12" s="1">
        <v>0</v>
      </c>
      <c r="S12" s="1">
        <v>703766.35036321345</v>
      </c>
      <c r="T12" s="1">
        <v>0</v>
      </c>
      <c r="U12" s="1">
        <v>0</v>
      </c>
      <c r="V12" s="1">
        <v>0</v>
      </c>
      <c r="W12" s="1">
        <v>0</v>
      </c>
      <c r="X12" s="1">
        <v>3508.551473447736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5">
        <f t="shared" si="0"/>
        <v>25151292.050954524</v>
      </c>
      <c r="AO12" s="1">
        <v>0</v>
      </c>
      <c r="AP12" s="1">
        <v>0</v>
      </c>
      <c r="AQ12" s="1">
        <v>0</v>
      </c>
      <c r="AR12" s="1">
        <v>18786.6261711076</v>
      </c>
      <c r="AS12" s="1">
        <v>48033633.296915658</v>
      </c>
      <c r="AT12" s="1">
        <f t="shared" si="1"/>
        <v>48052419.923086762</v>
      </c>
      <c r="AU12" s="15">
        <f t="shared" si="2"/>
        <v>73203711.974041283</v>
      </c>
      <c r="AV12" s="1">
        <v>0</v>
      </c>
      <c r="AW12" s="1">
        <v>0</v>
      </c>
      <c r="AX12" s="2">
        <v>73203711.97200121</v>
      </c>
      <c r="AY12" s="15">
        <f t="shared" si="3"/>
        <v>73203711.97200121</v>
      </c>
      <c r="BA12" s="1"/>
    </row>
    <row r="13" spans="1:53" x14ac:dyDescent="0.25">
      <c r="A13" s="14">
        <v>10</v>
      </c>
      <c r="B13" t="s">
        <v>9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4234410.046430991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102117.46301451691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5">
        <f t="shared" si="0"/>
        <v>4336527.509445508</v>
      </c>
      <c r="AO13" s="1">
        <v>0</v>
      </c>
      <c r="AP13" s="1">
        <v>0</v>
      </c>
      <c r="AQ13" s="1">
        <v>0</v>
      </c>
      <c r="AR13" s="1">
        <v>850723.32787228655</v>
      </c>
      <c r="AS13" s="1">
        <v>23754417.605435237</v>
      </c>
      <c r="AT13" s="1">
        <f t="shared" si="1"/>
        <v>24605140.933307525</v>
      </c>
      <c r="AU13" s="15">
        <f t="shared" si="2"/>
        <v>28941668.442753032</v>
      </c>
      <c r="AV13" s="1">
        <v>0</v>
      </c>
      <c r="AW13" s="1">
        <v>0</v>
      </c>
      <c r="AX13" s="2">
        <v>28941668.446043402</v>
      </c>
      <c r="AY13" s="15">
        <f t="shared" si="3"/>
        <v>28941668.446043402</v>
      </c>
      <c r="BA13" s="1"/>
    </row>
    <row r="14" spans="1:53" x14ac:dyDescent="0.25">
      <c r="A14" s="14">
        <v>11</v>
      </c>
      <c r="B14" t="s">
        <v>10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1326.7677557127186</v>
      </c>
      <c r="N14" s="1">
        <v>0</v>
      </c>
      <c r="O14" s="1">
        <v>393.34318640209619</v>
      </c>
      <c r="P14" s="1">
        <v>748.54934303900586</v>
      </c>
      <c r="Q14" s="1">
        <v>0</v>
      </c>
      <c r="R14" s="1">
        <v>479.60561648999328</v>
      </c>
      <c r="S14" s="1">
        <v>43499.216284800605</v>
      </c>
      <c r="T14" s="1">
        <v>13787.614169158358</v>
      </c>
      <c r="U14" s="1">
        <v>0</v>
      </c>
      <c r="V14" s="1">
        <v>45220.985679669386</v>
      </c>
      <c r="W14" s="1">
        <v>32858.51851400068</v>
      </c>
      <c r="X14" s="1">
        <v>0</v>
      </c>
      <c r="Y14" s="1">
        <v>627697.6790516841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5">
        <f t="shared" si="0"/>
        <v>766012.27960095694</v>
      </c>
      <c r="AO14" s="1">
        <v>0</v>
      </c>
      <c r="AP14" s="1">
        <v>0</v>
      </c>
      <c r="AQ14" s="1">
        <v>0</v>
      </c>
      <c r="AR14" s="1">
        <v>50171.626315435831</v>
      </c>
      <c r="AS14" s="1">
        <v>34811.308639277297</v>
      </c>
      <c r="AT14" s="1">
        <f t="shared" si="1"/>
        <v>84982.934954713128</v>
      </c>
      <c r="AU14" s="15">
        <f t="shared" si="2"/>
        <v>850995.21455567004</v>
      </c>
      <c r="AV14" s="1">
        <v>0</v>
      </c>
      <c r="AW14" s="1">
        <v>0</v>
      </c>
      <c r="AX14" s="2">
        <v>850995.21244398446</v>
      </c>
      <c r="AY14" s="15">
        <f t="shared" si="3"/>
        <v>850995.21244398446</v>
      </c>
      <c r="BA14" s="1"/>
    </row>
    <row r="15" spans="1:53" x14ac:dyDescent="0.25">
      <c r="A15" s="14">
        <v>12</v>
      </c>
      <c r="B15" t="s">
        <v>11</v>
      </c>
      <c r="C15" s="1">
        <v>509.58785117893075</v>
      </c>
      <c r="D15" s="1">
        <v>3086.5542160387135</v>
      </c>
      <c r="E15" s="1">
        <v>12322.410720264386</v>
      </c>
      <c r="F15" s="1">
        <v>636.79391168566269</v>
      </c>
      <c r="G15" s="1">
        <v>1174.5988681512811</v>
      </c>
      <c r="H15" s="1">
        <v>105326.62211685535</v>
      </c>
      <c r="I15" s="1">
        <v>3789.2004835416765</v>
      </c>
      <c r="J15" s="1">
        <v>80238.139371401863</v>
      </c>
      <c r="K15" s="1">
        <v>473813.54580819386</v>
      </c>
      <c r="L15" s="1">
        <v>438388.10105445975</v>
      </c>
      <c r="M15" s="1">
        <v>21929.829289863639</v>
      </c>
      <c r="N15" s="1">
        <v>5144656.310113837</v>
      </c>
      <c r="O15" s="1">
        <v>11158.933853078875</v>
      </c>
      <c r="P15" s="1">
        <v>2956.09781886475</v>
      </c>
      <c r="Q15" s="1">
        <v>168689.18767929683</v>
      </c>
      <c r="R15" s="1">
        <v>178422.4591585093</v>
      </c>
      <c r="S15" s="1">
        <v>282143.5177747155</v>
      </c>
      <c r="T15" s="1">
        <v>11162.245567585849</v>
      </c>
      <c r="U15" s="1">
        <v>0</v>
      </c>
      <c r="V15" s="1">
        <v>8418.7217270434685</v>
      </c>
      <c r="W15" s="1">
        <v>6820.6079581286876</v>
      </c>
      <c r="X15" s="1">
        <v>204161.37280776634</v>
      </c>
      <c r="Y15" s="1">
        <v>166288.43640497222</v>
      </c>
      <c r="Z15" s="1">
        <v>216658.14243741127</v>
      </c>
      <c r="AA15" s="1">
        <v>10504.943646520196</v>
      </c>
      <c r="AB15" s="1">
        <v>400993.93648224068</v>
      </c>
      <c r="AC15" s="1">
        <v>527518.42572783295</v>
      </c>
      <c r="AD15" s="1">
        <v>262930.77725421434</v>
      </c>
      <c r="AE15" s="1">
        <v>194249.25374896065</v>
      </c>
      <c r="AF15" s="1">
        <v>12497.459351734486</v>
      </c>
      <c r="AG15" s="1">
        <v>2515.556386654152</v>
      </c>
      <c r="AH15" s="1">
        <v>46217.270275051145</v>
      </c>
      <c r="AI15" s="1">
        <v>0</v>
      </c>
      <c r="AJ15" s="1">
        <v>798.39522550744937</v>
      </c>
      <c r="AK15" s="1">
        <v>269.81608733942852</v>
      </c>
      <c r="AL15" s="1">
        <v>4149.7055261305886</v>
      </c>
      <c r="AM15" s="1">
        <v>0</v>
      </c>
      <c r="AN15" s="15">
        <f t="shared" si="0"/>
        <v>9005396.9567050301</v>
      </c>
      <c r="AO15" s="1">
        <v>1258854.0522017269</v>
      </c>
      <c r="AP15" s="1">
        <v>0</v>
      </c>
      <c r="AQ15" s="1">
        <v>0</v>
      </c>
      <c r="AR15" s="1">
        <v>94146.965278394724</v>
      </c>
      <c r="AS15" s="1">
        <v>96445891.440417245</v>
      </c>
      <c r="AT15" s="1">
        <f t="shared" si="1"/>
        <v>97798892.457897365</v>
      </c>
      <c r="AU15" s="15">
        <f t="shared" si="2"/>
        <v>106804289.4146024</v>
      </c>
      <c r="AV15" s="1">
        <v>0</v>
      </c>
      <c r="AW15" s="1">
        <v>0</v>
      </c>
      <c r="AX15" s="2">
        <v>106804289.41893965</v>
      </c>
      <c r="AY15" s="15">
        <f t="shared" si="3"/>
        <v>106804289.41893965</v>
      </c>
      <c r="BA15" s="1"/>
    </row>
    <row r="16" spans="1:53" x14ac:dyDescent="0.25">
      <c r="A16" s="14">
        <v>13</v>
      </c>
      <c r="B16" t="s">
        <v>12</v>
      </c>
      <c r="C16" s="1">
        <v>0</v>
      </c>
      <c r="D16" s="1">
        <v>3489.6294233602521</v>
      </c>
      <c r="E16" s="1">
        <v>4088.1889287674139</v>
      </c>
      <c r="F16" s="1">
        <v>1421.2015045439312</v>
      </c>
      <c r="G16" s="1">
        <v>141184.98050813132</v>
      </c>
      <c r="H16" s="1">
        <v>0</v>
      </c>
      <c r="I16" s="1">
        <v>0</v>
      </c>
      <c r="J16" s="1">
        <v>10278.702197698471</v>
      </c>
      <c r="K16" s="1">
        <v>0</v>
      </c>
      <c r="L16" s="1">
        <v>0</v>
      </c>
      <c r="M16" s="1">
        <v>0</v>
      </c>
      <c r="N16" s="1">
        <v>0</v>
      </c>
      <c r="O16" s="1">
        <v>36923.380088094505</v>
      </c>
      <c r="P16" s="1">
        <v>620.78312724807915</v>
      </c>
      <c r="Q16" s="1">
        <v>887.66735839894682</v>
      </c>
      <c r="R16" s="1">
        <v>3879.5260709353761</v>
      </c>
      <c r="S16" s="1">
        <v>29914.266175194094</v>
      </c>
      <c r="T16" s="1">
        <v>24.362784870316755</v>
      </c>
      <c r="U16" s="1">
        <v>0</v>
      </c>
      <c r="V16" s="1">
        <v>253.20790148065998</v>
      </c>
      <c r="W16" s="1">
        <v>413.21701690008058</v>
      </c>
      <c r="X16" s="1">
        <v>23.785211423245819</v>
      </c>
      <c r="Y16" s="1">
        <v>56.697744224372066</v>
      </c>
      <c r="Z16" s="1">
        <v>14633.774048605645</v>
      </c>
      <c r="AA16" s="1">
        <v>36596.452244832813</v>
      </c>
      <c r="AB16" s="1">
        <v>322.1072480662346</v>
      </c>
      <c r="AC16" s="1">
        <v>20649.773050546577</v>
      </c>
      <c r="AD16" s="1">
        <v>1663.789336048922</v>
      </c>
      <c r="AE16" s="1">
        <v>1822.6589958231348</v>
      </c>
      <c r="AF16" s="1">
        <v>126.97702232903255</v>
      </c>
      <c r="AG16" s="1">
        <v>165.69679336775172</v>
      </c>
      <c r="AH16" s="1">
        <v>1595.3681413437721</v>
      </c>
      <c r="AI16" s="1">
        <v>13285.957762240479</v>
      </c>
      <c r="AJ16" s="1">
        <v>1703.7380255938097</v>
      </c>
      <c r="AK16" s="1">
        <v>1059.7667352491198</v>
      </c>
      <c r="AL16" s="1">
        <v>34.593425756248891</v>
      </c>
      <c r="AM16" s="1">
        <v>0</v>
      </c>
      <c r="AN16" s="15">
        <f t="shared" si="0"/>
        <v>327120.24887107464</v>
      </c>
      <c r="AO16" s="1">
        <v>1853120.9371135593</v>
      </c>
      <c r="AP16" s="1">
        <v>0</v>
      </c>
      <c r="AQ16" s="1">
        <v>0</v>
      </c>
      <c r="AR16" s="1">
        <v>2894.3467615406003</v>
      </c>
      <c r="AS16" s="1">
        <v>720321.64014111459</v>
      </c>
      <c r="AT16" s="1">
        <f t="shared" si="1"/>
        <v>2576336.9240162144</v>
      </c>
      <c r="AU16" s="15">
        <f t="shared" si="2"/>
        <v>2903457.172887289</v>
      </c>
      <c r="AV16" s="1">
        <v>0</v>
      </c>
      <c r="AW16" s="1">
        <v>0</v>
      </c>
      <c r="AX16" s="2">
        <v>2903457.1753048552</v>
      </c>
      <c r="AY16" s="15">
        <f t="shared" si="3"/>
        <v>2903457.1753048552</v>
      </c>
      <c r="BA16" s="1"/>
    </row>
    <row r="17" spans="1:53" x14ac:dyDescent="0.25">
      <c r="A17" s="14">
        <v>14</v>
      </c>
      <c r="B17" t="s">
        <v>13</v>
      </c>
      <c r="C17" s="1">
        <v>8.0132361714378035</v>
      </c>
      <c r="D17" s="1">
        <v>4.7003304504324541</v>
      </c>
      <c r="E17" s="1">
        <v>0.65331368495241815</v>
      </c>
      <c r="F17" s="1">
        <v>1.4888438188225563</v>
      </c>
      <c r="G17" s="1">
        <v>1.9990905525301229E-2</v>
      </c>
      <c r="H17" s="1">
        <v>11.68217235229851</v>
      </c>
      <c r="I17" s="1">
        <v>2.9948099825396435</v>
      </c>
      <c r="J17" s="1">
        <v>352.70584309673188</v>
      </c>
      <c r="K17" s="1">
        <v>916.27412399141588</v>
      </c>
      <c r="L17" s="1">
        <v>569.93729500858365</v>
      </c>
      <c r="M17" s="1">
        <v>7.4484459551839288</v>
      </c>
      <c r="N17" s="1">
        <v>1436.2338043338825</v>
      </c>
      <c r="O17" s="1">
        <v>0.49509686933942981</v>
      </c>
      <c r="P17" s="1">
        <v>346.80672949371984</v>
      </c>
      <c r="Q17" s="1">
        <v>113.35314339161657</v>
      </c>
      <c r="R17" s="1">
        <v>45.504763778167685</v>
      </c>
      <c r="S17" s="1">
        <v>81.603446049092099</v>
      </c>
      <c r="T17" s="1">
        <v>0.54361611907129115</v>
      </c>
      <c r="U17" s="1">
        <v>0</v>
      </c>
      <c r="V17" s="1">
        <v>2.502227025000995</v>
      </c>
      <c r="W17" s="1">
        <v>63.575146208028848</v>
      </c>
      <c r="X17" s="1">
        <v>1.7477949806446544</v>
      </c>
      <c r="Y17" s="1">
        <v>1.389357782572147</v>
      </c>
      <c r="Z17" s="1">
        <v>10.384847624704234</v>
      </c>
      <c r="AA17" s="1">
        <v>529.21133981436856</v>
      </c>
      <c r="AB17" s="1">
        <v>6.4286851509674214</v>
      </c>
      <c r="AC17" s="1">
        <v>4.7898062110965203</v>
      </c>
      <c r="AD17" s="1">
        <v>2.1282232961681093</v>
      </c>
      <c r="AE17" s="1">
        <v>64.274286048274078</v>
      </c>
      <c r="AF17" s="1">
        <v>0.87672623350479872</v>
      </c>
      <c r="AG17" s="1">
        <v>1.3434904755863004</v>
      </c>
      <c r="AH17" s="1">
        <v>29.725487774476836</v>
      </c>
      <c r="AI17" s="1">
        <v>0</v>
      </c>
      <c r="AJ17" s="1">
        <v>4.5726783847672969</v>
      </c>
      <c r="AK17" s="1">
        <v>4.7685732672936403E-2</v>
      </c>
      <c r="AL17" s="1">
        <v>7.5587370425577021</v>
      </c>
      <c r="AM17" s="1">
        <v>0</v>
      </c>
      <c r="AN17" s="15">
        <f t="shared" si="0"/>
        <v>4631.0155252382056</v>
      </c>
      <c r="AO17" s="1">
        <v>14643.409982988638</v>
      </c>
      <c r="AP17" s="1">
        <v>0</v>
      </c>
      <c r="AQ17" s="1">
        <v>16.310750978988168</v>
      </c>
      <c r="AR17" s="1">
        <v>2.2556187339179625</v>
      </c>
      <c r="AS17" s="1">
        <v>89327.735259671812</v>
      </c>
      <c r="AT17" s="1">
        <f t="shared" si="1"/>
        <v>103989.71161237336</v>
      </c>
      <c r="AU17" s="15">
        <f t="shared" si="2"/>
        <v>108620.72713761157</v>
      </c>
      <c r="AV17" s="1">
        <v>0</v>
      </c>
      <c r="AW17" s="1">
        <v>0</v>
      </c>
      <c r="AX17" s="2">
        <v>108620.72430301466</v>
      </c>
      <c r="AY17" s="15">
        <f t="shared" si="3"/>
        <v>108620.72430301466</v>
      </c>
      <c r="BA17" s="1"/>
    </row>
    <row r="18" spans="1:53" x14ac:dyDescent="0.25">
      <c r="A18" s="14">
        <v>15</v>
      </c>
      <c r="B18" t="s">
        <v>14</v>
      </c>
      <c r="C18" s="1">
        <v>0</v>
      </c>
      <c r="D18" s="1">
        <v>634.2050897534732</v>
      </c>
      <c r="E18" s="1">
        <v>0</v>
      </c>
      <c r="F18" s="1">
        <v>871.70693605084011</v>
      </c>
      <c r="G18" s="1">
        <v>136.20695682938103</v>
      </c>
      <c r="H18" s="1">
        <v>0</v>
      </c>
      <c r="I18" s="1">
        <v>0</v>
      </c>
      <c r="J18" s="1">
        <v>267.57518515964881</v>
      </c>
      <c r="K18" s="1">
        <v>0</v>
      </c>
      <c r="L18" s="1">
        <v>0</v>
      </c>
      <c r="M18" s="1">
        <v>83.790605542375289</v>
      </c>
      <c r="N18" s="1">
        <v>286.22802257104092</v>
      </c>
      <c r="O18" s="1">
        <v>1679.6611863567289</v>
      </c>
      <c r="P18" s="1">
        <v>651.80070149494281</v>
      </c>
      <c r="Q18" s="1">
        <v>441928.42474868236</v>
      </c>
      <c r="R18" s="1">
        <v>1844.3160961786532</v>
      </c>
      <c r="S18" s="1">
        <v>11806.842893857838</v>
      </c>
      <c r="T18" s="1">
        <v>127.82717851103013</v>
      </c>
      <c r="U18" s="1">
        <v>0</v>
      </c>
      <c r="V18" s="1">
        <v>2118.5058518999722</v>
      </c>
      <c r="W18" s="1">
        <v>1147.9138921700937</v>
      </c>
      <c r="X18" s="1">
        <v>128.50143020191598</v>
      </c>
      <c r="Y18" s="1">
        <v>520414.40504417743</v>
      </c>
      <c r="Z18" s="1">
        <v>113087.53722745342</v>
      </c>
      <c r="AA18" s="1">
        <v>415.11029138473259</v>
      </c>
      <c r="AB18" s="1">
        <v>334.94302625947705</v>
      </c>
      <c r="AC18" s="1">
        <v>334.88531796088682</v>
      </c>
      <c r="AD18" s="1">
        <v>65.5364369326429</v>
      </c>
      <c r="AE18" s="1">
        <v>469.41111299647054</v>
      </c>
      <c r="AF18" s="1">
        <v>139.33359095375761</v>
      </c>
      <c r="AG18" s="1">
        <v>114.15384298233212</v>
      </c>
      <c r="AH18" s="1">
        <v>128.97797992579322</v>
      </c>
      <c r="AI18" s="1">
        <v>0</v>
      </c>
      <c r="AJ18" s="1">
        <v>390.26653712029014</v>
      </c>
      <c r="AK18" s="1">
        <v>183.22746607153385</v>
      </c>
      <c r="AL18" s="1">
        <v>507.17051427291364</v>
      </c>
      <c r="AM18" s="1">
        <v>0</v>
      </c>
      <c r="AN18" s="15">
        <f t="shared" si="0"/>
        <v>1100298.4651637522</v>
      </c>
      <c r="AO18" s="1">
        <v>162896.39546490795</v>
      </c>
      <c r="AP18" s="1">
        <v>0</v>
      </c>
      <c r="AQ18" s="1">
        <v>178734.17278325229</v>
      </c>
      <c r="AR18" s="1">
        <v>11763.14151814133</v>
      </c>
      <c r="AS18" s="1">
        <v>7470668.7530919127</v>
      </c>
      <c r="AT18" s="1">
        <f t="shared" si="1"/>
        <v>7824062.462858214</v>
      </c>
      <c r="AU18" s="15">
        <f t="shared" si="2"/>
        <v>8924360.9280219655</v>
      </c>
      <c r="AV18" s="1">
        <v>0</v>
      </c>
      <c r="AW18" s="1">
        <v>0</v>
      </c>
      <c r="AX18" s="2">
        <v>8924360.9263139628</v>
      </c>
      <c r="AY18" s="15">
        <f t="shared" si="3"/>
        <v>8924360.9263139628</v>
      </c>
      <c r="BA18" s="1"/>
    </row>
    <row r="19" spans="1:53" x14ac:dyDescent="0.25">
      <c r="A19" s="14">
        <v>16</v>
      </c>
      <c r="B19" t="s">
        <v>15</v>
      </c>
      <c r="C19" s="1">
        <v>0</v>
      </c>
      <c r="D19" s="1">
        <v>528.12339261309035</v>
      </c>
      <c r="E19" s="1">
        <v>1203.9836370742169</v>
      </c>
      <c r="F19" s="1">
        <v>87.810749980992227</v>
      </c>
      <c r="G19" s="1">
        <v>687.09620262955548</v>
      </c>
      <c r="H19" s="1">
        <v>3766.0959995229859</v>
      </c>
      <c r="I19" s="1">
        <v>1462.4088547994672</v>
      </c>
      <c r="J19" s="1">
        <v>248.36146357874205</v>
      </c>
      <c r="K19" s="1">
        <v>2448.9314083672202</v>
      </c>
      <c r="L19" s="1">
        <v>9204.419092316426</v>
      </c>
      <c r="M19" s="1">
        <v>433.9916817446948</v>
      </c>
      <c r="N19" s="1">
        <v>420598.41395776381</v>
      </c>
      <c r="O19" s="1">
        <v>10815.553862272227</v>
      </c>
      <c r="P19" s="1">
        <v>993.50203229367082</v>
      </c>
      <c r="Q19" s="1">
        <v>7072.3909149352594</v>
      </c>
      <c r="R19" s="1">
        <v>1287012.9738700793</v>
      </c>
      <c r="S19" s="1">
        <v>81299.65938516405</v>
      </c>
      <c r="T19" s="1">
        <v>2186.8891974368412</v>
      </c>
      <c r="U19" s="1">
        <v>0</v>
      </c>
      <c r="V19" s="1">
        <v>1458.4986905526564</v>
      </c>
      <c r="W19" s="1">
        <v>1011.7282969593516</v>
      </c>
      <c r="X19" s="1">
        <v>1298.4180871434216</v>
      </c>
      <c r="Y19" s="1">
        <v>12450.229546780714</v>
      </c>
      <c r="Z19" s="1">
        <v>418612.17851308925</v>
      </c>
      <c r="AA19" s="1">
        <v>3886.3634104805301</v>
      </c>
      <c r="AB19" s="1">
        <v>5250.8906310390012</v>
      </c>
      <c r="AC19" s="1">
        <v>2722.6968729132145</v>
      </c>
      <c r="AD19" s="1">
        <v>8533.3275854453714</v>
      </c>
      <c r="AE19" s="1">
        <v>791.90215461171351</v>
      </c>
      <c r="AF19" s="1">
        <v>5846.1754781422505</v>
      </c>
      <c r="AG19" s="1">
        <v>12833.720645321851</v>
      </c>
      <c r="AH19" s="1">
        <v>16059.139258494011</v>
      </c>
      <c r="AI19" s="1">
        <v>0</v>
      </c>
      <c r="AJ19" s="1">
        <v>5791.237038443157</v>
      </c>
      <c r="AK19" s="1">
        <v>427.77624627261167</v>
      </c>
      <c r="AL19" s="1">
        <v>1790.1647142281975</v>
      </c>
      <c r="AM19" s="1">
        <v>0</v>
      </c>
      <c r="AN19" s="15">
        <f t="shared" si="0"/>
        <v>2328815.0528724901</v>
      </c>
      <c r="AO19" s="1">
        <v>483870.22566164471</v>
      </c>
      <c r="AP19" s="1">
        <v>0</v>
      </c>
      <c r="AQ19" s="1">
        <v>0</v>
      </c>
      <c r="AR19" s="1">
        <v>17680.152056644427</v>
      </c>
      <c r="AS19" s="1">
        <v>2857829.3825084544</v>
      </c>
      <c r="AT19" s="1">
        <f t="shared" si="1"/>
        <v>3359379.7602267433</v>
      </c>
      <c r="AU19" s="15">
        <f t="shared" si="2"/>
        <v>5688194.8130992334</v>
      </c>
      <c r="AV19" s="1">
        <v>0</v>
      </c>
      <c r="AW19" s="1">
        <v>0</v>
      </c>
      <c r="AX19" s="2">
        <v>5688194.8169763144</v>
      </c>
      <c r="AY19" s="15">
        <f t="shared" si="3"/>
        <v>5688194.8169763144</v>
      </c>
      <c r="BA19" s="1"/>
    </row>
    <row r="20" spans="1:53" x14ac:dyDescent="0.25">
      <c r="A20" s="14">
        <v>17</v>
      </c>
      <c r="B20" t="s">
        <v>16</v>
      </c>
      <c r="C20" s="1">
        <v>20468.985552294151</v>
      </c>
      <c r="D20" s="1">
        <v>21430.942086650743</v>
      </c>
      <c r="E20" s="1">
        <v>18204.079150989593</v>
      </c>
      <c r="F20" s="1">
        <v>4125.036866677925</v>
      </c>
      <c r="G20" s="1">
        <v>5980.4255271977663</v>
      </c>
      <c r="H20" s="1">
        <v>1052.8817950710195</v>
      </c>
      <c r="I20" s="1">
        <v>102.183991815626</v>
      </c>
      <c r="J20" s="1">
        <v>3728.8699935854952</v>
      </c>
      <c r="K20" s="1">
        <v>750639.17892510223</v>
      </c>
      <c r="L20" s="1">
        <v>72047.657209596931</v>
      </c>
      <c r="M20" s="1">
        <v>6268.7883899669969</v>
      </c>
      <c r="N20" s="1">
        <v>15374.127225083315</v>
      </c>
      <c r="O20" s="1">
        <v>5154.8741436968139</v>
      </c>
      <c r="P20" s="1">
        <v>1851.6270778549731</v>
      </c>
      <c r="Q20" s="1">
        <v>77361.353297327587</v>
      </c>
      <c r="R20" s="1">
        <v>46202.438742713523</v>
      </c>
      <c r="S20" s="1">
        <v>705038.2776105043</v>
      </c>
      <c r="T20" s="1">
        <v>4274.7337818359665</v>
      </c>
      <c r="U20" s="1">
        <v>0</v>
      </c>
      <c r="V20" s="1">
        <v>3511.4064036985883</v>
      </c>
      <c r="W20" s="1">
        <v>393.11873071786829</v>
      </c>
      <c r="X20" s="1">
        <v>4095.6464540454431</v>
      </c>
      <c r="Y20" s="1">
        <v>42387.153219776337</v>
      </c>
      <c r="Z20" s="1">
        <v>49716.004187238599</v>
      </c>
      <c r="AA20" s="1">
        <v>1090.8643760457055</v>
      </c>
      <c r="AB20" s="1">
        <v>14361.504125193016</v>
      </c>
      <c r="AC20" s="1">
        <v>2635.4965350178172</v>
      </c>
      <c r="AD20" s="1">
        <v>5446.8952074614954</v>
      </c>
      <c r="AE20" s="1">
        <v>8497.3125542835132</v>
      </c>
      <c r="AF20" s="1">
        <v>656.39384890619715</v>
      </c>
      <c r="AG20" s="1">
        <v>220.66087925938683</v>
      </c>
      <c r="AH20" s="1">
        <v>4573.2389659197652</v>
      </c>
      <c r="AI20" s="1">
        <v>0</v>
      </c>
      <c r="AJ20" s="1">
        <v>3348.1771726768684</v>
      </c>
      <c r="AK20" s="1">
        <v>210.25040022493101</v>
      </c>
      <c r="AL20" s="1">
        <v>6571.9989343893039</v>
      </c>
      <c r="AM20" s="1">
        <v>0</v>
      </c>
      <c r="AN20" s="15">
        <f t="shared" si="0"/>
        <v>1907022.5833628199</v>
      </c>
      <c r="AO20" s="1">
        <v>116785.99215075237</v>
      </c>
      <c r="AP20" s="1">
        <v>0</v>
      </c>
      <c r="AQ20" s="1">
        <v>0</v>
      </c>
      <c r="AR20" s="1">
        <v>18884.115260811122</v>
      </c>
      <c r="AS20" s="1">
        <v>6464936.9285616288</v>
      </c>
      <c r="AT20" s="1">
        <f t="shared" si="1"/>
        <v>6600607.0359731922</v>
      </c>
      <c r="AU20" s="15">
        <f t="shared" si="2"/>
        <v>8507629.6193360128</v>
      </c>
      <c r="AV20" s="1">
        <v>0</v>
      </c>
      <c r="AW20" s="1">
        <v>0</v>
      </c>
      <c r="AX20" s="2">
        <v>8507629.622509677</v>
      </c>
      <c r="AY20" s="15">
        <f t="shared" si="3"/>
        <v>8507629.622509677</v>
      </c>
      <c r="BA20" s="1"/>
    </row>
    <row r="21" spans="1:53" x14ac:dyDescent="0.25">
      <c r="A21" s="14">
        <v>18</v>
      </c>
      <c r="B21" t="s">
        <v>17</v>
      </c>
      <c r="C21" s="1">
        <v>0</v>
      </c>
      <c r="D21" s="1">
        <v>0.16868866157208259</v>
      </c>
      <c r="E21" s="1">
        <v>3.6359241851559276</v>
      </c>
      <c r="F21" s="1">
        <v>0.52479015519910222</v>
      </c>
      <c r="G21" s="1">
        <v>1.2165364961499014</v>
      </c>
      <c r="H21" s="1">
        <v>5.3663358255961304</v>
      </c>
      <c r="I21" s="1">
        <v>0.22114535470495139</v>
      </c>
      <c r="J21" s="1">
        <v>1.847848063527701</v>
      </c>
      <c r="K21" s="1">
        <v>0</v>
      </c>
      <c r="L21" s="1">
        <v>0</v>
      </c>
      <c r="M21" s="1">
        <v>0</v>
      </c>
      <c r="N21" s="1">
        <v>10.806497286015929</v>
      </c>
      <c r="O21" s="1">
        <v>143.16090436302281</v>
      </c>
      <c r="P21" s="1">
        <v>266.3126872854412</v>
      </c>
      <c r="Q21" s="1">
        <v>558.69357989464925</v>
      </c>
      <c r="R21" s="1">
        <v>36.166125900972752</v>
      </c>
      <c r="S21" s="1">
        <v>323.66270667114208</v>
      </c>
      <c r="T21" s="1">
        <v>435.60067646474261</v>
      </c>
      <c r="U21" s="1">
        <v>0</v>
      </c>
      <c r="V21" s="1">
        <v>172.80306236438648</v>
      </c>
      <c r="W21" s="1">
        <v>19.102885582400646</v>
      </c>
      <c r="X21" s="1">
        <v>0.50380395465368033</v>
      </c>
      <c r="Y21" s="1">
        <v>29449.24996244162</v>
      </c>
      <c r="Z21" s="1">
        <v>324.069667838182</v>
      </c>
      <c r="AA21" s="1">
        <v>44.293288080028084</v>
      </c>
      <c r="AB21" s="1">
        <v>117.17001823501369</v>
      </c>
      <c r="AC21" s="1">
        <v>65.934196454694131</v>
      </c>
      <c r="AD21" s="1">
        <v>29.565008086844053</v>
      </c>
      <c r="AE21" s="1">
        <v>9.6211217321750819</v>
      </c>
      <c r="AF21" s="1">
        <v>2.9737665047673332</v>
      </c>
      <c r="AG21" s="1">
        <v>15.0195072010141</v>
      </c>
      <c r="AH21" s="1">
        <v>247.95249687927623</v>
      </c>
      <c r="AI21" s="1">
        <v>3536.2742608616882</v>
      </c>
      <c r="AJ21" s="1">
        <v>19.95305306624908</v>
      </c>
      <c r="AK21" s="1">
        <v>8.0074459427018354</v>
      </c>
      <c r="AL21" s="1">
        <v>581.94074934748153</v>
      </c>
      <c r="AM21" s="1">
        <v>0</v>
      </c>
      <c r="AN21" s="15">
        <f t="shared" si="0"/>
        <v>36431.81874118108</v>
      </c>
      <c r="AO21" s="1">
        <v>4117.8894091946968</v>
      </c>
      <c r="AP21" s="1">
        <v>0</v>
      </c>
      <c r="AQ21" s="1">
        <v>0</v>
      </c>
      <c r="AR21" s="1">
        <v>75.211115254485009</v>
      </c>
      <c r="AS21" s="1">
        <f>184565.979059131+120.35</f>
        <v>184686.32905913101</v>
      </c>
      <c r="AT21" s="1">
        <f t="shared" si="1"/>
        <v>188879.42958358017</v>
      </c>
      <c r="AU21" s="15">
        <f t="shared" si="2"/>
        <v>225311.24832476125</v>
      </c>
      <c r="AV21" s="1">
        <v>0</v>
      </c>
      <c r="AW21" s="1">
        <v>0</v>
      </c>
      <c r="AX21" s="2">
        <v>225311.24842668272</v>
      </c>
      <c r="AY21" s="15">
        <f t="shared" si="3"/>
        <v>225311.24842668272</v>
      </c>
      <c r="BA21" s="1"/>
    </row>
    <row r="22" spans="1:53" x14ac:dyDescent="0.25">
      <c r="A22" s="14">
        <v>19</v>
      </c>
      <c r="B22" t="s">
        <v>18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5">
        <f t="shared" si="0"/>
        <v>0</v>
      </c>
      <c r="AO22" s="1">
        <v>0</v>
      </c>
      <c r="AP22" s="1">
        <v>0</v>
      </c>
      <c r="AQ22" s="1">
        <v>0</v>
      </c>
      <c r="AR22" s="1">
        <v>-3.9525622816664314E-10</v>
      </c>
      <c r="AS22" s="1">
        <v>0</v>
      </c>
      <c r="AT22" s="2">
        <f t="shared" si="1"/>
        <v>-3.9525622816664314E-10</v>
      </c>
      <c r="AU22" s="16">
        <f t="shared" si="2"/>
        <v>-3.9525622816664314E-10</v>
      </c>
      <c r="AV22" s="1">
        <v>0</v>
      </c>
      <c r="AW22" s="1">
        <v>0</v>
      </c>
      <c r="AX22" s="2">
        <v>0</v>
      </c>
      <c r="AY22" s="15">
        <f t="shared" si="3"/>
        <v>0</v>
      </c>
      <c r="BA22" s="1"/>
    </row>
    <row r="23" spans="1:53" x14ac:dyDescent="0.25">
      <c r="A23" s="14">
        <v>20</v>
      </c>
      <c r="B23" t="s">
        <v>19</v>
      </c>
      <c r="C23" s="1">
        <v>7.9072162175507463</v>
      </c>
      <c r="D23" s="1">
        <v>2.9385320038668974</v>
      </c>
      <c r="E23" s="1">
        <v>13.022549105496608</v>
      </c>
      <c r="F23" s="1">
        <v>0.60592276841644721</v>
      </c>
      <c r="G23" s="1">
        <v>6.4497778307764916E-2</v>
      </c>
      <c r="H23" s="1">
        <v>357.25320994274495</v>
      </c>
      <c r="I23" s="1">
        <v>0.5724106463940386</v>
      </c>
      <c r="J23" s="1">
        <v>200.60005908868501</v>
      </c>
      <c r="K23" s="1">
        <v>5480.9570004844027</v>
      </c>
      <c r="L23" s="1">
        <v>2924.8054365637195</v>
      </c>
      <c r="M23" s="1">
        <v>389.34469069669768</v>
      </c>
      <c r="N23" s="1">
        <v>8812.8448348325201</v>
      </c>
      <c r="O23" s="1">
        <v>21.815045278115917</v>
      </c>
      <c r="P23" s="1">
        <v>6.4827168706863949</v>
      </c>
      <c r="Q23" s="1">
        <v>74.580442743054476</v>
      </c>
      <c r="R23" s="1">
        <v>21.337627472461918</v>
      </c>
      <c r="S23" s="1">
        <v>251.44726836852112</v>
      </c>
      <c r="T23" s="1">
        <v>7.7171063362195111</v>
      </c>
      <c r="U23" s="1">
        <v>0</v>
      </c>
      <c r="V23" s="1">
        <v>249.53070746206373</v>
      </c>
      <c r="W23" s="1">
        <v>21.762292385813392</v>
      </c>
      <c r="X23" s="1">
        <v>140.86280956431091</v>
      </c>
      <c r="Y23" s="1">
        <v>742.18904925803383</v>
      </c>
      <c r="Z23" s="1">
        <v>432.03643094725408</v>
      </c>
      <c r="AA23" s="1">
        <v>19.002155815149383</v>
      </c>
      <c r="AB23" s="1">
        <v>1009.204869645229</v>
      </c>
      <c r="AC23" s="1">
        <v>986.2795646293979</v>
      </c>
      <c r="AD23" s="1">
        <v>603.96743989138452</v>
      </c>
      <c r="AE23" s="1">
        <v>276.77046092588506</v>
      </c>
      <c r="AF23" s="1">
        <v>29.322665680032134</v>
      </c>
      <c r="AG23" s="1">
        <v>78.801757081883522</v>
      </c>
      <c r="AH23" s="1">
        <v>286.59304430255594</v>
      </c>
      <c r="AI23" s="1">
        <v>22462.618407160575</v>
      </c>
      <c r="AJ23" s="1">
        <v>3.829876419611812</v>
      </c>
      <c r="AK23" s="1">
        <v>0.99785816599406818</v>
      </c>
      <c r="AL23" s="1">
        <v>417.72707199246605</v>
      </c>
      <c r="AM23" s="1">
        <v>0</v>
      </c>
      <c r="AN23" s="15">
        <f t="shared" si="0"/>
        <v>46335.793028525506</v>
      </c>
      <c r="AO23" s="1">
        <v>2250.8097421187217</v>
      </c>
      <c r="AP23" s="1">
        <v>0</v>
      </c>
      <c r="AQ23" s="1">
        <v>189814.16882403728</v>
      </c>
      <c r="AR23" s="1">
        <v>4.1422690537111837</v>
      </c>
      <c r="AS23" s="1">
        <v>157707.54840775556</v>
      </c>
      <c r="AT23" s="2">
        <f t="shared" si="1"/>
        <v>349776.66924296529</v>
      </c>
      <c r="AU23" s="16">
        <f t="shared" si="2"/>
        <v>396112.46227149077</v>
      </c>
      <c r="AV23" s="1">
        <v>0</v>
      </c>
      <c r="AW23" s="1">
        <v>0</v>
      </c>
      <c r="AX23" s="2">
        <v>396112.4637378566</v>
      </c>
      <c r="AY23" s="15">
        <f t="shared" si="3"/>
        <v>396112.4637378566</v>
      </c>
      <c r="BA23" s="1"/>
    </row>
    <row r="24" spans="1:53" x14ac:dyDescent="0.25">
      <c r="A24" s="14">
        <v>21</v>
      </c>
      <c r="B24" t="s">
        <v>20</v>
      </c>
      <c r="C24" s="1">
        <v>0</v>
      </c>
      <c r="D24" s="1">
        <v>39.121806153608915</v>
      </c>
      <c r="E24" s="1">
        <v>27.360286197730396</v>
      </c>
      <c r="F24" s="1">
        <v>39.62644106041477</v>
      </c>
      <c r="G24" s="1">
        <v>8.7598438638662088</v>
      </c>
      <c r="H24" s="1">
        <v>544.11893798705307</v>
      </c>
      <c r="I24" s="1">
        <v>516.80386497034135</v>
      </c>
      <c r="J24" s="1">
        <v>186.56923067056917</v>
      </c>
      <c r="K24" s="1">
        <v>68.599126418460457</v>
      </c>
      <c r="L24" s="1">
        <v>311.15585048883537</v>
      </c>
      <c r="M24" s="1">
        <v>9.566304820023424</v>
      </c>
      <c r="N24" s="1">
        <v>1084.5959868954362</v>
      </c>
      <c r="O24" s="1">
        <v>136.69554465414532</v>
      </c>
      <c r="P24" s="1">
        <v>257.09474005250712</v>
      </c>
      <c r="Q24" s="1">
        <v>640.42820418455278</v>
      </c>
      <c r="R24" s="1">
        <v>162.62144458705166</v>
      </c>
      <c r="S24" s="1">
        <v>301.58175569025542</v>
      </c>
      <c r="T24" s="1">
        <v>26.559379706372788</v>
      </c>
      <c r="U24" s="1">
        <v>0</v>
      </c>
      <c r="V24" s="1">
        <v>5068.0985593840796</v>
      </c>
      <c r="W24" s="1">
        <v>1012.3798885189092</v>
      </c>
      <c r="X24" s="1">
        <v>35.868309837435113</v>
      </c>
      <c r="Y24" s="1">
        <v>810.24274739696546</v>
      </c>
      <c r="Z24" s="1">
        <v>6726.0844179921178</v>
      </c>
      <c r="AA24" s="1">
        <v>111.08905193534248</v>
      </c>
      <c r="AB24" s="1">
        <v>723.82049468604293</v>
      </c>
      <c r="AC24" s="1">
        <v>445.55160143134958</v>
      </c>
      <c r="AD24" s="1">
        <v>190.18526169842272</v>
      </c>
      <c r="AE24" s="1">
        <v>46.960327523273513</v>
      </c>
      <c r="AF24" s="1">
        <v>83.01544546363391</v>
      </c>
      <c r="AG24" s="1">
        <v>566.1692134750291</v>
      </c>
      <c r="AH24" s="1">
        <v>1514.1024677180048</v>
      </c>
      <c r="AI24" s="1">
        <v>0</v>
      </c>
      <c r="AJ24" s="1">
        <v>320.63082942575647</v>
      </c>
      <c r="AK24" s="1">
        <v>169.4977910907871</v>
      </c>
      <c r="AL24" s="1">
        <v>1801.9336622209541</v>
      </c>
      <c r="AM24" s="1">
        <v>0</v>
      </c>
      <c r="AN24" s="15">
        <f t="shared" si="0"/>
        <v>23986.888818199328</v>
      </c>
      <c r="AO24" s="1">
        <v>124966.7077363228</v>
      </c>
      <c r="AP24" s="1">
        <v>0</v>
      </c>
      <c r="AQ24" s="1">
        <v>1597.3147705194783</v>
      </c>
      <c r="AR24" s="1">
        <v>198.45385489840865</v>
      </c>
      <c r="AS24" s="1">
        <v>28028.879154457074</v>
      </c>
      <c r="AT24" s="2">
        <f t="shared" si="1"/>
        <v>154791.35551619777</v>
      </c>
      <c r="AU24" s="16">
        <f t="shared" si="2"/>
        <v>178778.24433439711</v>
      </c>
      <c r="AV24" s="1">
        <v>0</v>
      </c>
      <c r="AW24" s="1">
        <v>0</v>
      </c>
      <c r="AX24" s="2">
        <v>178778.24710203827</v>
      </c>
      <c r="AY24" s="15">
        <f t="shared" si="3"/>
        <v>178778.24710203827</v>
      </c>
      <c r="BA24" s="1"/>
    </row>
    <row r="25" spans="1:53" x14ac:dyDescent="0.25">
      <c r="A25" s="14">
        <v>22</v>
      </c>
      <c r="B25" t="s">
        <v>21</v>
      </c>
      <c r="C25" s="1">
        <v>0</v>
      </c>
      <c r="D25" s="1">
        <v>202.13001004793202</v>
      </c>
      <c r="E25" s="1">
        <v>191.09524011722871</v>
      </c>
      <c r="F25" s="1">
        <v>279.70491470794082</v>
      </c>
      <c r="G25" s="1">
        <v>711.32539107666582</v>
      </c>
      <c r="H25" s="1">
        <v>2899.4533015956299</v>
      </c>
      <c r="I25" s="1">
        <v>538.57295756930682</v>
      </c>
      <c r="J25" s="1">
        <v>282.14949897136978</v>
      </c>
      <c r="K25" s="1">
        <v>359.75240863665101</v>
      </c>
      <c r="L25" s="1">
        <v>23924.265492510178</v>
      </c>
      <c r="M25" s="1">
        <v>235.94743269375391</v>
      </c>
      <c r="N25" s="1">
        <v>0</v>
      </c>
      <c r="O25" s="1">
        <v>3447.8646728509893</v>
      </c>
      <c r="P25" s="1">
        <v>3846.3713559080393</v>
      </c>
      <c r="Q25" s="1">
        <v>18172.548504347942</v>
      </c>
      <c r="R25" s="1">
        <v>4018.5549516469478</v>
      </c>
      <c r="S25" s="1">
        <v>18589.395786277924</v>
      </c>
      <c r="T25" s="1">
        <v>3668.9593977726713</v>
      </c>
      <c r="U25" s="1">
        <v>0</v>
      </c>
      <c r="V25" s="1">
        <v>994.8485070207721</v>
      </c>
      <c r="W25" s="1">
        <v>762.86011755751633</v>
      </c>
      <c r="X25" s="1">
        <v>19124.177465383105</v>
      </c>
      <c r="Y25" s="1">
        <v>1164.5947808457809</v>
      </c>
      <c r="Z25" s="1">
        <v>11457.991787753992</v>
      </c>
      <c r="AA25" s="1">
        <v>8638.9439023167251</v>
      </c>
      <c r="AB25" s="1">
        <v>5910.880328971034</v>
      </c>
      <c r="AC25" s="1">
        <v>3344.7818804130361</v>
      </c>
      <c r="AD25" s="1">
        <v>322.45469669058986</v>
      </c>
      <c r="AE25" s="1">
        <v>6838.4465226376969</v>
      </c>
      <c r="AF25" s="1">
        <v>6928.8596688765138</v>
      </c>
      <c r="AG25" s="1">
        <v>5955.5761665763157</v>
      </c>
      <c r="AH25" s="1">
        <v>9677.4705857756144</v>
      </c>
      <c r="AI25" s="1">
        <v>2854.4661931505084</v>
      </c>
      <c r="AJ25" s="1">
        <v>1813.5836684084711</v>
      </c>
      <c r="AK25" s="1">
        <v>608.24164138498725</v>
      </c>
      <c r="AL25" s="1">
        <v>344.76700186079779</v>
      </c>
      <c r="AM25" s="1">
        <v>0</v>
      </c>
      <c r="AN25" s="15">
        <f t="shared" si="0"/>
        <v>168111.03623235464</v>
      </c>
      <c r="AO25" s="1">
        <v>991712.08982089942</v>
      </c>
      <c r="AP25" s="1">
        <v>0</v>
      </c>
      <c r="AQ25" s="1">
        <v>0</v>
      </c>
      <c r="AR25" s="1">
        <v>0</v>
      </c>
      <c r="AS25" s="1">
        <v>0</v>
      </c>
      <c r="AT25" s="1">
        <f t="shared" si="1"/>
        <v>991712.08982089942</v>
      </c>
      <c r="AU25" s="15">
        <f t="shared" si="2"/>
        <v>1159823.1260532541</v>
      </c>
      <c r="AV25" s="1">
        <v>0</v>
      </c>
      <c r="AW25" s="1">
        <v>0</v>
      </c>
      <c r="AX25" s="2">
        <v>1159823.1299908496</v>
      </c>
      <c r="AY25" s="15">
        <f t="shared" si="3"/>
        <v>1159823.1299908496</v>
      </c>
      <c r="BA25" s="1"/>
    </row>
    <row r="26" spans="1:53" x14ac:dyDescent="0.25">
      <c r="A26" s="14">
        <v>23</v>
      </c>
      <c r="B26" t="s">
        <v>22</v>
      </c>
      <c r="C26" s="1">
        <v>8159.8324313644935</v>
      </c>
      <c r="D26" s="1">
        <v>5839.8547083646008</v>
      </c>
      <c r="E26" s="1">
        <v>48083.462682548874</v>
      </c>
      <c r="F26" s="1">
        <v>10561.889660519884</v>
      </c>
      <c r="G26" s="1">
        <v>1431.4559264756549</v>
      </c>
      <c r="H26" s="1">
        <v>203098.9372947886</v>
      </c>
      <c r="I26" s="1">
        <v>20137.850663264344</v>
      </c>
      <c r="J26" s="1">
        <v>6755.2916420997126</v>
      </c>
      <c r="K26" s="1">
        <v>18439.053878863091</v>
      </c>
      <c r="L26" s="1">
        <v>262019.89898783099</v>
      </c>
      <c r="M26" s="1">
        <v>18427.313372216144</v>
      </c>
      <c r="N26" s="1">
        <v>318600.93950442679</v>
      </c>
      <c r="O26" s="1">
        <v>851.35365055549346</v>
      </c>
      <c r="P26" s="1">
        <v>709.22942224179087</v>
      </c>
      <c r="Q26" s="1">
        <v>25808.921325586223</v>
      </c>
      <c r="R26" s="1">
        <v>1783.112597571979</v>
      </c>
      <c r="S26" s="1">
        <v>7800.6476831561449</v>
      </c>
      <c r="T26" s="1">
        <v>16628.400844761774</v>
      </c>
      <c r="U26" s="1">
        <v>0</v>
      </c>
      <c r="V26" s="1">
        <v>684.15278749623667</v>
      </c>
      <c r="W26" s="1">
        <v>21.497787805665556</v>
      </c>
      <c r="X26" s="1">
        <v>7769.7838897824831</v>
      </c>
      <c r="Y26" s="1">
        <v>5313.5404031744338</v>
      </c>
      <c r="Z26" s="1">
        <v>92603.944306434802</v>
      </c>
      <c r="AA26" s="1">
        <v>6842.5566497935997</v>
      </c>
      <c r="AB26" s="1">
        <v>1033.0136984761891</v>
      </c>
      <c r="AC26" s="1">
        <v>11813.505920643394</v>
      </c>
      <c r="AD26" s="1">
        <v>268.18079656957855</v>
      </c>
      <c r="AE26" s="1">
        <v>156561.27731909946</v>
      </c>
      <c r="AF26" s="1">
        <v>23905.562899327142</v>
      </c>
      <c r="AG26" s="1">
        <v>13875.785909929984</v>
      </c>
      <c r="AH26" s="1">
        <v>79155.803617685859</v>
      </c>
      <c r="AI26" s="1">
        <v>36218.640349054294</v>
      </c>
      <c r="AJ26" s="1">
        <v>2338.440022889642</v>
      </c>
      <c r="AK26" s="1">
        <v>227.0310797494171</v>
      </c>
      <c r="AL26" s="1">
        <v>2654.324079891559</v>
      </c>
      <c r="AM26" s="1">
        <v>0</v>
      </c>
      <c r="AN26" s="15">
        <f t="shared" si="0"/>
        <v>1416424.4877944407</v>
      </c>
      <c r="AO26" s="1">
        <v>0</v>
      </c>
      <c r="AP26" s="1">
        <v>0</v>
      </c>
      <c r="AQ26" s="1">
        <v>10011635.642643476</v>
      </c>
      <c r="AR26" s="1">
        <v>0</v>
      </c>
      <c r="AS26" s="1">
        <v>0</v>
      </c>
      <c r="AT26" s="1">
        <f t="shared" si="1"/>
        <v>10011635.642643476</v>
      </c>
      <c r="AU26" s="15">
        <f t="shared" si="2"/>
        <v>11428060.130437916</v>
      </c>
      <c r="AV26" s="1">
        <v>0</v>
      </c>
      <c r="AW26" s="1">
        <v>0</v>
      </c>
      <c r="AX26" s="2">
        <v>11428060.13258614</v>
      </c>
      <c r="AY26" s="15">
        <f t="shared" si="3"/>
        <v>11428060.13258614</v>
      </c>
      <c r="BA26" s="1"/>
    </row>
    <row r="27" spans="1:53" x14ac:dyDescent="0.25">
      <c r="A27" s="14">
        <v>24</v>
      </c>
      <c r="B27" t="s">
        <v>23</v>
      </c>
      <c r="C27" s="1">
        <v>9824.4795722836479</v>
      </c>
      <c r="D27" s="1">
        <v>27530.632688636553</v>
      </c>
      <c r="E27" s="1">
        <v>12216.619507599675</v>
      </c>
      <c r="F27" s="1">
        <v>5440.061573066132</v>
      </c>
      <c r="G27" s="1">
        <v>77138.315482989972</v>
      </c>
      <c r="H27" s="1">
        <v>52531.073522726299</v>
      </c>
      <c r="I27" s="1">
        <v>1594.9742893007835</v>
      </c>
      <c r="J27" s="1">
        <v>74681.868237443225</v>
      </c>
      <c r="K27" s="1">
        <v>788223.93097876292</v>
      </c>
      <c r="L27" s="1">
        <v>467779.01305104053</v>
      </c>
      <c r="M27" s="1">
        <v>17364.522969707526</v>
      </c>
      <c r="N27" s="1">
        <v>1702552.0785173811</v>
      </c>
      <c r="O27" s="1">
        <v>160377.58506405706</v>
      </c>
      <c r="P27" s="1">
        <v>8384.8526584305309</v>
      </c>
      <c r="Q27" s="1">
        <v>900023.3688392858</v>
      </c>
      <c r="R27" s="1">
        <v>402045.33192428929</v>
      </c>
      <c r="S27" s="1">
        <v>552132.58658688492</v>
      </c>
      <c r="T27" s="1">
        <v>11092.196128449339</v>
      </c>
      <c r="U27" s="1">
        <v>0</v>
      </c>
      <c r="V27" s="1">
        <v>26755.539787769823</v>
      </c>
      <c r="W27" s="1">
        <v>11422.325338481412</v>
      </c>
      <c r="X27" s="1">
        <v>44078.551322200168</v>
      </c>
      <c r="Y27" s="1">
        <v>800510.2647358391</v>
      </c>
      <c r="Z27" s="1">
        <v>299650.63688634126</v>
      </c>
      <c r="AA27" s="1">
        <v>141393.0485005411</v>
      </c>
      <c r="AB27" s="1">
        <v>112347.34475496835</v>
      </c>
      <c r="AC27" s="1">
        <v>325030.1528668027</v>
      </c>
      <c r="AD27" s="1">
        <v>74255.831412797896</v>
      </c>
      <c r="AE27" s="1">
        <v>56949.799317238831</v>
      </c>
      <c r="AF27" s="1">
        <v>7073.3183566085336</v>
      </c>
      <c r="AG27" s="1">
        <v>2514.4418051581338</v>
      </c>
      <c r="AH27" s="1">
        <v>58671.309001727706</v>
      </c>
      <c r="AI27" s="1">
        <v>6079.2011844084191</v>
      </c>
      <c r="AJ27" s="1">
        <v>14895.667738806616</v>
      </c>
      <c r="AK27" s="1">
        <v>3189.8879974248512</v>
      </c>
      <c r="AL27" s="1">
        <v>19100.749098892073</v>
      </c>
      <c r="AM27" s="1">
        <v>0</v>
      </c>
      <c r="AN27" s="15">
        <f t="shared" si="0"/>
        <v>7274851.5616983445</v>
      </c>
      <c r="AO27" s="1">
        <v>2293819.3040197799</v>
      </c>
      <c r="AP27" s="1">
        <v>0</v>
      </c>
      <c r="AQ27" s="1">
        <v>604050.94598939759</v>
      </c>
      <c r="AR27" s="1">
        <v>0</v>
      </c>
      <c r="AS27" s="1">
        <v>2606456.6943661207</v>
      </c>
      <c r="AT27" s="1">
        <f t="shared" si="1"/>
        <v>5504326.944375298</v>
      </c>
      <c r="AU27" s="15">
        <f t="shared" si="2"/>
        <v>12779178.506073643</v>
      </c>
      <c r="AV27" s="1">
        <v>0</v>
      </c>
      <c r="AW27" s="1">
        <v>0</v>
      </c>
      <c r="AX27" s="2">
        <v>12779178.503018888</v>
      </c>
      <c r="AY27" s="15">
        <f t="shared" si="3"/>
        <v>12779178.503018888</v>
      </c>
      <c r="BA27" s="1"/>
    </row>
    <row r="28" spans="1:53" x14ac:dyDescent="0.25">
      <c r="A28" s="14">
        <v>25</v>
      </c>
      <c r="B28" t="s">
        <v>24</v>
      </c>
      <c r="C28" s="1">
        <v>0</v>
      </c>
      <c r="D28" s="1">
        <v>954.36207967236851</v>
      </c>
      <c r="E28" s="1">
        <v>737.56517603242401</v>
      </c>
      <c r="F28" s="1">
        <v>392.74980691467289</v>
      </c>
      <c r="G28" s="1">
        <v>109.39777551759059</v>
      </c>
      <c r="H28" s="1">
        <v>36805.920107044112</v>
      </c>
      <c r="I28" s="1">
        <v>938.59177382662494</v>
      </c>
      <c r="J28" s="1">
        <v>2829.2685214503035</v>
      </c>
      <c r="K28" s="1">
        <v>16104.021032141478</v>
      </c>
      <c r="L28" s="1">
        <v>12938.942535513937</v>
      </c>
      <c r="M28" s="1">
        <v>3578.6591884909562</v>
      </c>
      <c r="N28" s="1">
        <v>201306.07065607063</v>
      </c>
      <c r="O28" s="1">
        <v>2239.0421519067022</v>
      </c>
      <c r="P28" s="1">
        <v>748.91545056940515</v>
      </c>
      <c r="Q28" s="1">
        <v>10966.756011471123</v>
      </c>
      <c r="R28" s="1">
        <v>11603.637599668413</v>
      </c>
      <c r="S28" s="1">
        <v>46400.096072795262</v>
      </c>
      <c r="T28" s="1">
        <v>2097.7284342249827</v>
      </c>
      <c r="U28" s="1">
        <v>0</v>
      </c>
      <c r="V28" s="1">
        <v>3046.8062353203727</v>
      </c>
      <c r="W28" s="1">
        <v>1013.9146095396358</v>
      </c>
      <c r="X28" s="1">
        <v>561.29706834366721</v>
      </c>
      <c r="Y28" s="1">
        <v>24344.215653106432</v>
      </c>
      <c r="Z28" s="1">
        <v>15676.683174873426</v>
      </c>
      <c r="AA28" s="1">
        <v>1062.6872069467549</v>
      </c>
      <c r="AB28" s="1">
        <v>13540.527888555813</v>
      </c>
      <c r="AC28" s="1">
        <v>23242.412700150457</v>
      </c>
      <c r="AD28" s="1">
        <v>35880.893463241526</v>
      </c>
      <c r="AE28" s="1">
        <v>8697.6193543369973</v>
      </c>
      <c r="AF28" s="1">
        <v>1086.6157922055991</v>
      </c>
      <c r="AG28" s="1">
        <v>2186.5023984881277</v>
      </c>
      <c r="AH28" s="1">
        <v>12838.545282161998</v>
      </c>
      <c r="AI28" s="1">
        <v>33527.194444428584</v>
      </c>
      <c r="AJ28" s="1">
        <v>911.13663815858456</v>
      </c>
      <c r="AK28" s="1">
        <v>1581.7175333544305</v>
      </c>
      <c r="AL28" s="1">
        <v>4524.9000973860475</v>
      </c>
      <c r="AM28" s="1">
        <v>0</v>
      </c>
      <c r="AN28" s="15">
        <f t="shared" si="0"/>
        <v>534475.39391390956</v>
      </c>
      <c r="AO28" s="1">
        <v>1585885.6513458136</v>
      </c>
      <c r="AP28" s="1">
        <v>0</v>
      </c>
      <c r="AQ28" s="1">
        <v>0</v>
      </c>
      <c r="AR28" s="1">
        <v>0</v>
      </c>
      <c r="AS28" s="1">
        <v>0</v>
      </c>
      <c r="AT28" s="1">
        <f t="shared" si="1"/>
        <v>1585885.6513458136</v>
      </c>
      <c r="AU28" s="15">
        <f t="shared" si="2"/>
        <v>2120361.0452597234</v>
      </c>
      <c r="AV28" s="1">
        <v>0</v>
      </c>
      <c r="AW28" s="1">
        <v>0</v>
      </c>
      <c r="AX28" s="2">
        <v>2120361.0458640363</v>
      </c>
      <c r="AY28" s="15">
        <f t="shared" si="3"/>
        <v>2120361.0458640363</v>
      </c>
      <c r="BA28" s="1"/>
    </row>
    <row r="29" spans="1:53" x14ac:dyDescent="0.25">
      <c r="A29" s="14">
        <v>26</v>
      </c>
      <c r="B29" t="s">
        <v>25</v>
      </c>
      <c r="C29" s="1">
        <v>4332.3774769614802</v>
      </c>
      <c r="D29" s="1">
        <v>9938.8055355958968</v>
      </c>
      <c r="E29" s="1">
        <v>8352.659842070072</v>
      </c>
      <c r="F29" s="1">
        <v>2711.5367101272841</v>
      </c>
      <c r="G29" s="1">
        <v>36160.18398653825</v>
      </c>
      <c r="H29" s="1">
        <v>5269.734431874308</v>
      </c>
      <c r="I29" s="1">
        <v>1672.3657956078359</v>
      </c>
      <c r="J29" s="1">
        <v>12662.393203235606</v>
      </c>
      <c r="K29" s="1">
        <v>165921.60426533665</v>
      </c>
      <c r="L29" s="1">
        <v>106191.90214045288</v>
      </c>
      <c r="M29" s="1">
        <v>6674.4583553840248</v>
      </c>
      <c r="N29" s="1">
        <v>265589.95466303831</v>
      </c>
      <c r="O29" s="1">
        <v>20304.466508180845</v>
      </c>
      <c r="P29" s="1">
        <v>2157.364816152819</v>
      </c>
      <c r="Q29" s="1">
        <v>101311.07690323946</v>
      </c>
      <c r="R29" s="1">
        <v>53903.549403968187</v>
      </c>
      <c r="S29" s="1">
        <v>104212.40601428386</v>
      </c>
      <c r="T29" s="1">
        <v>4651.86978267431</v>
      </c>
      <c r="U29" s="1">
        <v>0</v>
      </c>
      <c r="V29" s="1">
        <v>4940.2501935352147</v>
      </c>
      <c r="W29" s="1">
        <v>3133.6879773942364</v>
      </c>
      <c r="X29" s="1">
        <v>9080.3549849020692</v>
      </c>
      <c r="Y29" s="1">
        <v>45281.534284310743</v>
      </c>
      <c r="Z29" s="1">
        <v>125081.90591878153</v>
      </c>
      <c r="AA29" s="1">
        <v>23690.611527769972</v>
      </c>
      <c r="AB29" s="1">
        <v>30833.153692505137</v>
      </c>
      <c r="AC29" s="1">
        <v>47763.835289738869</v>
      </c>
      <c r="AD29" s="1">
        <v>9980.5835311273349</v>
      </c>
      <c r="AE29" s="1">
        <v>12957.279207654636</v>
      </c>
      <c r="AF29" s="1">
        <v>4176.301110543166</v>
      </c>
      <c r="AG29" s="1">
        <v>7298.0913521510447</v>
      </c>
      <c r="AH29" s="1">
        <v>15070.564425889706</v>
      </c>
      <c r="AI29" s="1">
        <v>31042.564931183406</v>
      </c>
      <c r="AJ29" s="1">
        <v>2836.3650969259761</v>
      </c>
      <c r="AK29" s="1">
        <v>553.93451947758444</v>
      </c>
      <c r="AL29" s="1">
        <v>5745.1140473760925</v>
      </c>
      <c r="AM29" s="1">
        <v>0</v>
      </c>
      <c r="AN29" s="15">
        <f t="shared" si="0"/>
        <v>1291484.8419259887</v>
      </c>
      <c r="AO29" s="1">
        <v>1388426.0517536453</v>
      </c>
      <c r="AP29" s="1">
        <v>0</v>
      </c>
      <c r="AQ29" s="1">
        <v>10412.647010653371</v>
      </c>
      <c r="AR29" s="1">
        <v>0</v>
      </c>
      <c r="AS29" s="1">
        <v>317464.7189345457</v>
      </c>
      <c r="AT29" s="1">
        <f t="shared" si="1"/>
        <v>1716303.4176988443</v>
      </c>
      <c r="AU29" s="15">
        <f t="shared" si="2"/>
        <v>3007788.2596248332</v>
      </c>
      <c r="AV29" s="1">
        <v>0</v>
      </c>
      <c r="AW29" s="1">
        <v>0</v>
      </c>
      <c r="AX29" s="2">
        <v>3007788.2565473691</v>
      </c>
      <c r="AY29" s="15">
        <f t="shared" si="3"/>
        <v>3007788.2565473691</v>
      </c>
      <c r="BA29" s="1"/>
    </row>
    <row r="30" spans="1:53" x14ac:dyDescent="0.25">
      <c r="A30" s="14">
        <v>27</v>
      </c>
      <c r="B30" t="s">
        <v>26</v>
      </c>
      <c r="C30" s="1">
        <v>891.30174432097567</v>
      </c>
      <c r="D30" s="1">
        <v>1927.1260613245947</v>
      </c>
      <c r="E30" s="1">
        <v>1656.8247125877585</v>
      </c>
      <c r="F30" s="1">
        <v>481.86205429090353</v>
      </c>
      <c r="G30" s="1">
        <v>8595.5410242101771</v>
      </c>
      <c r="H30" s="1">
        <v>22575.406002165717</v>
      </c>
      <c r="I30" s="1">
        <v>166.78615125915744</v>
      </c>
      <c r="J30" s="1">
        <v>4813.426037054599</v>
      </c>
      <c r="K30" s="1">
        <v>79043.051329071575</v>
      </c>
      <c r="L30" s="1">
        <v>222230.84566371763</v>
      </c>
      <c r="M30" s="1">
        <v>2064.5581785829759</v>
      </c>
      <c r="N30" s="1">
        <v>291939.21306046576</v>
      </c>
      <c r="O30" s="1">
        <v>9973.3695930908179</v>
      </c>
      <c r="P30" s="1">
        <v>4219.9269722069339</v>
      </c>
      <c r="Q30" s="1">
        <v>155347.41270059603</v>
      </c>
      <c r="R30" s="1">
        <v>32935.68208015406</v>
      </c>
      <c r="S30" s="1">
        <v>84808.970125594351</v>
      </c>
      <c r="T30" s="1">
        <v>11316.671581406001</v>
      </c>
      <c r="U30" s="1">
        <v>0</v>
      </c>
      <c r="V30" s="1">
        <v>4887.5388279615499</v>
      </c>
      <c r="W30" s="1">
        <v>1047.8868288634571</v>
      </c>
      <c r="X30" s="1">
        <v>4231.299945043017</v>
      </c>
      <c r="Y30" s="1">
        <v>97451.8076206408</v>
      </c>
      <c r="Z30" s="1">
        <v>108085.4549124098</v>
      </c>
      <c r="AA30" s="1">
        <v>9275.4012058818334</v>
      </c>
      <c r="AB30" s="1">
        <v>32536.878141563924</v>
      </c>
      <c r="AC30" s="1">
        <v>66011.367940013588</v>
      </c>
      <c r="AD30" s="1">
        <v>3420.2495655408425</v>
      </c>
      <c r="AE30" s="1">
        <v>21572.144379667261</v>
      </c>
      <c r="AF30" s="1">
        <v>5625.7475967937989</v>
      </c>
      <c r="AG30" s="1">
        <v>3553.672314658394</v>
      </c>
      <c r="AH30" s="1">
        <v>7785.6187020541074</v>
      </c>
      <c r="AI30" s="1">
        <v>29713.834973777197</v>
      </c>
      <c r="AJ30" s="1">
        <v>1755.6134286724343</v>
      </c>
      <c r="AK30" s="1">
        <v>768.8605432816729</v>
      </c>
      <c r="AL30" s="1">
        <v>3647.5843869416026</v>
      </c>
      <c r="AM30" s="1">
        <v>0</v>
      </c>
      <c r="AN30" s="15">
        <f t="shared" si="0"/>
        <v>1336358.9363858651</v>
      </c>
      <c r="AO30" s="1">
        <v>891461.61702607106</v>
      </c>
      <c r="AP30" s="1">
        <v>0</v>
      </c>
      <c r="AQ30" s="1">
        <v>43755.123883261491</v>
      </c>
      <c r="AR30" s="1">
        <v>0</v>
      </c>
      <c r="AS30" s="1">
        <v>1239557.9337849582</v>
      </c>
      <c r="AT30" s="1">
        <f t="shared" si="1"/>
        <v>2174774.6746942909</v>
      </c>
      <c r="AU30" s="15">
        <f t="shared" si="2"/>
        <v>3511133.6110801557</v>
      </c>
      <c r="AV30" s="1">
        <v>0</v>
      </c>
      <c r="AW30" s="1">
        <v>0</v>
      </c>
      <c r="AX30" s="2">
        <v>3511133.6137485835</v>
      </c>
      <c r="AY30" s="15">
        <f t="shared" si="3"/>
        <v>3511133.6137485835</v>
      </c>
      <c r="BA30" s="1"/>
    </row>
    <row r="31" spans="1:53" x14ac:dyDescent="0.25">
      <c r="A31" s="14">
        <v>28</v>
      </c>
      <c r="B31" t="s">
        <v>27</v>
      </c>
      <c r="C31" s="1">
        <v>119.07475764127378</v>
      </c>
      <c r="D31" s="1">
        <v>483.14778586148032</v>
      </c>
      <c r="E31" s="1">
        <v>575.56833923659838</v>
      </c>
      <c r="F31" s="1">
        <v>808.42334678433713</v>
      </c>
      <c r="G31" s="1">
        <v>5686.8774068538823</v>
      </c>
      <c r="H31" s="1">
        <v>4408.1618064382819</v>
      </c>
      <c r="I31" s="1">
        <v>41.434255362833866</v>
      </c>
      <c r="J31" s="1">
        <v>2431.7141251117996</v>
      </c>
      <c r="K31" s="1">
        <v>61508.253131791673</v>
      </c>
      <c r="L31" s="1">
        <v>133807.56239943203</v>
      </c>
      <c r="M31" s="1">
        <v>5121.9112188843055</v>
      </c>
      <c r="N31" s="1">
        <v>700894.01067406789</v>
      </c>
      <c r="O31" s="1">
        <v>6092.9735398793755</v>
      </c>
      <c r="P31" s="1">
        <v>3900.7651435435473</v>
      </c>
      <c r="Q31" s="1">
        <v>5745.6935241033025</v>
      </c>
      <c r="R31" s="1">
        <v>17759.952498241051</v>
      </c>
      <c r="S31" s="1">
        <v>193674.82015612116</v>
      </c>
      <c r="T31" s="1">
        <v>759.87350820101506</v>
      </c>
      <c r="U31" s="1">
        <v>0</v>
      </c>
      <c r="V31" s="1">
        <v>2775.7037462442845</v>
      </c>
      <c r="W31" s="1">
        <v>303.59649306096566</v>
      </c>
      <c r="X31" s="1">
        <v>2155.0860524534787</v>
      </c>
      <c r="Y31" s="1">
        <v>17813.996825694569</v>
      </c>
      <c r="Z31" s="1">
        <v>56885.425790944348</v>
      </c>
      <c r="AA31" s="1">
        <v>5357.6539046701737</v>
      </c>
      <c r="AB31" s="1">
        <v>2382.024727712123</v>
      </c>
      <c r="AC31" s="1">
        <v>9627.7608772127169</v>
      </c>
      <c r="AD31" s="1">
        <v>1555.2715255812395</v>
      </c>
      <c r="AE31" s="1">
        <v>5547.9135255220326</v>
      </c>
      <c r="AF31" s="1">
        <v>1202.6887954662941</v>
      </c>
      <c r="AG31" s="1">
        <v>7080.0789181592818</v>
      </c>
      <c r="AH31" s="1">
        <v>9427.2619836434278</v>
      </c>
      <c r="AI31" s="1">
        <v>21763.686857000732</v>
      </c>
      <c r="AJ31" s="1">
        <v>945.46923146307347</v>
      </c>
      <c r="AK31" s="1">
        <v>1585.605165103462</v>
      </c>
      <c r="AL31" s="1">
        <v>1189.9493824189447</v>
      </c>
      <c r="AM31" s="1">
        <v>0</v>
      </c>
      <c r="AN31" s="15">
        <f t="shared" si="0"/>
        <v>1291419.3914199069</v>
      </c>
      <c r="AO31" s="1">
        <v>288814.6242465105</v>
      </c>
      <c r="AP31" s="1">
        <v>0</v>
      </c>
      <c r="AQ31" s="1">
        <v>0</v>
      </c>
      <c r="AR31" s="1">
        <v>0</v>
      </c>
      <c r="AS31" s="1">
        <v>0</v>
      </c>
      <c r="AT31" s="1">
        <f t="shared" si="1"/>
        <v>288814.6242465105</v>
      </c>
      <c r="AU31" s="15">
        <f t="shared" si="2"/>
        <v>1580234.0156664173</v>
      </c>
      <c r="AV31" s="1">
        <v>0</v>
      </c>
      <c r="AW31" s="1">
        <v>0</v>
      </c>
      <c r="AX31" s="2">
        <v>1580234.0198215521</v>
      </c>
      <c r="AY31" s="15">
        <f t="shared" si="3"/>
        <v>1580234.0198215521</v>
      </c>
      <c r="BA31" s="1"/>
    </row>
    <row r="32" spans="1:53" x14ac:dyDescent="0.25">
      <c r="A32" s="14">
        <v>29</v>
      </c>
      <c r="B32" t="s">
        <v>28</v>
      </c>
      <c r="C32" s="1">
        <v>469.45202370313342</v>
      </c>
      <c r="D32" s="1">
        <v>1097.2470616061391</v>
      </c>
      <c r="E32" s="1">
        <v>1597.0047215694922</v>
      </c>
      <c r="F32" s="1">
        <v>224.95334173510111</v>
      </c>
      <c r="G32" s="1">
        <v>2394.314380848592</v>
      </c>
      <c r="H32" s="1">
        <v>4790.4015599567156</v>
      </c>
      <c r="I32" s="1">
        <v>156.27231667172856</v>
      </c>
      <c r="J32" s="1">
        <v>2861.3364056759674</v>
      </c>
      <c r="K32" s="1">
        <v>29305.429743574929</v>
      </c>
      <c r="L32" s="1">
        <v>23140.085404145546</v>
      </c>
      <c r="M32" s="1">
        <v>768.68880855687758</v>
      </c>
      <c r="N32" s="1">
        <v>71353.122664993818</v>
      </c>
      <c r="O32" s="1">
        <v>3423.1649374066988</v>
      </c>
      <c r="P32" s="1">
        <v>3458.0726229593815</v>
      </c>
      <c r="Q32" s="1">
        <v>95725.124023445809</v>
      </c>
      <c r="R32" s="1">
        <v>30241.555163496636</v>
      </c>
      <c r="S32" s="1">
        <v>136337.76638103856</v>
      </c>
      <c r="T32" s="1">
        <v>15274.288429558488</v>
      </c>
      <c r="U32" s="1">
        <v>0</v>
      </c>
      <c r="V32" s="1">
        <v>4440.2378515452392</v>
      </c>
      <c r="W32" s="1">
        <v>438.28938192377615</v>
      </c>
      <c r="X32" s="1">
        <v>3874.6632028117319</v>
      </c>
      <c r="Y32" s="1">
        <v>27514.912754224766</v>
      </c>
      <c r="Z32" s="1">
        <v>200698.54388101344</v>
      </c>
      <c r="AA32" s="1">
        <v>5116.4910689199924</v>
      </c>
      <c r="AB32" s="1">
        <v>119151.56906412433</v>
      </c>
      <c r="AC32" s="1">
        <v>189356.91714191335</v>
      </c>
      <c r="AD32" s="1">
        <v>92649.056156541323</v>
      </c>
      <c r="AE32" s="1">
        <v>260810.28129134417</v>
      </c>
      <c r="AF32" s="1">
        <v>10140.753852145055</v>
      </c>
      <c r="AG32" s="1">
        <v>2763.9370439114846</v>
      </c>
      <c r="AH32" s="1">
        <v>10563.800304014372</v>
      </c>
      <c r="AI32" s="1">
        <v>28633.830754950617</v>
      </c>
      <c r="AJ32" s="1">
        <v>865.25897505911519</v>
      </c>
      <c r="AK32" s="1">
        <v>945.13810477835773</v>
      </c>
      <c r="AL32" s="1">
        <v>3640.2748406335977</v>
      </c>
      <c r="AM32" s="1">
        <v>0</v>
      </c>
      <c r="AN32" s="15">
        <f t="shared" si="0"/>
        <v>1384222.2356607984</v>
      </c>
      <c r="AO32" s="1">
        <v>1661785.5345560168</v>
      </c>
      <c r="AP32" s="1">
        <v>0</v>
      </c>
      <c r="AQ32" s="1">
        <v>34480.063345955467</v>
      </c>
      <c r="AR32" s="1">
        <v>0</v>
      </c>
      <c r="AS32" s="1">
        <v>90681.951137376978</v>
      </c>
      <c r="AT32" s="1">
        <f t="shared" si="1"/>
        <v>1786947.5490393492</v>
      </c>
      <c r="AU32" s="15">
        <f t="shared" si="2"/>
        <v>3171169.7847001478</v>
      </c>
      <c r="AV32" s="1">
        <v>0</v>
      </c>
      <c r="AW32" s="1">
        <v>0</v>
      </c>
      <c r="AX32" s="2">
        <v>3171169.7871787599</v>
      </c>
      <c r="AY32" s="15">
        <f t="shared" si="3"/>
        <v>3171169.7871787599</v>
      </c>
      <c r="BA32" s="1"/>
    </row>
    <row r="33" spans="1:53" x14ac:dyDescent="0.25">
      <c r="A33" s="14">
        <v>30</v>
      </c>
      <c r="B33" t="s">
        <v>29</v>
      </c>
      <c r="C33" s="1">
        <v>0</v>
      </c>
      <c r="D33" s="1">
        <v>1164.2363008537659</v>
      </c>
      <c r="E33" s="1">
        <v>1560.6782237841101</v>
      </c>
      <c r="F33" s="1">
        <v>116.05062586858297</v>
      </c>
      <c r="G33" s="1">
        <v>32.542146150196565</v>
      </c>
      <c r="H33" s="1">
        <v>1174.0225547947855</v>
      </c>
      <c r="I33" s="1">
        <v>176.83886478856732</v>
      </c>
      <c r="J33" s="1">
        <v>240.81874563228797</v>
      </c>
      <c r="K33" s="1">
        <v>418.12420570620549</v>
      </c>
      <c r="L33" s="1">
        <v>55163.167751240217</v>
      </c>
      <c r="M33" s="1">
        <v>1030.0503176769216</v>
      </c>
      <c r="N33" s="1">
        <v>152751.08863594456</v>
      </c>
      <c r="O33" s="1">
        <v>732.9837987006523</v>
      </c>
      <c r="P33" s="1">
        <v>1293.1143098402565</v>
      </c>
      <c r="Q33" s="1">
        <v>12941.854242225452</v>
      </c>
      <c r="R33" s="1">
        <v>15921.949925667033</v>
      </c>
      <c r="S33" s="1">
        <v>30490.515846222479</v>
      </c>
      <c r="T33" s="1">
        <v>1411.6701556811429</v>
      </c>
      <c r="U33" s="1">
        <v>0</v>
      </c>
      <c r="V33" s="1">
        <v>1509.4505530473807</v>
      </c>
      <c r="W33" s="1">
        <v>746.32862959636702</v>
      </c>
      <c r="X33" s="1">
        <v>3215.2919842354995</v>
      </c>
      <c r="Y33" s="1">
        <v>13461.000909239749</v>
      </c>
      <c r="Z33" s="1">
        <v>95245.842629606501</v>
      </c>
      <c r="AA33" s="1">
        <v>3136.4687184236318</v>
      </c>
      <c r="AB33" s="1">
        <v>9809.50266775815</v>
      </c>
      <c r="AC33" s="1">
        <v>23406.454944754812</v>
      </c>
      <c r="AD33" s="1">
        <v>1759.6081721768107</v>
      </c>
      <c r="AE33" s="1">
        <v>36308.006218524744</v>
      </c>
      <c r="AF33" s="1">
        <v>32205.237414002644</v>
      </c>
      <c r="AG33" s="1">
        <v>14779.317714448778</v>
      </c>
      <c r="AH33" s="1">
        <v>22930.56611053232</v>
      </c>
      <c r="AI33" s="1">
        <v>4992.7642986135088</v>
      </c>
      <c r="AJ33" s="1">
        <v>1644.5901210787601</v>
      </c>
      <c r="AK33" s="1">
        <v>638.1434456461717</v>
      </c>
      <c r="AL33" s="1">
        <v>11373.420162320534</v>
      </c>
      <c r="AM33" s="1">
        <v>0</v>
      </c>
      <c r="AN33" s="15">
        <f t="shared" si="0"/>
        <v>553781.70134478353</v>
      </c>
      <c r="AO33" s="1">
        <v>387464.07553725474</v>
      </c>
      <c r="AP33" s="1">
        <v>0</v>
      </c>
      <c r="AQ33" s="1">
        <v>0</v>
      </c>
      <c r="AR33" s="1">
        <v>0</v>
      </c>
      <c r="AS33" s="1">
        <v>0</v>
      </c>
      <c r="AT33" s="1">
        <f t="shared" si="1"/>
        <v>387464.07553725474</v>
      </c>
      <c r="AU33" s="15">
        <f t="shared" si="2"/>
        <v>941245.77688203822</v>
      </c>
      <c r="AV33" s="1">
        <v>0</v>
      </c>
      <c r="AW33" s="1">
        <v>0</v>
      </c>
      <c r="AX33" s="2">
        <v>941245.77812728938</v>
      </c>
      <c r="AY33" s="15">
        <f t="shared" si="3"/>
        <v>941245.77812728938</v>
      </c>
      <c r="BA33" s="1"/>
    </row>
    <row r="34" spans="1:53" x14ac:dyDescent="0.25">
      <c r="A34" s="14">
        <v>31</v>
      </c>
      <c r="B34" t="s">
        <v>30</v>
      </c>
      <c r="C34" s="1">
        <v>3017.1452620670671</v>
      </c>
      <c r="D34" s="1">
        <v>2484.8575417532875</v>
      </c>
      <c r="E34" s="1">
        <v>8140.5235859060886</v>
      </c>
      <c r="F34" s="1">
        <v>960.43598311396772</v>
      </c>
      <c r="G34" s="1">
        <v>2345.7329579676389</v>
      </c>
      <c r="H34" s="1">
        <v>18968.443741807372</v>
      </c>
      <c r="I34" s="1">
        <v>1419.7696658932084</v>
      </c>
      <c r="J34" s="1">
        <v>9041.1578153854844</v>
      </c>
      <c r="K34" s="1">
        <v>241486.33614522393</v>
      </c>
      <c r="L34" s="1">
        <v>42138.166422368507</v>
      </c>
      <c r="M34" s="1">
        <v>11627.235442251391</v>
      </c>
      <c r="N34" s="1">
        <v>287936.64405368257</v>
      </c>
      <c r="O34" s="1">
        <v>9220.023798406386</v>
      </c>
      <c r="P34" s="1">
        <v>2038.0584589085529</v>
      </c>
      <c r="Q34" s="1">
        <v>42024.108064282642</v>
      </c>
      <c r="R34" s="1">
        <v>26291.69643910107</v>
      </c>
      <c r="S34" s="1">
        <v>45312.685400103437</v>
      </c>
      <c r="T34" s="1">
        <v>2051.7936143650936</v>
      </c>
      <c r="U34" s="1">
        <v>0</v>
      </c>
      <c r="V34" s="1">
        <v>2774.4542101996535</v>
      </c>
      <c r="W34" s="1">
        <v>4844.6160657504261</v>
      </c>
      <c r="X34" s="1">
        <v>3821.5973269960564</v>
      </c>
      <c r="Y34" s="1">
        <v>14332.309872002064</v>
      </c>
      <c r="Z34" s="1">
        <v>42354.202775378508</v>
      </c>
      <c r="AA34" s="1">
        <v>2393.1163072458039</v>
      </c>
      <c r="AB34" s="1">
        <v>26270.301154669389</v>
      </c>
      <c r="AC34" s="1">
        <v>13284.260997881105</v>
      </c>
      <c r="AD34" s="1">
        <v>2586.6505123321399</v>
      </c>
      <c r="AE34" s="1">
        <v>5708.403336054891</v>
      </c>
      <c r="AF34" s="1">
        <v>4925.9629983677551</v>
      </c>
      <c r="AG34" s="1">
        <v>26152.281685649228</v>
      </c>
      <c r="AH34" s="1">
        <v>37101.865612954411</v>
      </c>
      <c r="AI34" s="1">
        <v>18994.50910296274</v>
      </c>
      <c r="AJ34" s="1">
        <v>1222.0300664995968</v>
      </c>
      <c r="AK34" s="1">
        <v>1140.4886004854654</v>
      </c>
      <c r="AL34" s="1">
        <v>3033.3275726462712</v>
      </c>
      <c r="AM34" s="1">
        <v>0</v>
      </c>
      <c r="AN34" s="15">
        <f t="shared" si="0"/>
        <v>967445.19259066321</v>
      </c>
      <c r="AO34" s="1">
        <v>154823.32177536562</v>
      </c>
      <c r="AP34" s="1">
        <v>0</v>
      </c>
      <c r="AQ34" s="1">
        <v>0</v>
      </c>
      <c r="AR34" s="1">
        <v>0</v>
      </c>
      <c r="AS34" s="1">
        <v>0</v>
      </c>
      <c r="AT34" s="1">
        <f t="shared" si="1"/>
        <v>154823.32177536562</v>
      </c>
      <c r="AU34" s="15">
        <f t="shared" si="2"/>
        <v>1122268.5143660288</v>
      </c>
      <c r="AV34" s="1">
        <v>0</v>
      </c>
      <c r="AW34" s="1">
        <v>0</v>
      </c>
      <c r="AX34" s="2">
        <v>1122268.5192847161</v>
      </c>
      <c r="AY34" s="15">
        <f t="shared" si="3"/>
        <v>1122268.5192847161</v>
      </c>
      <c r="BA34" s="1"/>
    </row>
    <row r="35" spans="1:53" x14ac:dyDescent="0.25">
      <c r="A35" s="14">
        <v>32</v>
      </c>
      <c r="B35" t="s">
        <v>31</v>
      </c>
      <c r="C35" s="1">
        <v>5316.7005690852529</v>
      </c>
      <c r="D35" s="1">
        <v>879.89401981605351</v>
      </c>
      <c r="E35" s="1">
        <v>567.70846372610049</v>
      </c>
      <c r="F35" s="1">
        <v>258.25014826386831</v>
      </c>
      <c r="G35" s="1">
        <v>66.69119636959644</v>
      </c>
      <c r="H35" s="1">
        <v>57894.5891744295</v>
      </c>
      <c r="I35" s="1">
        <v>3429.0216040844361</v>
      </c>
      <c r="J35" s="1">
        <v>2007.5198998236492</v>
      </c>
      <c r="K35" s="1">
        <v>832495.62947532302</v>
      </c>
      <c r="L35" s="1">
        <v>195278.11945604812</v>
      </c>
      <c r="M35" s="1">
        <v>8062.7582048831682</v>
      </c>
      <c r="N35" s="1">
        <v>438295.39248658589</v>
      </c>
      <c r="O35" s="1">
        <v>1925.6968959602011</v>
      </c>
      <c r="P35" s="1">
        <v>2883.581638191285</v>
      </c>
      <c r="Q35" s="1">
        <v>33556.639248278007</v>
      </c>
      <c r="R35" s="1">
        <v>21683.432345632555</v>
      </c>
      <c r="S35" s="1">
        <v>99856.321517823453</v>
      </c>
      <c r="T35" s="1">
        <v>3735.6028816780104</v>
      </c>
      <c r="U35" s="1">
        <v>0</v>
      </c>
      <c r="V35" s="1">
        <v>1040.4368653544088</v>
      </c>
      <c r="W35" s="1">
        <v>2496.4546617441561</v>
      </c>
      <c r="X35" s="1">
        <v>5581.1602158583391</v>
      </c>
      <c r="Y35" s="1">
        <v>38826.895712685386</v>
      </c>
      <c r="Z35" s="1">
        <v>252417.81896810548</v>
      </c>
      <c r="AA35" s="1">
        <v>7514.5268957360531</v>
      </c>
      <c r="AB35" s="1">
        <v>27013.181470758129</v>
      </c>
      <c r="AC35" s="1">
        <v>48169.823549606583</v>
      </c>
      <c r="AD35" s="1">
        <v>10168.841693040691</v>
      </c>
      <c r="AE35" s="1">
        <v>49503.137062491347</v>
      </c>
      <c r="AF35" s="1">
        <v>21205.81671988844</v>
      </c>
      <c r="AG35" s="1">
        <v>35404.960842141416</v>
      </c>
      <c r="AH35" s="1">
        <v>56342.565686735456</v>
      </c>
      <c r="AI35" s="1">
        <v>20416.58971074583</v>
      </c>
      <c r="AJ35" s="1">
        <v>8868.706603337012</v>
      </c>
      <c r="AK35" s="1">
        <v>2455.5566853207865</v>
      </c>
      <c r="AL35" s="1">
        <v>13266.26319251972</v>
      </c>
      <c r="AM35" s="1">
        <v>0</v>
      </c>
      <c r="AN35" s="15">
        <f t="shared" si="0"/>
        <v>2308886.2857620707</v>
      </c>
      <c r="AO35" s="1">
        <v>543139.79954835935</v>
      </c>
      <c r="AP35" s="1">
        <v>0</v>
      </c>
      <c r="AQ35" s="1">
        <v>0</v>
      </c>
      <c r="AR35" s="1">
        <v>0</v>
      </c>
      <c r="AS35" s="1">
        <v>0</v>
      </c>
      <c r="AT35" s="1">
        <f t="shared" si="1"/>
        <v>543139.79954835935</v>
      </c>
      <c r="AU35" s="15">
        <f t="shared" si="2"/>
        <v>2852026.0853104303</v>
      </c>
      <c r="AV35" s="1">
        <v>0</v>
      </c>
      <c r="AW35" s="1">
        <v>0</v>
      </c>
      <c r="AX35" s="2">
        <v>2852026.0874391836</v>
      </c>
      <c r="AY35" s="15">
        <f t="shared" si="3"/>
        <v>2852026.0874391836</v>
      </c>
      <c r="BA35" s="1"/>
    </row>
    <row r="36" spans="1:53" x14ac:dyDescent="0.25">
      <c r="A36" s="14">
        <v>33</v>
      </c>
      <c r="B36" t="s">
        <v>32</v>
      </c>
      <c r="C36" s="1">
        <v>0</v>
      </c>
      <c r="D36" s="1">
        <v>19.234058940508945</v>
      </c>
      <c r="E36" s="1">
        <v>0</v>
      </c>
      <c r="F36" s="1">
        <v>60.459751823673471</v>
      </c>
      <c r="G36" s="1">
        <v>80.09735869513672</v>
      </c>
      <c r="H36" s="1">
        <v>0</v>
      </c>
      <c r="I36" s="1">
        <v>0</v>
      </c>
      <c r="J36" s="1">
        <v>23.020323322900385</v>
      </c>
      <c r="K36" s="1">
        <v>0</v>
      </c>
      <c r="L36" s="1">
        <v>77.003031192748395</v>
      </c>
      <c r="M36" s="1">
        <v>20.403443498308008</v>
      </c>
      <c r="N36" s="1">
        <v>468.94239012956319</v>
      </c>
      <c r="O36" s="1">
        <v>58.215373378581766</v>
      </c>
      <c r="P36" s="1">
        <v>0</v>
      </c>
      <c r="Q36" s="1">
        <v>217.18870511667106</v>
      </c>
      <c r="R36" s="1">
        <v>0</v>
      </c>
      <c r="S36" s="1">
        <v>1903.8526710292178</v>
      </c>
      <c r="T36" s="1">
        <v>53.439594478057018</v>
      </c>
      <c r="U36" s="1">
        <v>0</v>
      </c>
      <c r="V36" s="1">
        <v>0</v>
      </c>
      <c r="W36" s="1">
        <v>56.599805300081016</v>
      </c>
      <c r="X36" s="1">
        <v>142.03337093167136</v>
      </c>
      <c r="Y36" s="1">
        <v>961.72182498482209</v>
      </c>
      <c r="Z36" s="1">
        <v>0</v>
      </c>
      <c r="AA36" s="1">
        <v>146.4387554386764</v>
      </c>
      <c r="AB36" s="1">
        <v>238.73937985570666</v>
      </c>
      <c r="AC36" s="1">
        <v>473.71612387125015</v>
      </c>
      <c r="AD36" s="1">
        <v>50.662454384613362</v>
      </c>
      <c r="AE36" s="1">
        <v>220.35171342452938</v>
      </c>
      <c r="AF36" s="1">
        <v>701.52299198279582</v>
      </c>
      <c r="AG36" s="1">
        <v>951.48786949430928</v>
      </c>
      <c r="AH36" s="1">
        <v>390.39612329776969</v>
      </c>
      <c r="AI36" s="1">
        <v>98.735055045672709</v>
      </c>
      <c r="AJ36" s="1">
        <v>150.5896619065752</v>
      </c>
      <c r="AK36" s="1">
        <v>393.8834010744215</v>
      </c>
      <c r="AL36" s="1">
        <v>0</v>
      </c>
      <c r="AM36" s="1">
        <v>0</v>
      </c>
      <c r="AN36" s="15">
        <f t="shared" si="0"/>
        <v>7958.7352325982638</v>
      </c>
      <c r="AO36" s="1">
        <v>9409.6715871369506</v>
      </c>
      <c r="AP36" s="1">
        <v>3710130.9006037298</v>
      </c>
      <c r="AQ36" s="1">
        <v>0</v>
      </c>
      <c r="AR36" s="1">
        <v>0</v>
      </c>
      <c r="AS36" s="1">
        <v>0</v>
      </c>
      <c r="AT36" s="1">
        <f t="shared" si="1"/>
        <v>3719540.5721908668</v>
      </c>
      <c r="AU36" s="15">
        <f t="shared" si="2"/>
        <v>3727499.307423465</v>
      </c>
      <c r="AV36" s="1">
        <v>0</v>
      </c>
      <c r="AW36" s="1">
        <v>0</v>
      </c>
      <c r="AX36" s="2">
        <v>3727499.3095825566</v>
      </c>
      <c r="AY36" s="15">
        <f t="shared" si="3"/>
        <v>3727499.3095825566</v>
      </c>
      <c r="BA36" s="1"/>
    </row>
    <row r="37" spans="1:53" x14ac:dyDescent="0.25">
      <c r="A37" s="14">
        <v>34</v>
      </c>
      <c r="B37" t="s">
        <v>33</v>
      </c>
      <c r="C37" s="1">
        <v>0</v>
      </c>
      <c r="D37" s="1">
        <v>112.38307384228357</v>
      </c>
      <c r="E37" s="1">
        <v>0</v>
      </c>
      <c r="F37" s="1">
        <v>47.526211104608613</v>
      </c>
      <c r="G37" s="1">
        <v>97.231463570900345</v>
      </c>
      <c r="H37" s="1">
        <v>0</v>
      </c>
      <c r="I37" s="1">
        <v>0</v>
      </c>
      <c r="J37" s="1">
        <v>315.31744751893365</v>
      </c>
      <c r="K37" s="1">
        <v>194.58751954881004</v>
      </c>
      <c r="L37" s="1">
        <v>1917.5766437165555</v>
      </c>
      <c r="M37" s="1">
        <v>454.47701096853928</v>
      </c>
      <c r="N37" s="1">
        <v>626.38569613893139</v>
      </c>
      <c r="O37" s="1">
        <v>722.31721979343376</v>
      </c>
      <c r="P37" s="1">
        <v>59.831043512214521</v>
      </c>
      <c r="Q37" s="1">
        <v>1655.6402593544715</v>
      </c>
      <c r="R37" s="1">
        <v>1354.4292711973385</v>
      </c>
      <c r="S37" s="1">
        <v>4356.761600855777</v>
      </c>
      <c r="T37" s="1">
        <v>190.00762466601606</v>
      </c>
      <c r="U37" s="1">
        <v>0</v>
      </c>
      <c r="V37" s="1">
        <v>1224.6525232352262</v>
      </c>
      <c r="W37" s="1">
        <v>58.619413723813949</v>
      </c>
      <c r="X37" s="1">
        <v>589.41718063460007</v>
      </c>
      <c r="Y37" s="1">
        <v>3101.9095833101164</v>
      </c>
      <c r="Z37" s="1">
        <v>1341.2043352583112</v>
      </c>
      <c r="AA37" s="1">
        <v>643.65363264194025</v>
      </c>
      <c r="AB37" s="1">
        <v>565.42089900769929</v>
      </c>
      <c r="AC37" s="1">
        <v>941.76964743775272</v>
      </c>
      <c r="AD37" s="1">
        <v>29.038972613000254</v>
      </c>
      <c r="AE37" s="1">
        <v>403.57062782709818</v>
      </c>
      <c r="AF37" s="1">
        <v>797.0948246544134</v>
      </c>
      <c r="AG37" s="1">
        <v>1407.428287273525</v>
      </c>
      <c r="AH37" s="1">
        <v>16982.560682277352</v>
      </c>
      <c r="AI37" s="1">
        <v>331.33575997315904</v>
      </c>
      <c r="AJ37" s="1">
        <v>2891.4349889009641</v>
      </c>
      <c r="AK37" s="1">
        <v>373.29261394806861</v>
      </c>
      <c r="AL37" s="1">
        <v>1870.8514427773155</v>
      </c>
      <c r="AM37" s="1">
        <v>0</v>
      </c>
      <c r="AN37" s="15">
        <f t="shared" si="0"/>
        <v>45657.727501283174</v>
      </c>
      <c r="AO37" s="1">
        <v>81899.699030144198</v>
      </c>
      <c r="AP37" s="1">
        <v>146745.12118104397</v>
      </c>
      <c r="AQ37" s="1">
        <v>0</v>
      </c>
      <c r="AR37" s="1">
        <v>0</v>
      </c>
      <c r="AS37" s="1">
        <v>0</v>
      </c>
      <c r="AT37" s="1">
        <f t="shared" si="1"/>
        <v>228644.82021118817</v>
      </c>
      <c r="AU37" s="15">
        <f t="shared" si="2"/>
        <v>274302.54771247134</v>
      </c>
      <c r="AV37" s="1">
        <v>0</v>
      </c>
      <c r="AW37" s="1">
        <v>0</v>
      </c>
      <c r="AX37" s="2">
        <v>274302.54570098163</v>
      </c>
      <c r="AY37" s="15">
        <f t="shared" si="3"/>
        <v>274302.54570098163</v>
      </c>
      <c r="BA37" s="1"/>
    </row>
    <row r="38" spans="1:53" x14ac:dyDescent="0.25">
      <c r="A38" s="14">
        <v>35</v>
      </c>
      <c r="B38" t="s">
        <v>34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814.13159247126032</v>
      </c>
      <c r="O38" s="1">
        <v>0</v>
      </c>
      <c r="P38" s="1">
        <v>0</v>
      </c>
      <c r="Q38" s="1">
        <v>2290.7610972974949</v>
      </c>
      <c r="R38" s="1">
        <v>1285.8263037545537</v>
      </c>
      <c r="S38" s="1">
        <v>6416.3040291818525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146.3317876884945</v>
      </c>
      <c r="AB38" s="1">
        <v>325.3947264054035</v>
      </c>
      <c r="AC38" s="1">
        <v>6.4885167885445538</v>
      </c>
      <c r="AD38" s="1">
        <v>41.219771655427827</v>
      </c>
      <c r="AE38" s="1">
        <v>62.861605766382162</v>
      </c>
      <c r="AF38" s="1">
        <v>240.83581850797836</v>
      </c>
      <c r="AG38" s="1">
        <v>82.035996407459493</v>
      </c>
      <c r="AH38" s="1">
        <v>2241.5999408270031</v>
      </c>
      <c r="AI38" s="1">
        <v>373.49022978129693</v>
      </c>
      <c r="AJ38" s="1">
        <v>326.87359967945605</v>
      </c>
      <c r="AK38" s="1">
        <v>13836.876351557406</v>
      </c>
      <c r="AL38" s="1">
        <v>452.75881578685073</v>
      </c>
      <c r="AM38" s="1">
        <v>0</v>
      </c>
      <c r="AN38" s="15">
        <f t="shared" si="0"/>
        <v>28943.790183556866</v>
      </c>
      <c r="AO38" s="1">
        <v>51525.912774319935</v>
      </c>
      <c r="AP38" s="1">
        <v>1666.7976574269449</v>
      </c>
      <c r="AQ38" s="1">
        <v>0</v>
      </c>
      <c r="AR38" s="1">
        <v>0</v>
      </c>
      <c r="AS38" s="1">
        <v>0</v>
      </c>
      <c r="AT38" s="1">
        <f t="shared" si="1"/>
        <v>53192.710431746877</v>
      </c>
      <c r="AU38" s="15">
        <f t="shared" si="2"/>
        <v>82136.500615303739</v>
      </c>
      <c r="AV38" s="1">
        <v>0</v>
      </c>
      <c r="AW38" s="1">
        <v>0</v>
      </c>
      <c r="AX38" s="2">
        <v>82136.503207224538</v>
      </c>
      <c r="AY38" s="15">
        <f t="shared" si="3"/>
        <v>82136.503207224538</v>
      </c>
      <c r="BA38" s="1"/>
    </row>
    <row r="39" spans="1:53" x14ac:dyDescent="0.25">
      <c r="A39" s="14">
        <v>36</v>
      </c>
      <c r="B39" t="s">
        <v>35</v>
      </c>
      <c r="C39" s="1">
        <v>872.23267646079455</v>
      </c>
      <c r="D39" s="1">
        <v>3886.6978351924895</v>
      </c>
      <c r="E39" s="1">
        <v>25365.748674113569</v>
      </c>
      <c r="F39" s="1">
        <v>1462.0511853694486</v>
      </c>
      <c r="G39" s="1">
        <v>1143.8695287533988</v>
      </c>
      <c r="H39" s="1">
        <v>3631.0700754816712</v>
      </c>
      <c r="I39" s="1">
        <v>8669.8536677830143</v>
      </c>
      <c r="J39" s="1">
        <v>625.12329151266567</v>
      </c>
      <c r="K39" s="1">
        <v>861.45083920075012</v>
      </c>
      <c r="L39" s="1">
        <v>1210.877374036115</v>
      </c>
      <c r="M39" s="1">
        <v>11300.069150926236</v>
      </c>
      <c r="N39" s="1">
        <v>98799.405504135633</v>
      </c>
      <c r="O39" s="1">
        <v>1086.359378878961</v>
      </c>
      <c r="P39" s="1">
        <v>450.76908474684376</v>
      </c>
      <c r="Q39" s="1">
        <v>31267.820381401481</v>
      </c>
      <c r="R39" s="1">
        <v>8884.4757218480136</v>
      </c>
      <c r="S39" s="1">
        <v>9505.0492278761612</v>
      </c>
      <c r="T39" s="1">
        <v>1056.1179590391246</v>
      </c>
      <c r="U39" s="1">
        <v>0</v>
      </c>
      <c r="V39" s="1">
        <v>2767.7374582581137</v>
      </c>
      <c r="W39" s="1">
        <v>168.7194722452852</v>
      </c>
      <c r="X39" s="1">
        <v>8016.6385865826287</v>
      </c>
      <c r="Y39" s="1">
        <v>5248.7817217453858</v>
      </c>
      <c r="Z39" s="1">
        <v>18939.907023033378</v>
      </c>
      <c r="AA39" s="1">
        <v>2235.329876702137</v>
      </c>
      <c r="AB39" s="1">
        <v>103821.73714777676</v>
      </c>
      <c r="AC39" s="1">
        <v>10966.680953979134</v>
      </c>
      <c r="AD39" s="1">
        <v>423.81513649697268</v>
      </c>
      <c r="AE39" s="1">
        <v>7208.4696375066087</v>
      </c>
      <c r="AF39" s="1">
        <v>2641.6115733063066</v>
      </c>
      <c r="AG39" s="1">
        <v>10032.214027066468</v>
      </c>
      <c r="AH39" s="1">
        <v>42651.875098468321</v>
      </c>
      <c r="AI39" s="1">
        <v>120.05993801862836</v>
      </c>
      <c r="AJ39" s="1">
        <v>2773.3811665129347</v>
      </c>
      <c r="AK39" s="1">
        <v>511.85505748729418</v>
      </c>
      <c r="AL39" s="1">
        <v>3373.5942344711825</v>
      </c>
      <c r="AM39" s="1">
        <v>0</v>
      </c>
      <c r="AN39" s="15">
        <f t="shared" si="0"/>
        <v>431981.44966641394</v>
      </c>
      <c r="AO39" s="1">
        <v>173658.51180849524</v>
      </c>
      <c r="AP39" s="1">
        <v>25294.37925220883</v>
      </c>
      <c r="AQ39" s="1">
        <v>0</v>
      </c>
      <c r="AR39" s="1">
        <v>0</v>
      </c>
      <c r="AS39" s="1">
        <v>0</v>
      </c>
      <c r="AT39" s="1">
        <f t="shared" si="1"/>
        <v>198952.89106070407</v>
      </c>
      <c r="AU39" s="15">
        <f t="shared" si="2"/>
        <v>630934.34072711808</v>
      </c>
      <c r="AV39" s="1">
        <v>0</v>
      </c>
      <c r="AW39" s="1">
        <v>0</v>
      </c>
      <c r="AX39" s="2">
        <v>630934.33756206662</v>
      </c>
      <c r="AY39" s="15">
        <f t="shared" si="3"/>
        <v>630934.33756206662</v>
      </c>
      <c r="BA39" s="1"/>
    </row>
    <row r="40" spans="1:53" x14ac:dyDescent="0.25">
      <c r="A40" s="14">
        <v>37</v>
      </c>
      <c r="B40" t="s">
        <v>36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5">
        <f t="shared" si="0"/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f t="shared" si="1"/>
        <v>0</v>
      </c>
      <c r="AU40" s="15">
        <f t="shared" si="2"/>
        <v>0</v>
      </c>
      <c r="AV40" s="1">
        <v>0</v>
      </c>
      <c r="AW40" s="1">
        <v>0</v>
      </c>
      <c r="AX40" s="2">
        <v>0</v>
      </c>
      <c r="AY40" s="15">
        <f t="shared" si="3"/>
        <v>0</v>
      </c>
      <c r="BA40" s="1"/>
    </row>
    <row r="41" spans="1:53" x14ac:dyDescent="0.25">
      <c r="A41" s="14">
        <v>190</v>
      </c>
      <c r="B41" s="13" t="s">
        <v>37</v>
      </c>
      <c r="C41" s="15">
        <f>SUM(C4:C40)</f>
        <v>133131.39416716484</v>
      </c>
      <c r="D41" s="15">
        <f t="shared" ref="D41:AY41" si="4">SUM(D4:D40)</f>
        <v>146208.74171706918</v>
      </c>
      <c r="E41" s="15">
        <f t="shared" si="4"/>
        <v>277117.4695000379</v>
      </c>
      <c r="F41" s="15">
        <f t="shared" si="4"/>
        <v>58324.010750936795</v>
      </c>
      <c r="G41" s="15">
        <f t="shared" si="4"/>
        <v>355681.65912947489</v>
      </c>
      <c r="H41" s="15">
        <f t="shared" si="4"/>
        <v>580393.40351337474</v>
      </c>
      <c r="I41" s="15">
        <f t="shared" si="4"/>
        <v>44848.088314052831</v>
      </c>
      <c r="J41" s="15">
        <f t="shared" si="4"/>
        <v>325646.17549369379</v>
      </c>
      <c r="K41" s="15">
        <f t="shared" si="4"/>
        <v>10810273.92530288</v>
      </c>
      <c r="L41" s="15">
        <f t="shared" si="4"/>
        <v>6317463.4618175859</v>
      </c>
      <c r="M41" s="15">
        <f t="shared" si="4"/>
        <v>117454.55361704272</v>
      </c>
      <c r="N41" s="15">
        <f t="shared" si="4"/>
        <v>27225752.399032913</v>
      </c>
      <c r="O41" s="15">
        <f t="shared" si="4"/>
        <v>1976266.5391189281</v>
      </c>
      <c r="P41" s="15">
        <f t="shared" si="4"/>
        <v>46696.6921757577</v>
      </c>
      <c r="Q41" s="15">
        <f t="shared" si="4"/>
        <v>4793924.7613760354</v>
      </c>
      <c r="R41" s="15">
        <f t="shared" si="4"/>
        <v>2871356.8417399363</v>
      </c>
      <c r="S41" s="15">
        <f t="shared" si="4"/>
        <v>3390670.535047241</v>
      </c>
      <c r="T41" s="15">
        <f t="shared" si="4"/>
        <v>107289.9502164498</v>
      </c>
      <c r="U41" s="15">
        <f t="shared" si="4"/>
        <v>0</v>
      </c>
      <c r="V41" s="15">
        <f t="shared" si="4"/>
        <v>133730.99949321509</v>
      </c>
      <c r="W41" s="15">
        <f t="shared" si="4"/>
        <v>79450.462657767828</v>
      </c>
      <c r="X41" s="15">
        <f t="shared" si="4"/>
        <v>427754.07379304053</v>
      </c>
      <c r="Y41" s="15">
        <f t="shared" si="4"/>
        <v>2646763.1657971805</v>
      </c>
      <c r="Z41" s="15">
        <f t="shared" si="4"/>
        <v>2141236.6868851469</v>
      </c>
      <c r="AA41" s="15">
        <f t="shared" si="4"/>
        <v>627122.56128588633</v>
      </c>
      <c r="AB41" s="15">
        <f t="shared" si="4"/>
        <v>909398.0591780711</v>
      </c>
      <c r="AC41" s="15">
        <f t="shared" si="4"/>
        <v>1368907.8411555407</v>
      </c>
      <c r="AD41" s="15">
        <f t="shared" si="4"/>
        <v>512858.52961386566</v>
      </c>
      <c r="AE41" s="15">
        <f t="shared" si="4"/>
        <v>835577.7258820018</v>
      </c>
      <c r="AF41" s="15">
        <f t="shared" si="4"/>
        <v>142240.4583086241</v>
      </c>
      <c r="AG41" s="15">
        <f t="shared" si="4"/>
        <v>150548.93484733294</v>
      </c>
      <c r="AH41" s="15">
        <f t="shared" si="4"/>
        <v>455171.73358024837</v>
      </c>
      <c r="AI41" s="15">
        <f t="shared" si="4"/>
        <v>277200.65488255653</v>
      </c>
      <c r="AJ41" s="15">
        <f t="shared" si="4"/>
        <v>78798.986764650414</v>
      </c>
      <c r="AK41" s="15">
        <f t="shared" si="4"/>
        <v>33057.829142634691</v>
      </c>
      <c r="AL41" s="15">
        <f t="shared" si="4"/>
        <v>91006.28363065391</v>
      </c>
      <c r="AM41" s="15">
        <f t="shared" si="4"/>
        <v>0</v>
      </c>
      <c r="AN41" s="15">
        <f t="shared" si="4"/>
        <v>70489325.588928983</v>
      </c>
      <c r="AO41" s="15">
        <f t="shared" si="4"/>
        <v>16781411.131432448</v>
      </c>
      <c r="AP41" s="15">
        <f t="shared" si="4"/>
        <v>3883837.1986944093</v>
      </c>
      <c r="AQ41" s="15">
        <f t="shared" si="4"/>
        <v>11450778.143651171</v>
      </c>
      <c r="AR41" s="15">
        <f t="shared" si="4"/>
        <v>1113273.9847051352</v>
      </c>
      <c r="AS41" s="15">
        <f t="shared" si="4"/>
        <v>193381171.63993776</v>
      </c>
      <c r="AT41" s="15">
        <f t="shared" si="4"/>
        <v>226610472.09842104</v>
      </c>
      <c r="AU41" s="15">
        <f t="shared" si="4"/>
        <v>297099797.68734992</v>
      </c>
      <c r="AV41" s="15">
        <f t="shared" si="4"/>
        <v>0</v>
      </c>
      <c r="AW41" s="15">
        <f t="shared" si="4"/>
        <v>0</v>
      </c>
      <c r="AX41" s="15">
        <f t="shared" si="4"/>
        <v>297099797.7043038</v>
      </c>
      <c r="AY41" s="15">
        <f t="shared" si="4"/>
        <v>297099797.7043038</v>
      </c>
      <c r="BA41" s="1"/>
    </row>
    <row r="42" spans="1:53" x14ac:dyDescent="0.25">
      <c r="A42" s="14">
        <v>200</v>
      </c>
      <c r="B42" t="s">
        <v>38</v>
      </c>
      <c r="C42" s="1">
        <v>38085.229418953066</v>
      </c>
      <c r="D42" s="1">
        <v>51260.266219452766</v>
      </c>
      <c r="E42" s="1">
        <v>7878.6950482083685</v>
      </c>
      <c r="F42" s="1">
        <v>15981.184020094621</v>
      </c>
      <c r="G42" s="1">
        <v>178150.21200435347</v>
      </c>
      <c r="H42" s="1">
        <v>142486.21680311472</v>
      </c>
      <c r="I42" s="1">
        <v>3848.851747328184</v>
      </c>
      <c r="J42" s="1">
        <v>83591.900845643439</v>
      </c>
      <c r="K42" s="1">
        <v>7227526.7312949514</v>
      </c>
      <c r="L42" s="1">
        <v>1780286.1305836327</v>
      </c>
      <c r="M42" s="1">
        <v>44135.601143285363</v>
      </c>
      <c r="N42" s="1">
        <v>22561851.711462148</v>
      </c>
      <c r="O42" s="1">
        <v>45234.636185927222</v>
      </c>
      <c r="P42" s="1">
        <v>22381.032127256956</v>
      </c>
      <c r="Q42" s="1">
        <v>1453392.3040255357</v>
      </c>
      <c r="R42" s="1">
        <v>608372.97523637756</v>
      </c>
      <c r="S42" s="1">
        <v>2243314.0874624355</v>
      </c>
      <c r="T42" s="1">
        <v>29847.684541731349</v>
      </c>
      <c r="U42" s="1">
        <v>0</v>
      </c>
      <c r="V42" s="1">
        <v>131414.46424464151</v>
      </c>
      <c r="W42" s="1">
        <v>26993.784444270412</v>
      </c>
      <c r="X42" s="1">
        <v>195719.01552118803</v>
      </c>
      <c r="Y42" s="1">
        <v>4736109.9555846276</v>
      </c>
      <c r="Z42" s="1">
        <v>1362979.375540464</v>
      </c>
      <c r="AA42" s="1">
        <v>304306.72040521045</v>
      </c>
      <c r="AB42" s="1">
        <v>815392.96287829219</v>
      </c>
      <c r="AC42" s="1">
        <v>868327.24993570347</v>
      </c>
      <c r="AD42" s="1">
        <v>342905.38876477466</v>
      </c>
      <c r="AE42" s="1">
        <v>324593.12088703597</v>
      </c>
      <c r="AF42" s="1">
        <v>67848.39494243027</v>
      </c>
      <c r="AG42" s="1">
        <v>65645.984437383202</v>
      </c>
      <c r="AH42" s="1">
        <v>274271.95385893527</v>
      </c>
      <c r="AI42" s="1">
        <v>0</v>
      </c>
      <c r="AJ42" s="1">
        <v>54489.027255094123</v>
      </c>
      <c r="AK42" s="1">
        <v>19087.330305722895</v>
      </c>
      <c r="AL42" s="1">
        <v>193672.15777246025</v>
      </c>
      <c r="AM42" s="1">
        <v>0</v>
      </c>
      <c r="AN42" s="15">
        <f t="shared" si="0"/>
        <v>46321382.336948678</v>
      </c>
      <c r="AO42" s="1">
        <v>8746092.7885675505</v>
      </c>
      <c r="AP42" s="1">
        <v>3481340.03492931</v>
      </c>
      <c r="AQ42" s="1">
        <v>9256095.0877142902</v>
      </c>
      <c r="AR42" s="1">
        <v>230814.46529486499</v>
      </c>
      <c r="AS42" s="1">
        <v>0</v>
      </c>
      <c r="AT42" s="1">
        <f t="shared" si="1"/>
        <v>21714342.376506012</v>
      </c>
      <c r="AU42" s="15">
        <f t="shared" si="2"/>
        <v>68035724.713454694</v>
      </c>
      <c r="AV42" s="1">
        <f>+AU42</f>
        <v>68035724.713454694</v>
      </c>
      <c r="AW42" s="1">
        <v>0</v>
      </c>
      <c r="AX42" s="1">
        <v>0</v>
      </c>
      <c r="AY42" s="15">
        <f t="shared" si="3"/>
        <v>68035724.713454694</v>
      </c>
    </row>
    <row r="43" spans="1:53" x14ac:dyDescent="0.25">
      <c r="A43" s="14">
        <v>201</v>
      </c>
      <c r="B43" t="s">
        <v>39</v>
      </c>
      <c r="C43" s="1">
        <v>96911.780322913735</v>
      </c>
      <c r="D43" s="1">
        <v>227382.16136433737</v>
      </c>
      <c r="E43" s="1">
        <v>292829.69170215115</v>
      </c>
      <c r="F43" s="1">
        <v>63171.618047925615</v>
      </c>
      <c r="G43" s="1">
        <v>281190.36024252535</v>
      </c>
      <c r="H43" s="1">
        <v>685760.95546242641</v>
      </c>
      <c r="I43" s="1">
        <v>80383.702440754991</v>
      </c>
      <c r="J43" s="1">
        <v>439273.76253081934</v>
      </c>
      <c r="K43" s="1">
        <v>8728329.4871338196</v>
      </c>
      <c r="L43" s="1">
        <v>4894286.6880236035</v>
      </c>
      <c r="M43" s="1">
        <v>152647.20131160648</v>
      </c>
      <c r="N43" s="1">
        <v>15369406.140063284</v>
      </c>
      <c r="O43" s="1">
        <v>158268.18405295021</v>
      </c>
      <c r="P43" s="1">
        <v>12898.012176622511</v>
      </c>
      <c r="Q43" s="1">
        <v>840779.62122507021</v>
      </c>
      <c r="R43" s="1">
        <v>686766.82132585952</v>
      </c>
      <c r="S43" s="1">
        <v>766177.88776804227</v>
      </c>
      <c r="T43" s="1">
        <v>25510.654776351585</v>
      </c>
      <c r="U43" s="1">
        <v>0</v>
      </c>
      <c r="V43" s="1">
        <v>37000.673049648904</v>
      </c>
      <c r="W43" s="1">
        <v>27374.971826457004</v>
      </c>
      <c r="X43" s="1">
        <v>127018.44089194117</v>
      </c>
      <c r="Y43" s="1">
        <v>1470254.124631634</v>
      </c>
      <c r="Z43" s="1">
        <v>2526342.4559366079</v>
      </c>
      <c r="AA43" s="1">
        <v>427433.6318858419</v>
      </c>
      <c r="AB43" s="1">
        <v>601141.99160430836</v>
      </c>
      <c r="AC43" s="1">
        <v>511953.9958359999</v>
      </c>
      <c r="AD43" s="1">
        <v>341024.96919389081</v>
      </c>
      <c r="AE43" s="1">
        <v>789225.54836611077</v>
      </c>
      <c r="AF43" s="1">
        <v>137728.07148110965</v>
      </c>
      <c r="AG43" s="1">
        <v>206285.09851582255</v>
      </c>
      <c r="AH43" s="1">
        <v>400142.20538924553</v>
      </c>
      <c r="AI43" s="1">
        <v>2695632.9013183406</v>
      </c>
      <c r="AJ43" s="1">
        <v>87194.252624327855</v>
      </c>
      <c r="AK43" s="1">
        <v>11012.906477611386</v>
      </c>
      <c r="AL43" s="1">
        <v>143368.48085363378</v>
      </c>
      <c r="AM43" s="1">
        <v>0</v>
      </c>
      <c r="AN43" s="15">
        <f t="shared" si="0"/>
        <v>44342109.449853599</v>
      </c>
    </row>
    <row r="44" spans="1:53" x14ac:dyDescent="0.25">
      <c r="A44" s="14">
        <v>202</v>
      </c>
      <c r="B44" t="s">
        <v>40</v>
      </c>
      <c r="C44" s="1">
        <v>466381.86316929833</v>
      </c>
      <c r="D44" s="1">
        <v>988337.11087360454</v>
      </c>
      <c r="E44" s="1">
        <v>519546.05895942263</v>
      </c>
      <c r="F44" s="1">
        <v>127445.10477763755</v>
      </c>
      <c r="G44" s="1">
        <v>481533.19690085918</v>
      </c>
      <c r="H44" s="1">
        <v>2257810.8843241478</v>
      </c>
      <c r="I44" s="1">
        <v>272292.57674586779</v>
      </c>
      <c r="J44" s="1">
        <v>1697656.5285550212</v>
      </c>
      <c r="K44" s="1">
        <v>41084131.447450601</v>
      </c>
      <c r="L44" s="1">
        <v>13956500.859844722</v>
      </c>
      <c r="M44" s="1">
        <v>463028.33487263042</v>
      </c>
      <c r="N44" s="1">
        <v>46928270.161523484</v>
      </c>
      <c r="O44" s="1">
        <v>493494.58288070315</v>
      </c>
      <c r="P44" s="1">
        <v>22228.970548926201</v>
      </c>
      <c r="Q44" s="1">
        <v>1454457.1865172454</v>
      </c>
      <c r="R44" s="1">
        <v>1223219.8258379868</v>
      </c>
      <c r="S44" s="1">
        <v>3955862.0456144521</v>
      </c>
      <c r="T44" s="1">
        <v>46918.794531297441</v>
      </c>
      <c r="U44" s="1">
        <v>0</v>
      </c>
      <c r="V44" s="1">
        <v>76613.063185483552</v>
      </c>
      <c r="W44" s="1">
        <v>38664.224997934441</v>
      </c>
      <c r="X44" s="1">
        <v>836634.49580031191</v>
      </c>
      <c r="Y44" s="1">
        <v>1989935.3277311083</v>
      </c>
      <c r="Z44" s="1">
        <v>5463659.4092177497</v>
      </c>
      <c r="AA44" s="1">
        <v>591912.46472761454</v>
      </c>
      <c r="AB44" s="1">
        <v>374222.56172519305</v>
      </c>
      <c r="AC44" s="1">
        <v>417464.96458079148</v>
      </c>
      <c r="AD44" s="1">
        <v>153939.42182004053</v>
      </c>
      <c r="AE44" s="1">
        <v>703830.51544418407</v>
      </c>
      <c r="AF44" s="1">
        <v>422520.33960814914</v>
      </c>
      <c r="AG44" s="1">
        <v>662789.9785434634</v>
      </c>
      <c r="AH44" s="1">
        <v>1402687.2534961342</v>
      </c>
      <c r="AI44" s="1">
        <v>0</v>
      </c>
      <c r="AJ44" s="1">
        <v>38050.139207971435</v>
      </c>
      <c r="AK44" s="1">
        <v>14605.333481283769</v>
      </c>
      <c r="AL44" s="1">
        <v>161375.12746049048</v>
      </c>
      <c r="AM44" s="1">
        <v>0</v>
      </c>
      <c r="AN44" s="15">
        <f t="shared" si="0"/>
        <v>129788020.15495582</v>
      </c>
    </row>
    <row r="45" spans="1:53" x14ac:dyDescent="0.25">
      <c r="A45" s="14">
        <v>203</v>
      </c>
      <c r="B45" t="s">
        <v>41</v>
      </c>
      <c r="C45" s="1">
        <v>16499.371656819076</v>
      </c>
      <c r="D45" s="1">
        <v>8234.9402165256815</v>
      </c>
      <c r="E45" s="1">
        <v>40535.472498376439</v>
      </c>
      <c r="F45" s="1">
        <v>6380.5134104708068</v>
      </c>
      <c r="G45" s="1">
        <v>21174.590171261803</v>
      </c>
      <c r="H45" s="1">
        <v>189176.49129960622</v>
      </c>
      <c r="I45" s="1">
        <v>9905.5135418295031</v>
      </c>
      <c r="J45" s="1">
        <v>89685.19948420579</v>
      </c>
      <c r="K45" s="1">
        <v>3090520.655915061</v>
      </c>
      <c r="L45" s="1">
        <v>1183419.2845604157</v>
      </c>
      <c r="M45" s="1">
        <v>49417.572260627421</v>
      </c>
      <c r="N45" s="1">
        <v>4221136.767732502</v>
      </c>
      <c r="O45" s="1">
        <v>116514.26474637953</v>
      </c>
      <c r="P45" s="1">
        <v>3821.1670613012525</v>
      </c>
      <c r="Q45" s="1">
        <v>292807.3770311781</v>
      </c>
      <c r="R45" s="1">
        <v>194680.45934735905</v>
      </c>
      <c r="S45" s="1">
        <v>239785.36884749369</v>
      </c>
      <c r="T45" s="1">
        <v>10294.063974813249</v>
      </c>
      <c r="U45" s="1">
        <v>0</v>
      </c>
      <c r="V45" s="1">
        <v>13428.508707834422</v>
      </c>
      <c r="W45" s="1">
        <v>3391.0412313974884</v>
      </c>
      <c r="X45" s="1">
        <v>77226.311207366685</v>
      </c>
      <c r="Y45" s="1">
        <v>451642.83837057702</v>
      </c>
      <c r="Z45" s="1">
        <v>824566.87979210913</v>
      </c>
      <c r="AA45" s="1">
        <v>124013.84860908081</v>
      </c>
      <c r="AB45" s="1">
        <v>222015.74078565335</v>
      </c>
      <c r="AC45" s="1">
        <v>289752.36532502907</v>
      </c>
      <c r="AD45" s="1">
        <v>165136.20749943497</v>
      </c>
      <c r="AE45" s="1">
        <v>424000.95724027877</v>
      </c>
      <c r="AF45" s="1">
        <v>162125.20991691601</v>
      </c>
      <c r="AG45" s="1">
        <v>29432.045485998267</v>
      </c>
      <c r="AH45" s="1">
        <v>194432.95927632056</v>
      </c>
      <c r="AI45" s="1">
        <v>754665.75338165951</v>
      </c>
      <c r="AJ45" s="1">
        <v>12751.088080329266</v>
      </c>
      <c r="AK45" s="1">
        <v>3432.3796722340858</v>
      </c>
      <c r="AL45" s="1">
        <v>23768.654868046415</v>
      </c>
      <c r="AM45" s="1">
        <v>0</v>
      </c>
      <c r="AN45" s="15">
        <f t="shared" si="0"/>
        <v>13559771.863206489</v>
      </c>
    </row>
    <row r="46" spans="1:53" x14ac:dyDescent="0.25">
      <c r="A46" s="14">
        <v>204</v>
      </c>
      <c r="B46" t="s">
        <v>42</v>
      </c>
      <c r="C46" s="1">
        <v>9452.0182809950347</v>
      </c>
      <c r="D46" s="1">
        <v>14102.518359368481</v>
      </c>
      <c r="E46" s="1">
        <v>16170.008191401854</v>
      </c>
      <c r="F46" s="1">
        <v>3875.4185858741507</v>
      </c>
      <c r="G46" s="1">
        <v>10747.536766052066</v>
      </c>
      <c r="H46" s="1">
        <v>85386.127594301404</v>
      </c>
      <c r="I46" s="1">
        <v>4436.1150457749536</v>
      </c>
      <c r="J46" s="1">
        <v>32203.170325405303</v>
      </c>
      <c r="K46" s="1">
        <v>2262929.7249038881</v>
      </c>
      <c r="L46" s="1">
        <v>809712.02121344151</v>
      </c>
      <c r="M46" s="1">
        <v>24311.949238792018</v>
      </c>
      <c r="N46" s="1">
        <v>568606.51269560528</v>
      </c>
      <c r="O46" s="1">
        <v>113678.96831996717</v>
      </c>
      <c r="P46" s="1">
        <v>594.85021315003416</v>
      </c>
      <c r="Q46" s="1">
        <v>88999.676138899013</v>
      </c>
      <c r="R46" s="1">
        <v>103797.89348879486</v>
      </c>
      <c r="S46" s="1">
        <v>208726.97173122797</v>
      </c>
      <c r="T46" s="1">
        <v>5450.1003860393012</v>
      </c>
      <c r="U46" s="1">
        <v>0</v>
      </c>
      <c r="V46" s="1">
        <v>3924.7550570331082</v>
      </c>
      <c r="W46" s="1">
        <v>2903.7619442110818</v>
      </c>
      <c r="X46" s="1">
        <v>4940.4598916314717</v>
      </c>
      <c r="Y46" s="1">
        <v>133354.72047101258</v>
      </c>
      <c r="Z46" s="1">
        <v>460393.69564681069</v>
      </c>
      <c r="AA46" s="1">
        <v>45571.818950402216</v>
      </c>
      <c r="AB46" s="1">
        <v>85616.940375851351</v>
      </c>
      <c r="AC46" s="1">
        <v>54727.196915518674</v>
      </c>
      <c r="AD46" s="1">
        <v>64369.502929545539</v>
      </c>
      <c r="AE46" s="1">
        <v>93941.919359148756</v>
      </c>
      <c r="AF46" s="1">
        <v>8783.3038700602119</v>
      </c>
      <c r="AG46" s="1">
        <v>7566.4774547156803</v>
      </c>
      <c r="AH46" s="1">
        <v>125319.98183829969</v>
      </c>
      <c r="AI46" s="1">
        <v>0</v>
      </c>
      <c r="AJ46" s="1">
        <v>3019.051768608535</v>
      </c>
      <c r="AK46" s="1">
        <v>940.72412773770429</v>
      </c>
      <c r="AL46" s="1">
        <v>17743.632976781828</v>
      </c>
      <c r="AM46" s="1">
        <v>0</v>
      </c>
      <c r="AN46" s="15">
        <f t="shared" si="0"/>
        <v>5476299.5250563482</v>
      </c>
    </row>
    <row r="47" spans="1:53" x14ac:dyDescent="0.25">
      <c r="A47" s="14">
        <v>205</v>
      </c>
      <c r="B47" t="s">
        <v>43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-10070734.273570282</v>
      </c>
      <c r="O47" s="1">
        <v>0</v>
      </c>
      <c r="P47" s="1">
        <v>0</v>
      </c>
      <c r="Q47" s="1">
        <v>0</v>
      </c>
      <c r="R47" s="1">
        <v>0</v>
      </c>
      <c r="S47" s="1">
        <v>-2296907.2739612157</v>
      </c>
      <c r="T47" s="1">
        <v>0</v>
      </c>
      <c r="U47" s="1">
        <v>0</v>
      </c>
      <c r="V47" s="1">
        <v>0</v>
      </c>
      <c r="W47" s="1">
        <v>0</v>
      </c>
      <c r="X47" s="1">
        <v>-509469.66711463023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5">
        <f t="shared" si="0"/>
        <v>-12877111.214646129</v>
      </c>
      <c r="AO47" s="3"/>
      <c r="AP47" s="3"/>
      <c r="AQ47" s="3"/>
      <c r="AR47" s="3"/>
      <c r="AS47" s="3"/>
    </row>
    <row r="48" spans="1:53" x14ac:dyDescent="0.25">
      <c r="A48" s="14">
        <v>209</v>
      </c>
      <c r="B48" s="17" t="s">
        <v>44</v>
      </c>
      <c r="C48" s="1">
        <f>SUM(C43:C47)</f>
        <v>589245.03343002626</v>
      </c>
      <c r="D48" s="1">
        <f t="shared" ref="D48:AN48" si="5">SUM(D43:D47)</f>
        <v>1238056.730813836</v>
      </c>
      <c r="E48" s="1">
        <f t="shared" si="5"/>
        <v>869081.23135135206</v>
      </c>
      <c r="F48" s="1">
        <f t="shared" si="5"/>
        <v>200872.6548219081</v>
      </c>
      <c r="G48" s="1">
        <f t="shared" si="5"/>
        <v>794645.68408069841</v>
      </c>
      <c r="H48" s="1">
        <f t="shared" si="5"/>
        <v>3218134.4586804821</v>
      </c>
      <c r="I48" s="1">
        <f t="shared" si="5"/>
        <v>367017.90777422721</v>
      </c>
      <c r="J48" s="1">
        <f t="shared" si="5"/>
        <v>2258818.6608954519</v>
      </c>
      <c r="K48" s="1">
        <f t="shared" si="5"/>
        <v>55165911.315403372</v>
      </c>
      <c r="L48" s="1">
        <f t="shared" si="5"/>
        <v>20843918.853642184</v>
      </c>
      <c r="M48" s="1">
        <f t="shared" si="5"/>
        <v>689405.05768365634</v>
      </c>
      <c r="N48" s="1">
        <f t="shared" si="5"/>
        <v>57016685.308444589</v>
      </c>
      <c r="O48" s="1">
        <f t="shared" si="5"/>
        <v>881956.00000000012</v>
      </c>
      <c r="P48" s="1">
        <f t="shared" si="5"/>
        <v>39543</v>
      </c>
      <c r="Q48" s="1">
        <f t="shared" si="5"/>
        <v>2677043.8609123924</v>
      </c>
      <c r="R48" s="1">
        <f t="shared" si="5"/>
        <v>2208465.0000000005</v>
      </c>
      <c r="S48" s="1">
        <f t="shared" si="5"/>
        <v>2873645.0000000005</v>
      </c>
      <c r="T48" s="1">
        <f t="shared" si="5"/>
        <v>88173.613668501566</v>
      </c>
      <c r="U48" s="1">
        <f t="shared" si="5"/>
        <v>0</v>
      </c>
      <c r="V48" s="1">
        <f t="shared" si="5"/>
        <v>130966.99999999999</v>
      </c>
      <c r="W48" s="1">
        <f t="shared" si="5"/>
        <v>72334.000000000029</v>
      </c>
      <c r="X48" s="1">
        <f t="shared" si="5"/>
        <v>536350.04067662102</v>
      </c>
      <c r="Y48" s="1">
        <f t="shared" si="5"/>
        <v>4045187.0112043316</v>
      </c>
      <c r="Z48" s="1">
        <f t="shared" si="5"/>
        <v>9274962.440593278</v>
      </c>
      <c r="AA48" s="1">
        <f t="shared" si="5"/>
        <v>1188931.7641729396</v>
      </c>
      <c r="AB48" s="1">
        <f t="shared" si="5"/>
        <v>1282997.234491006</v>
      </c>
      <c r="AC48" s="1">
        <f t="shared" si="5"/>
        <v>1273898.5226573392</v>
      </c>
      <c r="AD48" s="1">
        <f t="shared" si="5"/>
        <v>724470.10144291189</v>
      </c>
      <c r="AE48" s="1">
        <f t="shared" si="5"/>
        <v>2010998.9404097225</v>
      </c>
      <c r="AF48" s="1">
        <f t="shared" si="5"/>
        <v>731156.92487623496</v>
      </c>
      <c r="AG48" s="1">
        <f t="shared" si="5"/>
        <v>906073.59999999986</v>
      </c>
      <c r="AH48" s="1">
        <f t="shared" si="5"/>
        <v>2122582.4</v>
      </c>
      <c r="AI48" s="1">
        <f t="shared" si="5"/>
        <v>3450298.6546999998</v>
      </c>
      <c r="AJ48" s="1">
        <f t="shared" si="5"/>
        <v>141014.5316812371</v>
      </c>
      <c r="AK48" s="1">
        <f t="shared" si="5"/>
        <v>29991.343758866944</v>
      </c>
      <c r="AL48" s="1">
        <f t="shared" si="5"/>
        <v>346255.8961589525</v>
      </c>
      <c r="AM48" s="1">
        <f t="shared" si="5"/>
        <v>0</v>
      </c>
      <c r="AN48" s="15">
        <f t="shared" si="5"/>
        <v>180289089.77842611</v>
      </c>
      <c r="AO48" s="1"/>
      <c r="AP48" s="1"/>
      <c r="AQ48" s="1"/>
      <c r="AR48" s="1"/>
      <c r="AS48" s="1"/>
    </row>
    <row r="49" spans="1:45" x14ac:dyDescent="0.25">
      <c r="A49" s="14">
        <v>210</v>
      </c>
      <c r="B49" s="13" t="s">
        <v>45</v>
      </c>
      <c r="C49" s="15">
        <f>+C48+C42+C41</f>
        <v>760461.65701614413</v>
      </c>
      <c r="D49" s="15">
        <f>+D48+D42+D41</f>
        <v>1435525.7387503579</v>
      </c>
      <c r="E49" s="15">
        <f t="shared" ref="E49:AN49" si="6">+E48+E42+E41</f>
        <v>1154077.3958995983</v>
      </c>
      <c r="F49" s="15">
        <f t="shared" si="6"/>
        <v>275177.84959293954</v>
      </c>
      <c r="G49" s="15">
        <f t="shared" si="6"/>
        <v>1328477.5552145266</v>
      </c>
      <c r="H49" s="15">
        <f t="shared" si="6"/>
        <v>3941014.0789969717</v>
      </c>
      <c r="I49" s="15">
        <f t="shared" si="6"/>
        <v>415714.84783560823</v>
      </c>
      <c r="J49" s="15">
        <f t="shared" si="6"/>
        <v>2668056.7372347894</v>
      </c>
      <c r="K49" s="15">
        <f t="shared" si="6"/>
        <v>73203711.97200121</v>
      </c>
      <c r="L49" s="15">
        <f t="shared" si="6"/>
        <v>28941668.446043402</v>
      </c>
      <c r="M49" s="15">
        <f t="shared" si="6"/>
        <v>850995.21244398446</v>
      </c>
      <c r="N49" s="15">
        <f t="shared" si="6"/>
        <v>106804289.41893965</v>
      </c>
      <c r="O49" s="15">
        <f t="shared" si="6"/>
        <v>2903457.1753048552</v>
      </c>
      <c r="P49" s="15">
        <f t="shared" si="6"/>
        <v>108620.72430301466</v>
      </c>
      <c r="Q49" s="15">
        <f t="shared" si="6"/>
        <v>8924360.9263139628</v>
      </c>
      <c r="R49" s="15">
        <f t="shared" si="6"/>
        <v>5688194.8169763144</v>
      </c>
      <c r="S49" s="15">
        <f t="shared" si="6"/>
        <v>8507629.622509677</v>
      </c>
      <c r="T49" s="15">
        <f t="shared" si="6"/>
        <v>225311.24842668272</v>
      </c>
      <c r="U49" s="15">
        <f t="shared" si="6"/>
        <v>0</v>
      </c>
      <c r="V49" s="15">
        <f t="shared" si="6"/>
        <v>396112.4637378566</v>
      </c>
      <c r="W49" s="15">
        <f t="shared" si="6"/>
        <v>178778.24710203827</v>
      </c>
      <c r="X49" s="15">
        <f t="shared" si="6"/>
        <v>1159823.1299908496</v>
      </c>
      <c r="Y49" s="15">
        <f t="shared" si="6"/>
        <v>11428060.13258614</v>
      </c>
      <c r="Z49" s="15">
        <f t="shared" si="6"/>
        <v>12779178.503018888</v>
      </c>
      <c r="AA49" s="15">
        <f t="shared" si="6"/>
        <v>2120361.0458640363</v>
      </c>
      <c r="AB49" s="15">
        <f t="shared" si="6"/>
        <v>3007788.2565473691</v>
      </c>
      <c r="AC49" s="15">
        <f t="shared" si="6"/>
        <v>3511133.6137485835</v>
      </c>
      <c r="AD49" s="15">
        <f t="shared" si="6"/>
        <v>1580234.0198215521</v>
      </c>
      <c r="AE49" s="15">
        <f t="shared" si="6"/>
        <v>3171169.7871787599</v>
      </c>
      <c r="AF49" s="15">
        <f t="shared" si="6"/>
        <v>941245.77812728938</v>
      </c>
      <c r="AG49" s="15">
        <f t="shared" si="6"/>
        <v>1122268.5192847161</v>
      </c>
      <c r="AH49" s="15">
        <f t="shared" si="6"/>
        <v>2852026.0874391836</v>
      </c>
      <c r="AI49" s="15">
        <f t="shared" si="6"/>
        <v>3727499.3095825566</v>
      </c>
      <c r="AJ49" s="15">
        <f t="shared" si="6"/>
        <v>274302.54570098163</v>
      </c>
      <c r="AK49" s="15">
        <f t="shared" si="6"/>
        <v>82136.503207224538</v>
      </c>
      <c r="AL49" s="15">
        <f t="shared" si="6"/>
        <v>630934.33756206662</v>
      </c>
      <c r="AM49" s="15">
        <f t="shared" si="6"/>
        <v>0</v>
      </c>
      <c r="AN49" s="15">
        <f t="shared" si="6"/>
        <v>297099797.7043038</v>
      </c>
      <c r="AO49" s="1"/>
      <c r="AP49" s="1"/>
      <c r="AQ49" s="1"/>
      <c r="AR49" s="1"/>
      <c r="AS49" s="1"/>
    </row>
    <row r="50" spans="1:45" x14ac:dyDescent="0.25"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</row>
    <row r="51" spans="1:45" x14ac:dyDescent="0.25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O51" s="1"/>
      <c r="AP51" s="1"/>
      <c r="AQ51" s="1"/>
      <c r="AR51" s="1"/>
      <c r="AS51" s="1"/>
    </row>
    <row r="52" spans="1:45" x14ac:dyDescent="0.25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</row>
    <row r="53" spans="1:45" x14ac:dyDescent="0.25">
      <c r="AO53" s="1"/>
      <c r="AP53" s="1"/>
      <c r="AQ53" s="1"/>
      <c r="AR53" s="1"/>
      <c r="AS53" s="1"/>
    </row>
    <row r="54" spans="1:45" x14ac:dyDescent="0.25"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</row>
    <row r="55" spans="1:45" x14ac:dyDescent="0.25">
      <c r="AN55" s="5"/>
      <c r="AO55" s="5"/>
    </row>
    <row r="56" spans="1:45" x14ac:dyDescent="0.25">
      <c r="AN56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56"/>
  <sheetViews>
    <sheetView workbookViewId="0">
      <selection activeCell="B40" sqref="B4:B40"/>
    </sheetView>
  </sheetViews>
  <sheetFormatPr defaultRowHeight="15" x14ac:dyDescent="0.25"/>
  <cols>
    <col min="2" max="2" width="39.42578125" customWidth="1"/>
    <col min="3" max="39" width="13.28515625" customWidth="1"/>
    <col min="40" max="40" width="13.85546875" bestFit="1" customWidth="1"/>
    <col min="41" max="42" width="13.28515625" customWidth="1"/>
    <col min="43" max="43" width="13.85546875" bestFit="1" customWidth="1"/>
    <col min="44" max="44" width="13.28515625" customWidth="1"/>
    <col min="45" max="48" width="13.85546875" bestFit="1" customWidth="1"/>
    <col min="49" max="49" width="13.28515625" customWidth="1"/>
    <col min="50" max="50" width="13.85546875" bestFit="1" customWidth="1"/>
    <col min="51" max="51" width="14" customWidth="1"/>
  </cols>
  <sheetData>
    <row r="1" spans="1:51" x14ac:dyDescent="0.25">
      <c r="B1" t="s">
        <v>51</v>
      </c>
    </row>
    <row r="2" spans="1:51" x14ac:dyDescent="0.25">
      <c r="B2" t="s">
        <v>49</v>
      </c>
    </row>
    <row r="3" spans="1:51" ht="29.25" customHeight="1" x14ac:dyDescent="0.25">
      <c r="A3" s="7" t="s">
        <v>46</v>
      </c>
      <c r="B3" s="8" t="s">
        <v>47</v>
      </c>
      <c r="C3" s="9">
        <v>1</v>
      </c>
      <c r="D3" s="9">
        <v>2</v>
      </c>
      <c r="E3" s="9">
        <v>3</v>
      </c>
      <c r="F3" s="9">
        <v>4</v>
      </c>
      <c r="G3" s="9">
        <v>5</v>
      </c>
      <c r="H3" s="9">
        <v>6</v>
      </c>
      <c r="I3" s="9">
        <v>7</v>
      </c>
      <c r="J3" s="9">
        <v>8</v>
      </c>
      <c r="K3" s="9">
        <v>9</v>
      </c>
      <c r="L3" s="9">
        <v>10</v>
      </c>
      <c r="M3" s="9">
        <v>11</v>
      </c>
      <c r="N3" s="9">
        <v>12</v>
      </c>
      <c r="O3" s="9">
        <v>13</v>
      </c>
      <c r="P3" s="9">
        <v>14</v>
      </c>
      <c r="Q3" s="9">
        <v>15</v>
      </c>
      <c r="R3" s="9">
        <v>16</v>
      </c>
      <c r="S3" s="9">
        <v>17</v>
      </c>
      <c r="T3" s="9">
        <v>18</v>
      </c>
      <c r="U3" s="9">
        <v>19</v>
      </c>
      <c r="V3" s="9">
        <v>20</v>
      </c>
      <c r="W3" s="9">
        <v>21</v>
      </c>
      <c r="X3" s="9">
        <v>22</v>
      </c>
      <c r="Y3" s="9">
        <v>23</v>
      </c>
      <c r="Z3" s="9">
        <v>24</v>
      </c>
      <c r="AA3" s="9">
        <v>25</v>
      </c>
      <c r="AB3" s="9">
        <v>26</v>
      </c>
      <c r="AC3" s="9">
        <v>27</v>
      </c>
      <c r="AD3" s="9">
        <v>28</v>
      </c>
      <c r="AE3" s="9">
        <v>29</v>
      </c>
      <c r="AF3" s="9">
        <v>30</v>
      </c>
      <c r="AG3" s="9">
        <v>31</v>
      </c>
      <c r="AH3" s="9">
        <v>32</v>
      </c>
      <c r="AI3" s="9">
        <v>33</v>
      </c>
      <c r="AJ3" s="9">
        <v>34</v>
      </c>
      <c r="AK3" s="9">
        <v>35</v>
      </c>
      <c r="AL3" s="9">
        <v>36</v>
      </c>
      <c r="AM3" s="9">
        <v>37</v>
      </c>
      <c r="AN3" s="10">
        <v>180</v>
      </c>
      <c r="AO3" s="11">
        <v>301</v>
      </c>
      <c r="AP3" s="9">
        <v>302</v>
      </c>
      <c r="AQ3" s="9">
        <v>303</v>
      </c>
      <c r="AR3" s="9">
        <v>304</v>
      </c>
      <c r="AS3" s="9">
        <v>305</v>
      </c>
      <c r="AT3" s="10">
        <v>309</v>
      </c>
      <c r="AU3" s="10">
        <v>310</v>
      </c>
      <c r="AV3" s="11">
        <v>409</v>
      </c>
      <c r="AW3" s="9">
        <v>509</v>
      </c>
      <c r="AX3" s="11">
        <v>600</v>
      </c>
      <c r="AY3" s="12">
        <v>700</v>
      </c>
    </row>
    <row r="4" spans="1:51" x14ac:dyDescent="0.25">
      <c r="A4" s="14">
        <v>1</v>
      </c>
      <c r="B4" t="s">
        <v>0</v>
      </c>
      <c r="C4" s="1">
        <v>113114.31644660073</v>
      </c>
      <c r="D4" s="1">
        <v>1730.1227578082653</v>
      </c>
      <c r="E4" s="1">
        <v>0</v>
      </c>
      <c r="F4" s="1">
        <v>0</v>
      </c>
      <c r="G4" s="1">
        <v>15124.473484714274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1316982.7697404725</v>
      </c>
      <c r="P4" s="1">
        <v>0</v>
      </c>
      <c r="Q4" s="1">
        <v>0</v>
      </c>
      <c r="R4" s="1">
        <v>2798.8890118562927</v>
      </c>
      <c r="S4" s="1">
        <v>3393.2907960810735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68.560842831139183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222.75555751742502</v>
      </c>
      <c r="AJ4" s="1">
        <v>0</v>
      </c>
      <c r="AK4" s="1">
        <v>52.975012589454082</v>
      </c>
      <c r="AL4" s="1">
        <v>0</v>
      </c>
      <c r="AM4" s="1">
        <v>0</v>
      </c>
      <c r="AN4" s="15">
        <f>SUM(C4:AM4)</f>
        <v>1453488.1536504715</v>
      </c>
      <c r="AO4" s="1">
        <v>0</v>
      </c>
      <c r="AP4" s="1">
        <v>0</v>
      </c>
      <c r="AQ4" s="1">
        <v>0</v>
      </c>
      <c r="AR4" s="1">
        <v>325.37</v>
      </c>
      <c r="AS4" s="1">
        <v>0</v>
      </c>
      <c r="AT4" s="1">
        <f>SUM(AO4:AS4)</f>
        <v>325.37</v>
      </c>
      <c r="AU4" s="15">
        <f>+AT4+AN4</f>
        <v>1453813.5236504716</v>
      </c>
      <c r="AV4">
        <v>0</v>
      </c>
      <c r="AW4">
        <v>0</v>
      </c>
      <c r="AX4" s="2">
        <v>1453813.519961379</v>
      </c>
      <c r="AY4" s="15">
        <f>SUM(AV4:AX4)</f>
        <v>1453813.519961379</v>
      </c>
    </row>
    <row r="5" spans="1:51" x14ac:dyDescent="0.25">
      <c r="A5" s="14">
        <v>2</v>
      </c>
      <c r="B5" t="s">
        <v>1</v>
      </c>
      <c r="C5" s="1">
        <v>0</v>
      </c>
      <c r="D5" s="1">
        <v>48966.102287456109</v>
      </c>
      <c r="E5" s="1">
        <v>0</v>
      </c>
      <c r="F5" s="1">
        <v>0</v>
      </c>
      <c r="G5" s="1">
        <v>8942.2766735335608</v>
      </c>
      <c r="H5" s="1">
        <v>14667.088840205071</v>
      </c>
      <c r="I5" s="1">
        <v>0</v>
      </c>
      <c r="J5" s="1">
        <v>9470.0747064740644</v>
      </c>
      <c r="K5" s="1">
        <v>0</v>
      </c>
      <c r="L5" s="1">
        <v>0</v>
      </c>
      <c r="M5" s="1">
        <v>0</v>
      </c>
      <c r="N5" s="1">
        <v>0.79855764406819751</v>
      </c>
      <c r="O5" s="1">
        <v>563675.29580962576</v>
      </c>
      <c r="P5" s="1">
        <v>0.3862183426815059</v>
      </c>
      <c r="Q5" s="1">
        <v>0.59974781805130861</v>
      </c>
      <c r="R5" s="1">
        <v>0</v>
      </c>
      <c r="S5" s="1">
        <v>3487.3558424318958</v>
      </c>
      <c r="T5" s="1">
        <v>0</v>
      </c>
      <c r="U5" s="1">
        <v>0</v>
      </c>
      <c r="V5" s="1">
        <v>0</v>
      </c>
      <c r="W5" s="1">
        <v>136.97014370182268</v>
      </c>
      <c r="X5" s="1">
        <v>0</v>
      </c>
      <c r="Y5" s="1">
        <v>0</v>
      </c>
      <c r="Z5" s="1">
        <v>0</v>
      </c>
      <c r="AA5" s="1">
        <v>203503.61548049684</v>
      </c>
      <c r="AB5" s="1">
        <v>0</v>
      </c>
      <c r="AC5" s="1">
        <v>31873.072149538835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872.93962919827652</v>
      </c>
      <c r="AJ5" s="1">
        <v>75834.416266870394</v>
      </c>
      <c r="AK5" s="1">
        <v>9093.3278568358855</v>
      </c>
      <c r="AL5" s="1">
        <v>0</v>
      </c>
      <c r="AM5" s="1">
        <v>0</v>
      </c>
      <c r="AN5" s="15">
        <f t="shared" ref="AN5:AN47" si="0">SUM(C5:AM5)</f>
        <v>970524.32021017326</v>
      </c>
      <c r="AO5" s="1">
        <v>1540613.2968990635</v>
      </c>
      <c r="AP5" s="1">
        <v>0</v>
      </c>
      <c r="AQ5" s="1">
        <v>0</v>
      </c>
      <c r="AR5" s="1">
        <v>60633.603352060061</v>
      </c>
      <c r="AS5" s="1">
        <f>142063.974363418+11219.21</f>
        <v>153283.184363418</v>
      </c>
      <c r="AT5" s="1">
        <f t="shared" ref="AT5:AT40" si="1">SUM(AO5:AS5)</f>
        <v>1754530.0846145416</v>
      </c>
      <c r="AU5" s="15">
        <f t="shared" ref="AU5:AU40" si="2">+AT5+AN5</f>
        <v>2725054.4048247151</v>
      </c>
      <c r="AV5">
        <v>0</v>
      </c>
      <c r="AW5">
        <v>0</v>
      </c>
      <c r="AX5" s="2">
        <v>2725054.3998848177</v>
      </c>
      <c r="AY5" s="15">
        <f t="shared" ref="AY5:AY42" si="3">SUM(AV5:AX5)</f>
        <v>2725054.3998848177</v>
      </c>
    </row>
    <row r="6" spans="1:51" x14ac:dyDescent="0.25">
      <c r="A6" s="14">
        <v>3</v>
      </c>
      <c r="B6" t="s">
        <v>2</v>
      </c>
      <c r="C6" s="1">
        <v>0</v>
      </c>
      <c r="D6" s="1">
        <v>0</v>
      </c>
      <c r="E6" s="1">
        <v>1108915.2503115188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8526221.8440139834</v>
      </c>
      <c r="P6" s="1">
        <v>0</v>
      </c>
      <c r="Q6" s="1">
        <v>0</v>
      </c>
      <c r="R6" s="1">
        <v>0</v>
      </c>
      <c r="S6" s="1">
        <v>164486.36310841297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5">
        <f t="shared" si="0"/>
        <v>9799623.4574339148</v>
      </c>
      <c r="AO6" s="1">
        <v>0</v>
      </c>
      <c r="AP6" s="1">
        <v>0</v>
      </c>
      <c r="AQ6" s="1">
        <v>87218.66712550947</v>
      </c>
      <c r="AR6" s="1">
        <v>72626.831951050539</v>
      </c>
      <c r="AS6" s="1">
        <v>193580.84</v>
      </c>
      <c r="AT6" s="1">
        <f t="shared" si="1"/>
        <v>353426.33907655999</v>
      </c>
      <c r="AU6" s="15">
        <f t="shared" si="2"/>
        <v>10153049.796510475</v>
      </c>
      <c r="AV6">
        <v>0</v>
      </c>
      <c r="AW6">
        <v>0</v>
      </c>
      <c r="AX6" s="2">
        <v>10153049.80098841</v>
      </c>
      <c r="AY6" s="15">
        <f t="shared" si="3"/>
        <v>10153049.80098841</v>
      </c>
    </row>
    <row r="7" spans="1:51" x14ac:dyDescent="0.25">
      <c r="A7" s="14">
        <v>4</v>
      </c>
      <c r="B7" t="s">
        <v>3</v>
      </c>
      <c r="C7" s="1">
        <v>0</v>
      </c>
      <c r="D7" s="1">
        <v>0</v>
      </c>
      <c r="E7" s="1">
        <v>0</v>
      </c>
      <c r="F7" s="1">
        <v>159790.51674571863</v>
      </c>
      <c r="G7" s="1">
        <v>1619.1691966879926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23.476986173055131</v>
      </c>
      <c r="O7" s="1">
        <v>91007.642523082177</v>
      </c>
      <c r="P7" s="1">
        <v>1991.8572825990775</v>
      </c>
      <c r="Q7" s="1">
        <v>16017.230504770361</v>
      </c>
      <c r="R7" s="1">
        <v>2790.4460682546855</v>
      </c>
      <c r="S7" s="1">
        <v>29728.825377625868</v>
      </c>
      <c r="T7" s="1">
        <v>0</v>
      </c>
      <c r="U7" s="1">
        <v>0</v>
      </c>
      <c r="V7" s="1">
        <v>0</v>
      </c>
      <c r="W7" s="1">
        <v>8669.0326560684225</v>
      </c>
      <c r="X7" s="1">
        <v>0</v>
      </c>
      <c r="Y7" s="1">
        <v>0</v>
      </c>
      <c r="Z7" s="1">
        <v>0</v>
      </c>
      <c r="AA7" s="1">
        <v>13522.722133592324</v>
      </c>
      <c r="AB7" s="1">
        <v>0</v>
      </c>
      <c r="AC7" s="1">
        <v>352.95005360072031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3613.4601061023718</v>
      </c>
      <c r="AK7" s="1">
        <v>962.68133665923267</v>
      </c>
      <c r="AL7" s="1">
        <v>1738.7318631636383</v>
      </c>
      <c r="AM7" s="1">
        <v>0</v>
      </c>
      <c r="AN7" s="15">
        <f t="shared" si="0"/>
        <v>331828.74283409864</v>
      </c>
      <c r="AO7" s="1">
        <v>62579.015905231863</v>
      </c>
      <c r="AP7" s="1">
        <v>0</v>
      </c>
      <c r="AQ7" s="1">
        <v>16302.599954682923</v>
      </c>
      <c r="AR7" s="1">
        <v>5025.3330339803351</v>
      </c>
      <c r="AS7" s="1">
        <f>1747747.31759123+100.41</f>
        <v>1747847.7275912298</v>
      </c>
      <c r="AT7" s="1">
        <f t="shared" si="1"/>
        <v>1831754.676485125</v>
      </c>
      <c r="AU7" s="15">
        <f t="shared" si="2"/>
        <v>2163583.4193192236</v>
      </c>
      <c r="AV7">
        <v>0</v>
      </c>
      <c r="AW7">
        <v>0</v>
      </c>
      <c r="AX7" s="2">
        <v>2163583.4241412496</v>
      </c>
      <c r="AY7" s="15">
        <f t="shared" si="3"/>
        <v>2163583.4241412496</v>
      </c>
    </row>
    <row r="8" spans="1:51" x14ac:dyDescent="0.25">
      <c r="A8" s="14">
        <v>5</v>
      </c>
      <c r="B8" t="s">
        <v>4</v>
      </c>
      <c r="C8" s="1">
        <v>1079.7026646005904</v>
      </c>
      <c r="D8" s="1">
        <v>26497.358065753659</v>
      </c>
      <c r="E8" s="1">
        <v>21561.205437720633</v>
      </c>
      <c r="F8" s="1">
        <v>4199.9195795592104</v>
      </c>
      <c r="G8" s="1">
        <v>42852.118608985678</v>
      </c>
      <c r="H8" s="1">
        <v>0</v>
      </c>
      <c r="I8" s="1">
        <v>0</v>
      </c>
      <c r="J8" s="1">
        <v>427.63369245239079</v>
      </c>
      <c r="K8" s="1">
        <v>0</v>
      </c>
      <c r="L8" s="1">
        <v>0</v>
      </c>
      <c r="M8" s="1">
        <v>0</v>
      </c>
      <c r="N8" s="1">
        <v>0</v>
      </c>
      <c r="O8" s="1">
        <v>1011183.2252154956</v>
      </c>
      <c r="P8" s="1">
        <v>2120.1108508396392</v>
      </c>
      <c r="Q8" s="1">
        <v>11.795547189477332</v>
      </c>
      <c r="R8" s="1">
        <v>0</v>
      </c>
      <c r="S8" s="1">
        <v>5422.5926988528372</v>
      </c>
      <c r="T8" s="1">
        <v>0</v>
      </c>
      <c r="U8" s="1">
        <v>0</v>
      </c>
      <c r="V8" s="1">
        <v>0</v>
      </c>
      <c r="W8" s="1">
        <v>6091.3766178548949</v>
      </c>
      <c r="X8" s="1">
        <v>0</v>
      </c>
      <c r="Y8" s="1">
        <v>0</v>
      </c>
      <c r="Z8" s="1">
        <v>0</v>
      </c>
      <c r="AA8" s="1">
        <v>180108.08221809391</v>
      </c>
      <c r="AB8" s="1">
        <v>0</v>
      </c>
      <c r="AC8" s="1">
        <v>28376.022957123994</v>
      </c>
      <c r="AD8" s="1">
        <v>0</v>
      </c>
      <c r="AE8" s="1">
        <v>0</v>
      </c>
      <c r="AF8" s="1">
        <v>0</v>
      </c>
      <c r="AG8" s="1">
        <v>0</v>
      </c>
      <c r="AH8" s="1">
        <v>8.5429287906019074</v>
      </c>
      <c r="AI8" s="1">
        <v>7735.4061205046073</v>
      </c>
      <c r="AJ8" s="1">
        <v>36412.744945319071</v>
      </c>
      <c r="AK8" s="1">
        <v>911.7035241251865</v>
      </c>
      <c r="AL8" s="1">
        <v>0</v>
      </c>
      <c r="AM8" s="1">
        <v>0</v>
      </c>
      <c r="AN8" s="15">
        <f t="shared" si="0"/>
        <v>1374999.5416732621</v>
      </c>
      <c r="AO8" s="1">
        <v>484237.06272168015</v>
      </c>
      <c r="AP8" s="1">
        <v>0</v>
      </c>
      <c r="AQ8" s="1">
        <v>292754.93468620355</v>
      </c>
      <c r="AR8" s="1">
        <v>24274.461111295026</v>
      </c>
      <c r="AS8" s="1">
        <v>69343.12738863354</v>
      </c>
      <c r="AT8" s="1">
        <f t="shared" si="1"/>
        <v>870609.58590781223</v>
      </c>
      <c r="AU8" s="15">
        <f t="shared" si="2"/>
        <v>2245609.1275810744</v>
      </c>
      <c r="AV8">
        <v>0</v>
      </c>
      <c r="AW8">
        <v>0</v>
      </c>
      <c r="AX8" s="2">
        <v>2245609.1323461952</v>
      </c>
      <c r="AY8" s="15">
        <f t="shared" si="3"/>
        <v>2245609.1323461952</v>
      </c>
    </row>
    <row r="9" spans="1:51" x14ac:dyDescent="0.25">
      <c r="A9" s="14">
        <v>6</v>
      </c>
      <c r="B9" t="s">
        <v>5</v>
      </c>
      <c r="C9" s="1">
        <v>34.728035210255271</v>
      </c>
      <c r="D9" s="1">
        <v>422.87421692977159</v>
      </c>
      <c r="E9" s="1">
        <v>747.0478421663106</v>
      </c>
      <c r="F9" s="1">
        <v>1993.7916022258914</v>
      </c>
      <c r="G9" s="1">
        <v>367.32607211222313</v>
      </c>
      <c r="H9" s="1">
        <v>77318.264059100926</v>
      </c>
      <c r="I9" s="1">
        <v>34.385511428381413</v>
      </c>
      <c r="J9" s="1">
        <v>6449.0705648873918</v>
      </c>
      <c r="K9" s="1">
        <v>0</v>
      </c>
      <c r="L9" s="1">
        <v>49435.541455923842</v>
      </c>
      <c r="M9" s="1">
        <v>2985.8940885629377</v>
      </c>
      <c r="N9" s="1">
        <v>0</v>
      </c>
      <c r="O9" s="1">
        <v>16860.59352811228</v>
      </c>
      <c r="P9" s="1">
        <v>99.786299204876585</v>
      </c>
      <c r="Q9" s="1">
        <v>4601662.5186671279</v>
      </c>
      <c r="R9" s="1">
        <v>729160.14874917187</v>
      </c>
      <c r="S9" s="1">
        <v>674.17229562364219</v>
      </c>
      <c r="T9" s="1">
        <v>4541.930988515739</v>
      </c>
      <c r="U9" s="1">
        <v>0</v>
      </c>
      <c r="V9" s="1">
        <v>804.70052953396555</v>
      </c>
      <c r="W9" s="1">
        <v>354.12767643898962</v>
      </c>
      <c r="X9" s="1">
        <v>0</v>
      </c>
      <c r="Y9" s="1">
        <v>1105976.5588231843</v>
      </c>
      <c r="Z9" s="1">
        <v>1252.7491960096022</v>
      </c>
      <c r="AA9" s="1">
        <v>5024.8944515783887</v>
      </c>
      <c r="AB9" s="1">
        <v>689.08922194376692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84.978814203403957</v>
      </c>
      <c r="AI9" s="1">
        <v>0</v>
      </c>
      <c r="AJ9" s="1">
        <v>33.80088182098951</v>
      </c>
      <c r="AK9" s="1">
        <v>0</v>
      </c>
      <c r="AL9" s="1">
        <v>0</v>
      </c>
      <c r="AM9" s="1">
        <v>0</v>
      </c>
      <c r="AN9" s="15">
        <f t="shared" si="0"/>
        <v>6607008.9735710174</v>
      </c>
      <c r="AO9" s="1">
        <v>0</v>
      </c>
      <c r="AP9" s="1">
        <v>0</v>
      </c>
      <c r="AQ9" s="1">
        <v>0</v>
      </c>
      <c r="AR9" s="1">
        <v>25146.621787424574</v>
      </c>
      <c r="AS9" s="1">
        <v>1717451.6833218674</v>
      </c>
      <c r="AT9" s="1">
        <f t="shared" si="1"/>
        <v>1742598.305109292</v>
      </c>
      <c r="AU9" s="15">
        <f t="shared" si="2"/>
        <v>8349607.2786803097</v>
      </c>
      <c r="AV9">
        <v>0</v>
      </c>
      <c r="AW9">
        <v>0</v>
      </c>
      <c r="AX9" s="2">
        <v>8349607.2820255812</v>
      </c>
      <c r="AY9" s="15">
        <f t="shared" si="3"/>
        <v>8349607.2820255812</v>
      </c>
    </row>
    <row r="10" spans="1:51" x14ac:dyDescent="0.25">
      <c r="A10" s="14">
        <v>7</v>
      </c>
      <c r="B10" t="s">
        <v>6</v>
      </c>
      <c r="C10" s="1">
        <v>0</v>
      </c>
      <c r="D10" s="1">
        <v>0</v>
      </c>
      <c r="E10" s="1">
        <v>0</v>
      </c>
      <c r="F10" s="1">
        <v>0</v>
      </c>
      <c r="G10" s="1">
        <v>0.93934125301282312</v>
      </c>
      <c r="H10" s="1">
        <v>160.89101969245954</v>
      </c>
      <c r="I10" s="1">
        <v>27.498706073647696</v>
      </c>
      <c r="J10" s="1">
        <v>432.28940043300162</v>
      </c>
      <c r="K10" s="1">
        <v>0</v>
      </c>
      <c r="L10" s="1">
        <v>0</v>
      </c>
      <c r="M10" s="1">
        <v>0</v>
      </c>
      <c r="N10" s="1">
        <v>0</v>
      </c>
      <c r="O10" s="1">
        <v>5196.8719376664912</v>
      </c>
      <c r="P10" s="1">
        <v>553.6485642333414</v>
      </c>
      <c r="Q10" s="1">
        <v>150151.81290740796</v>
      </c>
      <c r="R10" s="1">
        <v>68.172291284199957</v>
      </c>
      <c r="S10" s="1">
        <v>3040.4054326587943</v>
      </c>
      <c r="T10" s="1">
        <v>0</v>
      </c>
      <c r="U10" s="1">
        <v>0</v>
      </c>
      <c r="V10" s="1">
        <v>0</v>
      </c>
      <c r="W10" s="1">
        <v>723.55036641481752</v>
      </c>
      <c r="X10" s="1">
        <v>0</v>
      </c>
      <c r="Y10" s="1">
        <v>412.53842043317059</v>
      </c>
      <c r="Z10" s="1">
        <v>0</v>
      </c>
      <c r="AA10" s="1">
        <v>507.18638568396563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8.0282121108396147</v>
      </c>
      <c r="AK10" s="1">
        <v>2.2590340540148803</v>
      </c>
      <c r="AL10" s="1">
        <v>4554.3135098789462</v>
      </c>
      <c r="AM10" s="1">
        <v>0</v>
      </c>
      <c r="AN10" s="15">
        <f t="shared" si="0"/>
        <v>165840.40552927865</v>
      </c>
      <c r="AO10" s="1">
        <v>93707.025094312819</v>
      </c>
      <c r="AP10" s="1">
        <v>0</v>
      </c>
      <c r="AQ10" s="1">
        <v>0</v>
      </c>
      <c r="AR10" s="1">
        <v>1793.2604371344532</v>
      </c>
      <c r="AS10" s="1">
        <v>627443.14783914504</v>
      </c>
      <c r="AT10" s="1">
        <f t="shared" si="1"/>
        <v>722943.43337059231</v>
      </c>
      <c r="AU10" s="15">
        <f t="shared" si="2"/>
        <v>888783.83889987099</v>
      </c>
      <c r="AV10">
        <v>0</v>
      </c>
      <c r="AW10">
        <v>0</v>
      </c>
      <c r="AX10" s="2">
        <v>888783.84365656215</v>
      </c>
      <c r="AY10" s="15">
        <f t="shared" si="3"/>
        <v>888783.84365656215</v>
      </c>
    </row>
    <row r="11" spans="1:51" x14ac:dyDescent="0.25">
      <c r="A11" s="14">
        <v>8</v>
      </c>
      <c r="B11" t="s">
        <v>7</v>
      </c>
      <c r="C11" s="1">
        <v>0</v>
      </c>
      <c r="D11" s="1">
        <v>27.55938242347791</v>
      </c>
      <c r="E11" s="1">
        <v>60.919909829139264</v>
      </c>
      <c r="F11" s="1">
        <v>32.157922489423761</v>
      </c>
      <c r="G11" s="1">
        <v>0</v>
      </c>
      <c r="H11" s="1">
        <v>0</v>
      </c>
      <c r="I11" s="1">
        <v>0</v>
      </c>
      <c r="J11" s="1">
        <v>212248.2746588827</v>
      </c>
      <c r="K11" s="1">
        <v>0</v>
      </c>
      <c r="L11" s="1">
        <v>0</v>
      </c>
      <c r="M11" s="1">
        <v>0</v>
      </c>
      <c r="N11" s="1">
        <v>0</v>
      </c>
      <c r="O11" s="1">
        <v>2078081.4820485578</v>
      </c>
      <c r="P11" s="1">
        <v>388.54821611920704</v>
      </c>
      <c r="Q11" s="1">
        <v>50514.814664694961</v>
      </c>
      <c r="R11" s="1">
        <v>0</v>
      </c>
      <c r="S11" s="1">
        <v>336.67970049619316</v>
      </c>
      <c r="T11" s="1">
        <v>0</v>
      </c>
      <c r="U11" s="1">
        <v>0</v>
      </c>
      <c r="V11" s="1">
        <v>50438.143405840325</v>
      </c>
      <c r="W11" s="1">
        <v>3559.1151795667342</v>
      </c>
      <c r="X11" s="1">
        <v>0</v>
      </c>
      <c r="Y11" s="1">
        <v>0</v>
      </c>
      <c r="Z11" s="1">
        <v>0</v>
      </c>
      <c r="AA11" s="1">
        <v>426020.41786254419</v>
      </c>
      <c r="AB11" s="1">
        <v>0</v>
      </c>
      <c r="AC11" s="1">
        <v>31393.49462479449</v>
      </c>
      <c r="AD11" s="1">
        <v>0</v>
      </c>
      <c r="AE11" s="1">
        <v>0</v>
      </c>
      <c r="AF11" s="1">
        <v>0</v>
      </c>
      <c r="AG11" s="1">
        <v>0</v>
      </c>
      <c r="AH11" s="1">
        <v>4812.1026294162966</v>
      </c>
      <c r="AI11" s="1">
        <v>0</v>
      </c>
      <c r="AJ11" s="1">
        <v>13720.53679152547</v>
      </c>
      <c r="AK11" s="1">
        <v>47.553808186205032</v>
      </c>
      <c r="AL11" s="1">
        <v>0</v>
      </c>
      <c r="AM11" s="1">
        <v>0</v>
      </c>
      <c r="AN11" s="15">
        <f t="shared" si="0"/>
        <v>2871681.8008053666</v>
      </c>
      <c r="AO11" s="1">
        <v>3663309.1307474878</v>
      </c>
      <c r="AP11" s="1">
        <v>0</v>
      </c>
      <c r="AQ11" s="1">
        <v>0</v>
      </c>
      <c r="AR11" s="1">
        <v>91235.090883594341</v>
      </c>
      <c r="AS11" s="1">
        <f>535772.798968311+16339.98</f>
        <v>552112.77896831103</v>
      </c>
      <c r="AT11" s="1">
        <f t="shared" si="1"/>
        <v>4306657.0005993936</v>
      </c>
      <c r="AU11" s="15">
        <f t="shared" si="2"/>
        <v>7178338.8014047602</v>
      </c>
      <c r="AV11">
        <v>0</v>
      </c>
      <c r="AW11">
        <v>0</v>
      </c>
      <c r="AX11" s="2">
        <v>7178338.8006739477</v>
      </c>
      <c r="AY11" s="15">
        <f t="shared" si="3"/>
        <v>7178338.8006739477</v>
      </c>
    </row>
    <row r="12" spans="1:51" x14ac:dyDescent="0.25">
      <c r="A12" s="14">
        <v>9</v>
      </c>
      <c r="B12" t="s">
        <v>8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3448720.7426781203</v>
      </c>
      <c r="L12" s="1">
        <v>0</v>
      </c>
      <c r="M12" s="1">
        <v>0</v>
      </c>
      <c r="N12" s="1">
        <v>4438972.9396200655</v>
      </c>
      <c r="O12" s="1">
        <v>0</v>
      </c>
      <c r="P12" s="1">
        <v>0</v>
      </c>
      <c r="Q12" s="1">
        <v>0</v>
      </c>
      <c r="R12" s="1">
        <v>0</v>
      </c>
      <c r="S12" s="1">
        <v>778130.87770503003</v>
      </c>
      <c r="T12" s="1">
        <v>0</v>
      </c>
      <c r="U12" s="1">
        <v>0</v>
      </c>
      <c r="V12" s="1">
        <v>0</v>
      </c>
      <c r="W12" s="1">
        <v>0</v>
      </c>
      <c r="X12" s="1">
        <v>1924.7675774238348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5">
        <f t="shared" si="0"/>
        <v>8667749.3275806401</v>
      </c>
      <c r="AO12" s="1">
        <v>0</v>
      </c>
      <c r="AP12" s="1">
        <v>0</v>
      </c>
      <c r="AQ12" s="1">
        <v>0</v>
      </c>
      <c r="AR12" s="1">
        <v>88387.29077391194</v>
      </c>
      <c r="AS12" s="1">
        <v>78991240.841851383</v>
      </c>
      <c r="AT12" s="1">
        <f t="shared" si="1"/>
        <v>79079628.132625297</v>
      </c>
      <c r="AU12" s="15">
        <f t="shared" si="2"/>
        <v>87747377.460205942</v>
      </c>
      <c r="AV12">
        <v>0</v>
      </c>
      <c r="AW12">
        <v>0</v>
      </c>
      <c r="AX12" s="2">
        <v>87747377.465045899</v>
      </c>
      <c r="AY12" s="15">
        <f t="shared" si="3"/>
        <v>87747377.465045899</v>
      </c>
    </row>
    <row r="13" spans="1:51" x14ac:dyDescent="0.25">
      <c r="A13" s="14">
        <v>10</v>
      </c>
      <c r="B13" t="s">
        <v>9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17755037.862152766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56020.948641227806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5">
        <f t="shared" si="0"/>
        <v>17811058.810793996</v>
      </c>
      <c r="AO13" s="1">
        <v>0</v>
      </c>
      <c r="AP13" s="1">
        <v>0</v>
      </c>
      <c r="AQ13" s="1">
        <v>0</v>
      </c>
      <c r="AR13" s="1">
        <f>2481.84341045267+4000000</f>
        <v>4002481.8434104528</v>
      </c>
      <c r="AS13" s="1">
        <f>140563453.428988-4000000</f>
        <v>136563453.42898801</v>
      </c>
      <c r="AT13" s="1">
        <f t="shared" si="1"/>
        <v>140565935.27239847</v>
      </c>
      <c r="AU13" s="15">
        <f t="shared" si="2"/>
        <v>158376994.08319247</v>
      </c>
      <c r="AV13">
        <v>0</v>
      </c>
      <c r="AW13">
        <v>0</v>
      </c>
      <c r="AX13" s="2">
        <v>158376994.07968795</v>
      </c>
      <c r="AY13" s="15">
        <f t="shared" si="3"/>
        <v>158376994.07968795</v>
      </c>
    </row>
    <row r="14" spans="1:51" x14ac:dyDescent="0.25">
      <c r="A14" s="14">
        <v>11</v>
      </c>
      <c r="B14" t="s">
        <v>10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14459.756332948669</v>
      </c>
      <c r="N14" s="1">
        <v>0</v>
      </c>
      <c r="O14" s="1">
        <v>4706.4963437781998</v>
      </c>
      <c r="P14" s="1">
        <v>1002.9878670827392</v>
      </c>
      <c r="Q14" s="1">
        <v>0</v>
      </c>
      <c r="R14" s="1">
        <v>487.08333944963823</v>
      </c>
      <c r="S14" s="1">
        <v>48095.626239736885</v>
      </c>
      <c r="T14" s="1">
        <v>49416.48710933586</v>
      </c>
      <c r="U14" s="1">
        <v>0</v>
      </c>
      <c r="V14" s="1">
        <v>246125.26322833155</v>
      </c>
      <c r="W14" s="1">
        <v>69972.10024751976</v>
      </c>
      <c r="X14" s="1">
        <v>0</v>
      </c>
      <c r="Y14" s="1">
        <v>4594991.5730209593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5">
        <f t="shared" si="0"/>
        <v>5029257.3737291424</v>
      </c>
      <c r="AO14" s="1">
        <v>0</v>
      </c>
      <c r="AP14" s="1">
        <v>0</v>
      </c>
      <c r="AQ14" s="1">
        <v>0</v>
      </c>
      <c r="AR14" s="1">
        <v>236047.39261605436</v>
      </c>
      <c r="AS14" s="1">
        <v>8821667.1925113313</v>
      </c>
      <c r="AT14" s="1">
        <f t="shared" si="1"/>
        <v>9057714.5851273853</v>
      </c>
      <c r="AU14" s="15">
        <f t="shared" si="2"/>
        <v>14086971.958856527</v>
      </c>
      <c r="AV14">
        <v>0</v>
      </c>
      <c r="AW14">
        <v>0</v>
      </c>
      <c r="AX14" s="2">
        <v>14086971.958168376</v>
      </c>
      <c r="AY14" s="15">
        <f t="shared" si="3"/>
        <v>14086971.958168376</v>
      </c>
    </row>
    <row r="15" spans="1:51" x14ac:dyDescent="0.25">
      <c r="A15" s="14">
        <v>12</v>
      </c>
      <c r="B15" t="s">
        <v>11</v>
      </c>
      <c r="C15" s="1">
        <v>735.57962865534205</v>
      </c>
      <c r="D15" s="1">
        <v>3963.0483580437135</v>
      </c>
      <c r="E15" s="1">
        <v>105440.51834199396</v>
      </c>
      <c r="F15" s="1">
        <v>3867.7503450847448</v>
      </c>
      <c r="G15" s="1">
        <v>1147.8067649629945</v>
      </c>
      <c r="H15" s="1">
        <v>175562.07947103804</v>
      </c>
      <c r="I15" s="1">
        <v>7474.8523813846805</v>
      </c>
      <c r="J15" s="1">
        <v>166196.33848724031</v>
      </c>
      <c r="K15" s="1">
        <v>222545.52828418254</v>
      </c>
      <c r="L15" s="1">
        <v>1838177.5140316561</v>
      </c>
      <c r="M15" s="1">
        <v>239001.88001196028</v>
      </c>
      <c r="N15" s="1">
        <v>1335381.552583667</v>
      </c>
      <c r="O15" s="1">
        <v>133520.76048494285</v>
      </c>
      <c r="P15" s="1">
        <v>3960.9015408308164</v>
      </c>
      <c r="Q15" s="1">
        <v>305618.21802984306</v>
      </c>
      <c r="R15" s="1">
        <v>181204.31506989381</v>
      </c>
      <c r="S15" s="1">
        <v>311956.63590837683</v>
      </c>
      <c r="T15" s="1">
        <v>40006.846538810489</v>
      </c>
      <c r="U15" s="1">
        <v>0</v>
      </c>
      <c r="V15" s="1">
        <v>45820.763744347387</v>
      </c>
      <c r="W15" s="1">
        <v>14524.460790642743</v>
      </c>
      <c r="X15" s="1">
        <v>112001.54648339162</v>
      </c>
      <c r="Y15" s="1">
        <v>1217296.1434652114</v>
      </c>
      <c r="Z15" s="1">
        <v>479588.67425804422</v>
      </c>
      <c r="AA15" s="1">
        <v>24430.334842416592</v>
      </c>
      <c r="AB15" s="1">
        <v>554433.28917848656</v>
      </c>
      <c r="AC15" s="1">
        <v>1210084.9432914073</v>
      </c>
      <c r="AD15" s="1">
        <v>837797.35484393244</v>
      </c>
      <c r="AE15" s="1">
        <v>345355.84327327833</v>
      </c>
      <c r="AF15" s="1">
        <v>78916.003560775949</v>
      </c>
      <c r="AG15" s="1">
        <v>13688.132177993186</v>
      </c>
      <c r="AH15" s="1">
        <v>84360.67401419043</v>
      </c>
      <c r="AI15" s="1">
        <v>0</v>
      </c>
      <c r="AJ15" s="1">
        <v>4666.1329470075025</v>
      </c>
      <c r="AK15" s="1">
        <v>1557.4088705269755</v>
      </c>
      <c r="AL15" s="1">
        <v>28212.995155427925</v>
      </c>
      <c r="AM15" s="1">
        <v>0</v>
      </c>
      <c r="AN15" s="15">
        <f t="shared" si="0"/>
        <v>10128496.827159649</v>
      </c>
      <c r="AO15" s="1">
        <v>3412353.8430869151</v>
      </c>
      <c r="AP15" s="1">
        <v>0</v>
      </c>
      <c r="AQ15" s="1">
        <v>0</v>
      </c>
      <c r="AR15" s="1">
        <v>442942.50174310361</v>
      </c>
      <c r="AS15" s="1">
        <f>104627805.891158+535268.07</f>
        <v>105163073.96115799</v>
      </c>
      <c r="AT15" s="1">
        <f t="shared" si="1"/>
        <v>109018370.30598801</v>
      </c>
      <c r="AU15" s="15">
        <f t="shared" si="2"/>
        <v>119146867.13314766</v>
      </c>
      <c r="AV15">
        <v>0</v>
      </c>
      <c r="AW15">
        <v>0</v>
      </c>
      <c r="AX15" s="2">
        <v>119146867.13095698</v>
      </c>
      <c r="AY15" s="15">
        <f t="shared" si="3"/>
        <v>119146867.13095698</v>
      </c>
    </row>
    <row r="16" spans="1:51" x14ac:dyDescent="0.25">
      <c r="A16" s="14">
        <v>13</v>
      </c>
      <c r="B16" t="s">
        <v>12</v>
      </c>
      <c r="C16" s="1">
        <v>0</v>
      </c>
      <c r="D16" s="1">
        <v>4480.5855295092661</v>
      </c>
      <c r="E16" s="1">
        <v>34981.852943787315</v>
      </c>
      <c r="F16" s="1">
        <v>8632.074692868815</v>
      </c>
      <c r="G16" s="1">
        <v>137964.61084068593</v>
      </c>
      <c r="H16" s="1">
        <v>0</v>
      </c>
      <c r="I16" s="1">
        <v>0</v>
      </c>
      <c r="J16" s="1">
        <v>21290.158060009737</v>
      </c>
      <c r="K16" s="1">
        <v>0</v>
      </c>
      <c r="L16" s="1">
        <v>0</v>
      </c>
      <c r="M16" s="1">
        <v>0</v>
      </c>
      <c r="N16" s="1">
        <v>0</v>
      </c>
      <c r="O16" s="1">
        <v>441801.86511964333</v>
      </c>
      <c r="P16" s="1">
        <v>831.79278762263084</v>
      </c>
      <c r="Q16" s="1">
        <v>1608.2080897378059</v>
      </c>
      <c r="R16" s="1">
        <v>3940.0133133189938</v>
      </c>
      <c r="S16" s="1">
        <v>33075.201993946313</v>
      </c>
      <c r="T16" s="1">
        <v>87.31918588094797</v>
      </c>
      <c r="U16" s="1">
        <v>0</v>
      </c>
      <c r="V16" s="1">
        <v>1378.1402697606238</v>
      </c>
      <c r="W16" s="1">
        <v>879.94419219459576</v>
      </c>
      <c r="X16" s="1">
        <v>13.048405906568364</v>
      </c>
      <c r="Y16" s="1">
        <v>415.0495781884768</v>
      </c>
      <c r="Z16" s="1">
        <v>32392.931169849689</v>
      </c>
      <c r="AA16" s="1">
        <v>85108.841367458095</v>
      </c>
      <c r="AB16" s="1">
        <v>445.36080166265174</v>
      </c>
      <c r="AC16" s="1">
        <v>47368.922547822709</v>
      </c>
      <c r="AD16" s="1">
        <v>5301.4649685214335</v>
      </c>
      <c r="AE16" s="1">
        <v>3240.5063203775294</v>
      </c>
      <c r="AF16" s="1">
        <v>801.80449995734068</v>
      </c>
      <c r="AG16" s="1">
        <v>901.62145484804591</v>
      </c>
      <c r="AH16" s="1">
        <v>2912.035498928607</v>
      </c>
      <c r="AI16" s="1">
        <v>42589.426280803818</v>
      </c>
      <c r="AJ16" s="1">
        <v>9957.309212664637</v>
      </c>
      <c r="AK16" s="1">
        <v>6117.0930556489611</v>
      </c>
      <c r="AL16" s="1">
        <v>235.19359316581833</v>
      </c>
      <c r="AM16" s="1">
        <v>0</v>
      </c>
      <c r="AN16" s="15">
        <f t="shared" si="0"/>
        <v>928752.37577477086</v>
      </c>
      <c r="AO16" s="1">
        <f>1272389.90984736+10000000</f>
        <v>11272389.90984736</v>
      </c>
      <c r="AP16" s="1">
        <v>0</v>
      </c>
      <c r="AQ16" s="1">
        <v>0</v>
      </c>
      <c r="AR16" s="1">
        <v>13612.801717797682</v>
      </c>
      <c r="AS16" s="1">
        <f>25506771.8305141-10000000+18319.98</f>
        <v>15525091.8105141</v>
      </c>
      <c r="AT16" s="1">
        <f t="shared" si="1"/>
        <v>26811094.522079259</v>
      </c>
      <c r="AU16" s="15">
        <f t="shared" si="2"/>
        <v>27739846.89785403</v>
      </c>
      <c r="AV16">
        <v>0</v>
      </c>
      <c r="AW16">
        <v>0</v>
      </c>
      <c r="AX16" s="2">
        <v>27739846.900051631</v>
      </c>
      <c r="AY16" s="15">
        <f t="shared" si="3"/>
        <v>27739846.900051631</v>
      </c>
    </row>
    <row r="17" spans="1:51" x14ac:dyDescent="0.25">
      <c r="A17" s="14">
        <v>14</v>
      </c>
      <c r="B17" t="s">
        <v>13</v>
      </c>
      <c r="C17" s="1">
        <v>11.566942331292145</v>
      </c>
      <c r="D17" s="1">
        <v>6.0350914223550989</v>
      </c>
      <c r="E17" s="1">
        <v>5.5902805989105273</v>
      </c>
      <c r="F17" s="1">
        <v>9.042919676767827</v>
      </c>
      <c r="G17" s="1">
        <v>1.9534921428786524E-2</v>
      </c>
      <c r="H17" s="1">
        <v>19.472251456361693</v>
      </c>
      <c r="I17" s="1">
        <v>5.9077799200684202</v>
      </c>
      <c r="J17" s="1">
        <v>730.55557051743449</v>
      </c>
      <c r="K17" s="1">
        <v>430.36487829611957</v>
      </c>
      <c r="L17" s="1">
        <v>2389.7681473855937</v>
      </c>
      <c r="M17" s="1">
        <v>81.17676443925977</v>
      </c>
      <c r="N17" s="1">
        <v>372.79849457272849</v>
      </c>
      <c r="O17" s="1">
        <v>5.924016700724124</v>
      </c>
      <c r="P17" s="1">
        <v>464.68939574865266</v>
      </c>
      <c r="Q17" s="1">
        <v>205.36458896991198</v>
      </c>
      <c r="R17" s="1">
        <v>46.214246747461317</v>
      </c>
      <c r="S17" s="1">
        <v>90.226196613639928</v>
      </c>
      <c r="T17" s="1">
        <v>1.948386327824946</v>
      </c>
      <c r="U17" s="1">
        <v>0</v>
      </c>
      <c r="V17" s="1">
        <v>13.618926609604973</v>
      </c>
      <c r="W17" s="1">
        <v>135.38305148552163</v>
      </c>
      <c r="X17" s="1">
        <v>0.95882848981638624</v>
      </c>
      <c r="Y17" s="1">
        <v>10.170640287335587</v>
      </c>
      <c r="Z17" s="1">
        <v>22.987621183646347</v>
      </c>
      <c r="AA17" s="1">
        <v>1230.7358010770154</v>
      </c>
      <c r="AB17" s="1">
        <v>8.8886058592599664</v>
      </c>
      <c r="AC17" s="1">
        <v>10.98743113917689</v>
      </c>
      <c r="AD17" s="1">
        <v>6.7813280235465392</v>
      </c>
      <c r="AE17" s="1">
        <v>114.27328461028064</v>
      </c>
      <c r="AF17" s="1">
        <v>5.5361436767136212</v>
      </c>
      <c r="AG17" s="1">
        <v>7.3104603447827676</v>
      </c>
      <c r="AH17" s="1">
        <v>54.258119727359173</v>
      </c>
      <c r="AI17" s="1">
        <v>0</v>
      </c>
      <c r="AJ17" s="1">
        <v>26.72451510925606</v>
      </c>
      <c r="AK17" s="1">
        <v>0.27524742425377458</v>
      </c>
      <c r="AL17" s="1">
        <v>51.390299918867804</v>
      </c>
      <c r="AM17" s="1">
        <v>0</v>
      </c>
      <c r="AN17" s="15">
        <f t="shared" si="0"/>
        <v>6576.9457916129741</v>
      </c>
      <c r="AO17" s="1">
        <v>39693.637434739976</v>
      </c>
      <c r="AP17" s="1">
        <v>0</v>
      </c>
      <c r="AQ17" s="1">
        <v>84.732745862112836</v>
      </c>
      <c r="AR17" s="1">
        <v>10.612231653201407</v>
      </c>
      <c r="AS17" s="1">
        <f>171059.814234063+119.25</f>
        <v>171179.064234063</v>
      </c>
      <c r="AT17" s="1">
        <f t="shared" si="1"/>
        <v>210968.04664631828</v>
      </c>
      <c r="AU17" s="15">
        <f t="shared" si="2"/>
        <v>217544.99243793124</v>
      </c>
      <c r="AV17">
        <v>0</v>
      </c>
      <c r="AW17">
        <v>0</v>
      </c>
      <c r="AX17" s="2">
        <v>217544.9936215051</v>
      </c>
      <c r="AY17" s="15">
        <f t="shared" si="3"/>
        <v>217544.9936215051</v>
      </c>
    </row>
    <row r="18" spans="1:51" x14ac:dyDescent="0.25">
      <c r="A18" s="14">
        <v>15</v>
      </c>
      <c r="B18" t="s">
        <v>14</v>
      </c>
      <c r="C18" s="1">
        <v>0</v>
      </c>
      <c r="D18" s="1">
        <v>814.3014065815272</v>
      </c>
      <c r="E18" s="1">
        <v>0</v>
      </c>
      <c r="F18" s="1">
        <v>5294.5619310312777</v>
      </c>
      <c r="G18" s="1">
        <v>133.10013377575513</v>
      </c>
      <c r="H18" s="1">
        <v>0</v>
      </c>
      <c r="I18" s="1">
        <v>0</v>
      </c>
      <c r="J18" s="1">
        <v>554.22541439724375</v>
      </c>
      <c r="K18" s="1">
        <v>0</v>
      </c>
      <c r="L18" s="1">
        <v>0</v>
      </c>
      <c r="M18" s="1">
        <v>913.1905217896383</v>
      </c>
      <c r="N18" s="1">
        <v>74.295268358832701</v>
      </c>
      <c r="O18" s="1">
        <v>20097.765782303049</v>
      </c>
      <c r="P18" s="1">
        <v>873.35350893679163</v>
      </c>
      <c r="Q18" s="1">
        <v>800652.25001379231</v>
      </c>
      <c r="R18" s="1">
        <v>1873.0715659710415</v>
      </c>
      <c r="S18" s="1">
        <v>13054.430663218627</v>
      </c>
      <c r="T18" s="1">
        <v>458.14816411407389</v>
      </c>
      <c r="U18" s="1">
        <v>0</v>
      </c>
      <c r="V18" s="1">
        <v>11530.438857374627</v>
      </c>
      <c r="W18" s="1">
        <v>2444.4786183595588</v>
      </c>
      <c r="X18" s="1">
        <v>70.495014360496654</v>
      </c>
      <c r="Y18" s="1">
        <v>3809636.2077831002</v>
      </c>
      <c r="Z18" s="1">
        <v>250327.55032361308</v>
      </c>
      <c r="AA18" s="1">
        <v>965.38199121339198</v>
      </c>
      <c r="AB18" s="1">
        <v>463.10815910470143</v>
      </c>
      <c r="AC18" s="1">
        <v>768.20004995029956</v>
      </c>
      <c r="AD18" s="1">
        <v>208.82398812893007</v>
      </c>
      <c r="AE18" s="1">
        <v>834.56624744748422</v>
      </c>
      <c r="AF18" s="1">
        <v>879.83084004321108</v>
      </c>
      <c r="AG18" s="1">
        <v>621.1559795112903</v>
      </c>
      <c r="AH18" s="1">
        <v>235.42431767983939</v>
      </c>
      <c r="AI18" s="1">
        <v>0</v>
      </c>
      <c r="AJ18" s="1">
        <v>2280.8697857807028</v>
      </c>
      <c r="AK18" s="1">
        <v>1057.6095880636071</v>
      </c>
      <c r="AL18" s="1">
        <v>3448.1481088369919</v>
      </c>
      <c r="AM18" s="1">
        <v>0</v>
      </c>
      <c r="AN18" s="15">
        <f t="shared" si="0"/>
        <v>4930564.984026839</v>
      </c>
      <c r="AO18" s="1">
        <v>441560.43356852134</v>
      </c>
      <c r="AP18" s="1">
        <v>0</v>
      </c>
      <c r="AQ18" s="1">
        <v>928506.43473301153</v>
      </c>
      <c r="AR18" s="1">
        <v>55343.210660018973</v>
      </c>
      <c r="AS18" s="1">
        <f>12957200.6429502+171078.51</f>
        <v>13128279.152950199</v>
      </c>
      <c r="AT18" s="1">
        <f t="shared" si="1"/>
        <v>14553689.231911751</v>
      </c>
      <c r="AU18" s="15">
        <f t="shared" si="2"/>
        <v>19484254.21593859</v>
      </c>
      <c r="AV18">
        <v>0</v>
      </c>
      <c r="AW18">
        <v>0</v>
      </c>
      <c r="AX18" s="2">
        <v>19484254.217807718</v>
      </c>
      <c r="AY18" s="15">
        <f t="shared" si="3"/>
        <v>19484254.217807718</v>
      </c>
    </row>
    <row r="19" spans="1:51" x14ac:dyDescent="0.25">
      <c r="A19" s="14">
        <v>16</v>
      </c>
      <c r="B19" t="s">
        <v>15</v>
      </c>
      <c r="C19" s="1">
        <v>0</v>
      </c>
      <c r="D19" s="1">
        <v>678.09550633000504</v>
      </c>
      <c r="E19" s="1">
        <v>10302.258352711422</v>
      </c>
      <c r="F19" s="1">
        <v>533.34375895977917</v>
      </c>
      <c r="G19" s="1">
        <v>671.42382897053369</v>
      </c>
      <c r="H19" s="1">
        <v>6277.4598850256316</v>
      </c>
      <c r="I19" s="1">
        <v>2884.8540367118871</v>
      </c>
      <c r="J19" s="1">
        <v>514.42825309120656</v>
      </c>
      <c r="K19" s="1">
        <v>1150.2388203722505</v>
      </c>
      <c r="L19" s="1">
        <v>38594.469522606581</v>
      </c>
      <c r="M19" s="1">
        <v>4729.8511299619577</v>
      </c>
      <c r="N19" s="1">
        <v>109173.34981949815</v>
      </c>
      <c r="O19" s="1">
        <v>129412.09220968765</v>
      </c>
      <c r="P19" s="1">
        <v>1331.2021359434561</v>
      </c>
      <c r="Q19" s="1">
        <v>12813.219023510892</v>
      </c>
      <c r="R19" s="1">
        <v>1307079.3078185893</v>
      </c>
      <c r="S19" s="1">
        <v>89890.30987606656</v>
      </c>
      <c r="T19" s="1">
        <v>7838.0770239729118</v>
      </c>
      <c r="U19" s="1">
        <v>0</v>
      </c>
      <c r="V19" s="1">
        <v>7938.2032199231335</v>
      </c>
      <c r="W19" s="1">
        <v>2154.4718696896853</v>
      </c>
      <c r="X19" s="1">
        <v>712.30336934988713</v>
      </c>
      <c r="Y19" s="1">
        <v>91140.531116928702</v>
      </c>
      <c r="Z19" s="1">
        <v>926628.73161741765</v>
      </c>
      <c r="AA19" s="1">
        <v>9038.1407680189168</v>
      </c>
      <c r="AB19" s="1">
        <v>7260.1311362033211</v>
      </c>
      <c r="AC19" s="1">
        <v>6245.6481714607235</v>
      </c>
      <c r="AD19" s="1">
        <v>27190.423858941002</v>
      </c>
      <c r="AE19" s="1">
        <v>1407.9232281082454</v>
      </c>
      <c r="AF19" s="1">
        <v>36916.047643392776</v>
      </c>
      <c r="AG19" s="1">
        <v>69833.324134807888</v>
      </c>
      <c r="AH19" s="1">
        <v>29312.847856910819</v>
      </c>
      <c r="AI19" s="1">
        <v>0</v>
      </c>
      <c r="AJ19" s="1">
        <v>33846.246928436369</v>
      </c>
      <c r="AK19" s="1">
        <v>2469.1727135883852</v>
      </c>
      <c r="AL19" s="1">
        <v>12170.962033788603</v>
      </c>
      <c r="AM19" s="1">
        <v>0</v>
      </c>
      <c r="AN19" s="15">
        <f t="shared" si="0"/>
        <v>2988139.0906689763</v>
      </c>
      <c r="AO19" s="1">
        <v>1311618.627436612</v>
      </c>
      <c r="AP19" s="1">
        <v>0</v>
      </c>
      <c r="AQ19" s="1">
        <v>0</v>
      </c>
      <c r="AR19" s="1">
        <v>83181.553011414187</v>
      </c>
      <c r="AS19" s="1">
        <f>1384570.92072248+798853.3</f>
        <v>2183424.2207224797</v>
      </c>
      <c r="AT19" s="1">
        <f t="shared" si="1"/>
        <v>3578224.4011705061</v>
      </c>
      <c r="AU19" s="15">
        <f t="shared" si="2"/>
        <v>6566363.4918394824</v>
      </c>
      <c r="AV19">
        <v>0</v>
      </c>
      <c r="AW19">
        <v>0</v>
      </c>
      <c r="AX19" s="2">
        <v>6566363.4964001644</v>
      </c>
      <c r="AY19" s="15">
        <f t="shared" si="3"/>
        <v>6566363.4964001644</v>
      </c>
    </row>
    <row r="20" spans="1:51" x14ac:dyDescent="0.25">
      <c r="A20" s="14">
        <v>17</v>
      </c>
      <c r="B20" t="s">
        <v>16</v>
      </c>
      <c r="C20" s="1">
        <v>29546.561513730645</v>
      </c>
      <c r="D20" s="1">
        <v>27516.723797203464</v>
      </c>
      <c r="E20" s="1">
        <v>155768.83332272538</v>
      </c>
      <c r="F20" s="1">
        <v>25054.593757574166</v>
      </c>
      <c r="G20" s="1">
        <v>5844.0145513497027</v>
      </c>
      <c r="H20" s="1">
        <v>1754.980019911668</v>
      </c>
      <c r="I20" s="1">
        <v>201.57557191286676</v>
      </c>
      <c r="J20" s="1">
        <v>7723.5656819047354</v>
      </c>
      <c r="K20" s="1">
        <v>352567.78558272071</v>
      </c>
      <c r="L20" s="1">
        <v>302098.49013417814</v>
      </c>
      <c r="M20" s="1">
        <v>68320.28607225779</v>
      </c>
      <c r="N20" s="1">
        <v>3990.6117427300605</v>
      </c>
      <c r="O20" s="1">
        <v>61679.970948179987</v>
      </c>
      <c r="P20" s="1">
        <v>2481.0114533139472</v>
      </c>
      <c r="Q20" s="1">
        <v>140157.40584426373</v>
      </c>
      <c r="R20" s="1">
        <v>46922.799441377661</v>
      </c>
      <c r="S20" s="1">
        <v>779537.20505330502</v>
      </c>
      <c r="T20" s="1">
        <v>15321.166101272946</v>
      </c>
      <c r="U20" s="1">
        <v>0</v>
      </c>
      <c r="V20" s="1">
        <v>19111.609630404735</v>
      </c>
      <c r="W20" s="1">
        <v>837.1449620666192</v>
      </c>
      <c r="X20" s="1">
        <v>2246.8439078053602</v>
      </c>
      <c r="Y20" s="1">
        <v>310290.47636988852</v>
      </c>
      <c r="Z20" s="1">
        <v>110050.01828838732</v>
      </c>
      <c r="AA20" s="1">
        <v>2536.9181283793387</v>
      </c>
      <c r="AB20" s="1">
        <v>19856.898684137115</v>
      </c>
      <c r="AC20" s="1">
        <v>6045.6175928291723</v>
      </c>
      <c r="AD20" s="1">
        <v>17355.877636611633</v>
      </c>
      <c r="AE20" s="1">
        <v>15107.376147420073</v>
      </c>
      <c r="AF20" s="1">
        <v>4144.8407920097552</v>
      </c>
      <c r="AG20" s="1">
        <v>1200.7026747001487</v>
      </c>
      <c r="AH20" s="1">
        <v>8347.5618377490537</v>
      </c>
      <c r="AI20" s="1">
        <v>0</v>
      </c>
      <c r="AJ20" s="1">
        <v>19568.052662033602</v>
      </c>
      <c r="AK20" s="1">
        <v>1213.5890100957088</v>
      </c>
      <c r="AL20" s="1">
        <v>44681.670284757456</v>
      </c>
      <c r="AM20" s="1">
        <v>0</v>
      </c>
      <c r="AN20" s="15">
        <f t="shared" si="0"/>
        <v>2609082.7791991872</v>
      </c>
      <c r="AO20" s="1">
        <v>316569.76314080093</v>
      </c>
      <c r="AP20" s="1">
        <v>0</v>
      </c>
      <c r="AQ20" s="1">
        <v>0</v>
      </c>
      <c r="AR20" s="1">
        <v>88845.957297662811</v>
      </c>
      <c r="AS20" s="1">
        <f>17006936.5924132+40372.6</f>
        <v>17047309.1924132</v>
      </c>
      <c r="AT20" s="1">
        <f t="shared" si="1"/>
        <v>17452724.912851665</v>
      </c>
      <c r="AU20" s="15">
        <f t="shared" si="2"/>
        <v>20061807.692050852</v>
      </c>
      <c r="AV20">
        <v>0</v>
      </c>
      <c r="AW20">
        <v>0</v>
      </c>
      <c r="AX20" s="2">
        <v>20061807.691170666</v>
      </c>
      <c r="AY20" s="15">
        <f t="shared" si="3"/>
        <v>20061807.691170666</v>
      </c>
    </row>
    <row r="21" spans="1:51" x14ac:dyDescent="0.25">
      <c r="A21" s="14">
        <v>18</v>
      </c>
      <c r="B21" t="s">
        <v>17</v>
      </c>
      <c r="C21" s="1">
        <v>0</v>
      </c>
      <c r="D21" s="1">
        <v>0.21659147271413051</v>
      </c>
      <c r="E21" s="1">
        <v>31.111909790879579</v>
      </c>
      <c r="F21" s="1">
        <v>3.1874634267394555</v>
      </c>
      <c r="G21" s="1">
        <v>1.1887878134115428</v>
      </c>
      <c r="H21" s="1">
        <v>8.9447953209430668</v>
      </c>
      <c r="I21" s="1">
        <v>0.43624740586526545</v>
      </c>
      <c r="J21" s="1">
        <v>3.8274265161798926</v>
      </c>
      <c r="K21" s="1">
        <v>0</v>
      </c>
      <c r="L21" s="1">
        <v>0</v>
      </c>
      <c r="M21" s="1">
        <v>0</v>
      </c>
      <c r="N21" s="1">
        <v>2.8050070313582953</v>
      </c>
      <c r="O21" s="1">
        <v>1712.9730379205487</v>
      </c>
      <c r="P21" s="1">
        <v>356.83471862131944</v>
      </c>
      <c r="Q21" s="1">
        <v>1012.198461923545</v>
      </c>
      <c r="R21" s="1">
        <v>36.730006432627768</v>
      </c>
      <c r="S21" s="1">
        <v>357.86301219491503</v>
      </c>
      <c r="T21" s="1">
        <v>1561.2458362440484</v>
      </c>
      <c r="U21" s="1">
        <v>0</v>
      </c>
      <c r="V21" s="1">
        <v>940.51906591274815</v>
      </c>
      <c r="W21" s="1">
        <v>40.679528032254304</v>
      </c>
      <c r="X21" s="1">
        <v>0.27638343761917639</v>
      </c>
      <c r="Y21" s="1">
        <v>215579.98368521125</v>
      </c>
      <c r="Z21" s="1">
        <v>717.35195648442618</v>
      </c>
      <c r="AA21" s="1">
        <v>103.00863055321155</v>
      </c>
      <c r="AB21" s="1">
        <v>162.0048402054054</v>
      </c>
      <c r="AC21" s="1">
        <v>151.24775645089545</v>
      </c>
      <c r="AD21" s="1">
        <v>94.205348760480263</v>
      </c>
      <c r="AE21" s="1">
        <v>17.105397034597196</v>
      </c>
      <c r="AF21" s="1">
        <v>18.778038117528656</v>
      </c>
      <c r="AG21" s="1">
        <v>81.727048897221408</v>
      </c>
      <c r="AH21" s="1">
        <v>452.58925150170052</v>
      </c>
      <c r="AI21" s="1">
        <v>11335.870144771188</v>
      </c>
      <c r="AJ21" s="1">
        <v>116.61342068602488</v>
      </c>
      <c r="AK21" s="1">
        <v>46.219880602377621</v>
      </c>
      <c r="AL21" s="1">
        <v>3956.4955726860708</v>
      </c>
      <c r="AM21" s="1">
        <v>0</v>
      </c>
      <c r="AN21" s="15">
        <f t="shared" si="0"/>
        <v>238904.23925146007</v>
      </c>
      <c r="AO21" s="1">
        <v>11162.291392156314</v>
      </c>
      <c r="AP21" s="1">
        <v>0</v>
      </c>
      <c r="AQ21" s="1">
        <v>625.2123066351038</v>
      </c>
      <c r="AR21" s="1">
        <v>353.85314280922012</v>
      </c>
      <c r="AS21" s="1">
        <f>719024.39401872+506.02</f>
        <v>719530.41401872004</v>
      </c>
      <c r="AT21" s="1">
        <f t="shared" si="1"/>
        <v>731671.77086032066</v>
      </c>
      <c r="AU21" s="15">
        <f t="shared" si="2"/>
        <v>970576.01011178072</v>
      </c>
      <c r="AV21">
        <v>0</v>
      </c>
      <c r="AW21">
        <v>0</v>
      </c>
      <c r="AX21" s="2">
        <v>970576.01339482609</v>
      </c>
      <c r="AY21" s="15">
        <f t="shared" si="3"/>
        <v>970576.01339482609</v>
      </c>
    </row>
    <row r="22" spans="1:51" x14ac:dyDescent="0.25">
      <c r="A22" s="14">
        <v>19</v>
      </c>
      <c r="B22" t="s">
        <v>18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5">
        <f t="shared" si="0"/>
        <v>0</v>
      </c>
      <c r="AO22" s="2">
        <v>0</v>
      </c>
      <c r="AP22" s="2">
        <v>0</v>
      </c>
      <c r="AQ22" s="2">
        <v>0</v>
      </c>
      <c r="AR22" s="2">
        <v>-1.8596009124242381E-9</v>
      </c>
      <c r="AS22" s="2">
        <v>0</v>
      </c>
      <c r="AT22" s="2">
        <f t="shared" si="1"/>
        <v>-1.8596009124242381E-9</v>
      </c>
      <c r="AU22" s="16">
        <f t="shared" si="2"/>
        <v>-1.8596009124242381E-9</v>
      </c>
      <c r="AV22">
        <v>0</v>
      </c>
      <c r="AW22">
        <v>0</v>
      </c>
      <c r="AX22" s="2">
        <v>0</v>
      </c>
      <c r="AY22" s="15">
        <f t="shared" si="3"/>
        <v>0</v>
      </c>
    </row>
    <row r="23" spans="1:51" x14ac:dyDescent="0.25">
      <c r="A23" s="14">
        <v>20</v>
      </c>
      <c r="B23" t="s">
        <v>19</v>
      </c>
      <c r="C23" s="1">
        <v>11.413904698762487</v>
      </c>
      <c r="D23" s="1">
        <v>3.7729920221292965</v>
      </c>
      <c r="E23" s="1">
        <v>111.43146897055961</v>
      </c>
      <c r="F23" s="1">
        <v>3.6802456079295185</v>
      </c>
      <c r="G23" s="1">
        <v>6.3026611274753341E-2</v>
      </c>
      <c r="H23" s="1">
        <v>595.48208396606844</v>
      </c>
      <c r="I23" s="1">
        <v>1.1291788602669126</v>
      </c>
      <c r="J23" s="1">
        <v>415.50060335454447</v>
      </c>
      <c r="K23" s="1">
        <v>2574.3512020010216</v>
      </c>
      <c r="L23" s="1">
        <v>12263.817319578857</v>
      </c>
      <c r="M23" s="1">
        <v>4243.2666401191364</v>
      </c>
      <c r="N23" s="1">
        <v>2287.5212081868299</v>
      </c>
      <c r="O23" s="1">
        <v>261.02506510905022</v>
      </c>
      <c r="P23" s="1">
        <v>8.6862495138042259</v>
      </c>
      <c r="Q23" s="1">
        <v>135.11916397595198</v>
      </c>
      <c r="R23" s="1">
        <v>21.670310955242833</v>
      </c>
      <c r="S23" s="1">
        <v>278.01682125203928</v>
      </c>
      <c r="T23" s="1">
        <v>27.659048266538822</v>
      </c>
      <c r="U23" s="1">
        <v>0</v>
      </c>
      <c r="V23" s="1">
        <v>1358.1263241960637</v>
      </c>
      <c r="W23" s="1">
        <v>46.342725518411335</v>
      </c>
      <c r="X23" s="1">
        <v>77.276383363925717</v>
      </c>
      <c r="Y23" s="1">
        <v>5433.1130108389289</v>
      </c>
      <c r="Z23" s="1">
        <v>956.34429806406661</v>
      </c>
      <c r="AA23" s="1">
        <v>44.191482116674734</v>
      </c>
      <c r="AB23" s="1">
        <v>1395.3746538936282</v>
      </c>
      <c r="AC23" s="1">
        <v>2262.4461873295818</v>
      </c>
      <c r="AD23" s="1">
        <v>1924.4697362440602</v>
      </c>
      <c r="AE23" s="1">
        <v>492.0703378851689</v>
      </c>
      <c r="AF23" s="1">
        <v>185.15984121970374</v>
      </c>
      <c r="AG23" s="1">
        <v>428.7913689860091</v>
      </c>
      <c r="AH23" s="1">
        <v>523.12008565753831</v>
      </c>
      <c r="AI23" s="1">
        <v>72006.102069999644</v>
      </c>
      <c r="AJ23" s="1">
        <v>22.383290848413349</v>
      </c>
      <c r="AK23" s="1">
        <v>5.7597498154063649</v>
      </c>
      <c r="AL23" s="1">
        <v>2840.0405243703699</v>
      </c>
      <c r="AM23" s="1">
        <v>0</v>
      </c>
      <c r="AN23" s="15">
        <f t="shared" si="0"/>
        <v>113244.71860339762</v>
      </c>
      <c r="AO23" s="2">
        <v>6101.2309251759916</v>
      </c>
      <c r="AP23" s="2">
        <v>0</v>
      </c>
      <c r="AQ23" s="2">
        <v>986065.92355645576</v>
      </c>
      <c r="AR23" s="2">
        <v>19.488541262252724</v>
      </c>
      <c r="AS23" s="2">
        <f>1049794.41982211+704.32</f>
        <v>1050498.7398221102</v>
      </c>
      <c r="AT23" s="2">
        <f t="shared" si="1"/>
        <v>2042685.3828450041</v>
      </c>
      <c r="AU23" s="16">
        <f t="shared" si="2"/>
        <v>2155930.1014484018</v>
      </c>
      <c r="AV23">
        <v>0</v>
      </c>
      <c r="AW23">
        <v>0</v>
      </c>
      <c r="AX23" s="2">
        <v>2155930.1050205608</v>
      </c>
      <c r="AY23" s="15">
        <f t="shared" si="3"/>
        <v>2155930.1050205608</v>
      </c>
    </row>
    <row r="24" spans="1:51" x14ac:dyDescent="0.25">
      <c r="A24" s="14">
        <v>21</v>
      </c>
      <c r="B24" t="s">
        <v>20</v>
      </c>
      <c r="C24" s="1">
        <v>0</v>
      </c>
      <c r="D24" s="1">
        <v>50.231293147264012</v>
      </c>
      <c r="E24" s="1">
        <v>234.11675070445133</v>
      </c>
      <c r="F24" s="1">
        <v>240.68254779664892</v>
      </c>
      <c r="G24" s="1">
        <v>8.5600355317814252</v>
      </c>
      <c r="H24" s="1">
        <v>906.95638303673252</v>
      </c>
      <c r="I24" s="1">
        <v>1019.4848801380068</v>
      </c>
      <c r="J24" s="1">
        <v>386.43870925652789</v>
      </c>
      <c r="K24" s="1">
        <v>32.220330051116278</v>
      </c>
      <c r="L24" s="1">
        <v>1304.6879838942527</v>
      </c>
      <c r="M24" s="1">
        <v>104.25821407601536</v>
      </c>
      <c r="N24" s="1">
        <v>281.52502044872153</v>
      </c>
      <c r="O24" s="1">
        <v>1635.6126236996288</v>
      </c>
      <c r="P24" s="1">
        <v>344.48350981989779</v>
      </c>
      <c r="Q24" s="1">
        <v>1160.2790269583884</v>
      </c>
      <c r="R24" s="1">
        <v>165.15694056147089</v>
      </c>
      <c r="S24" s="1">
        <v>333.44884439838489</v>
      </c>
      <c r="T24" s="1">
        <v>95.19204909489028</v>
      </c>
      <c r="U24" s="1">
        <v>0</v>
      </c>
      <c r="V24" s="1">
        <v>27584.252604125326</v>
      </c>
      <c r="W24" s="1">
        <v>2155.8594316367148</v>
      </c>
      <c r="X24" s="1">
        <v>19.677111866409643</v>
      </c>
      <c r="Y24" s="1">
        <v>5931.292596166908</v>
      </c>
      <c r="Z24" s="1">
        <v>14888.680723847674</v>
      </c>
      <c r="AA24" s="1">
        <v>258.34909995029136</v>
      </c>
      <c r="AB24" s="1">
        <v>1000.788643250109</v>
      </c>
      <c r="AC24" s="1">
        <v>1022.0596249459185</v>
      </c>
      <c r="AD24" s="1">
        <v>606.00250318807321</v>
      </c>
      <c r="AE24" s="1">
        <v>83.490789278135097</v>
      </c>
      <c r="AF24" s="1">
        <v>524.2063210950397</v>
      </c>
      <c r="AG24" s="1">
        <v>3080.7494796267943</v>
      </c>
      <c r="AH24" s="1">
        <v>2763.7007539190618</v>
      </c>
      <c r="AI24" s="1">
        <v>0</v>
      </c>
      <c r="AJ24" s="1">
        <v>1873.8915629899461</v>
      </c>
      <c r="AK24" s="1">
        <v>978.36035642840136</v>
      </c>
      <c r="AL24" s="1">
        <v>12250.976692807972</v>
      </c>
      <c r="AM24" s="1">
        <v>0</v>
      </c>
      <c r="AN24" s="15">
        <f t="shared" si="0"/>
        <v>83325.673437736958</v>
      </c>
      <c r="AO24" s="2">
        <v>214053.68489593736</v>
      </c>
      <c r="AP24" s="2">
        <v>0</v>
      </c>
      <c r="AQ24" s="2">
        <v>8297.8930085181237</v>
      </c>
      <c r="AR24" s="2">
        <v>933.68540036665991</v>
      </c>
      <c r="AS24" s="2">
        <f>54595.8018303568+19500.91</f>
        <v>74096.711830356799</v>
      </c>
      <c r="AT24" s="2">
        <f t="shared" si="1"/>
        <v>297381.97513517895</v>
      </c>
      <c r="AU24" s="16">
        <f t="shared" si="2"/>
        <v>380707.64857291593</v>
      </c>
      <c r="AV24">
        <v>0</v>
      </c>
      <c r="AW24">
        <v>0</v>
      </c>
      <c r="AX24" s="2">
        <v>380707.65189762018</v>
      </c>
      <c r="AY24" s="15">
        <f t="shared" si="3"/>
        <v>380707.65189762018</v>
      </c>
    </row>
    <row r="25" spans="1:51" x14ac:dyDescent="0.25">
      <c r="A25" s="14">
        <v>22</v>
      </c>
      <c r="B25" t="s">
        <v>21</v>
      </c>
      <c r="C25" s="1">
        <v>0</v>
      </c>
      <c r="D25" s="1">
        <v>259.52921878685999</v>
      </c>
      <c r="E25" s="1">
        <v>1635.16552305084</v>
      </c>
      <c r="F25" s="1">
        <v>1698.8679705178383</v>
      </c>
      <c r="G25" s="1">
        <v>695.10035988097775</v>
      </c>
      <c r="H25" s="1">
        <v>4832.9096739905344</v>
      </c>
      <c r="I25" s="1">
        <v>1062.428174999478</v>
      </c>
      <c r="J25" s="1">
        <v>584.41302356226061</v>
      </c>
      <c r="K25" s="1">
        <v>168.97214218514662</v>
      </c>
      <c r="L25" s="1">
        <v>100315.32964119513</v>
      </c>
      <c r="M25" s="1">
        <v>2571.4691734453208</v>
      </c>
      <c r="N25" s="1">
        <v>0</v>
      </c>
      <c r="O25" s="1">
        <v>41254.972852197156</v>
      </c>
      <c r="P25" s="1">
        <v>5153.7869054937109</v>
      </c>
      <c r="Q25" s="1">
        <v>32923.63883759061</v>
      </c>
      <c r="R25" s="1">
        <v>4081.2098489070013</v>
      </c>
      <c r="S25" s="1">
        <v>20553.672183555318</v>
      </c>
      <c r="T25" s="1">
        <v>13149.996987171093</v>
      </c>
      <c r="U25" s="1">
        <v>0</v>
      </c>
      <c r="V25" s="1">
        <v>5414.6840672003309</v>
      </c>
      <c r="W25" s="1">
        <v>1624.5079521106532</v>
      </c>
      <c r="X25" s="1">
        <v>10491.394243134011</v>
      </c>
      <c r="Y25" s="1">
        <v>8525.2875429700798</v>
      </c>
      <c r="Z25" s="1">
        <v>25363.104424916499</v>
      </c>
      <c r="AA25" s="1">
        <v>20090.759105439138</v>
      </c>
      <c r="AB25" s="1">
        <v>8172.6642838574844</v>
      </c>
      <c r="AC25" s="1">
        <v>7672.6612658075774</v>
      </c>
      <c r="AD25" s="1">
        <v>1027.4631778203081</v>
      </c>
      <c r="AE25" s="1">
        <v>12158.0774181862</v>
      </c>
      <c r="AF25" s="1">
        <v>43752.725967081249</v>
      </c>
      <c r="AG25" s="1">
        <v>32406.633457590768</v>
      </c>
      <c r="AH25" s="1">
        <v>17664.347905229668</v>
      </c>
      <c r="AI25" s="1">
        <v>9150.2682516227796</v>
      </c>
      <c r="AJ25" s="1">
        <v>10599.289971876889</v>
      </c>
      <c r="AK25" s="1">
        <v>3510.8393167275735</v>
      </c>
      <c r="AL25" s="1">
        <v>2344</v>
      </c>
      <c r="AM25" s="1">
        <v>0</v>
      </c>
      <c r="AN25" s="15">
        <f t="shared" si="0"/>
        <v>450910.17086810054</v>
      </c>
      <c r="AO25" s="2">
        <f>123986.596996783+61374.55-0.2</f>
        <v>185360.94699678299</v>
      </c>
      <c r="AP25" s="2">
        <v>0</v>
      </c>
      <c r="AQ25" s="2">
        <v>0</v>
      </c>
      <c r="AR25" s="2">
        <v>0</v>
      </c>
      <c r="AS25" s="2">
        <v>0</v>
      </c>
      <c r="AT25" s="1">
        <f t="shared" si="1"/>
        <v>185360.94699678299</v>
      </c>
      <c r="AU25" s="15">
        <f t="shared" si="2"/>
        <v>636271.1178648835</v>
      </c>
      <c r="AV25">
        <v>0</v>
      </c>
      <c r="AW25">
        <v>0</v>
      </c>
      <c r="AX25" s="2">
        <v>636271.11446049891</v>
      </c>
      <c r="AY25" s="15">
        <f t="shared" si="3"/>
        <v>636271.11446049891</v>
      </c>
    </row>
    <row r="26" spans="1:51" x14ac:dyDescent="0.25">
      <c r="A26" s="14">
        <v>23</v>
      </c>
      <c r="B26" t="s">
        <v>22</v>
      </c>
      <c r="C26" s="1">
        <v>11778.551030733594</v>
      </c>
      <c r="D26" s="1">
        <v>7498.208355756904</v>
      </c>
      <c r="E26" s="1">
        <v>411441.01945800887</v>
      </c>
      <c r="F26" s="1">
        <v>64150.664178126972</v>
      </c>
      <c r="G26" s="1">
        <v>1398.8050224679041</v>
      </c>
      <c r="H26" s="1">
        <v>338532.37722056377</v>
      </c>
      <c r="I26" s="1">
        <v>39725.388413752145</v>
      </c>
      <c r="J26" s="1">
        <v>13992.158157278744</v>
      </c>
      <c r="K26" s="1">
        <v>8660.6409268705393</v>
      </c>
      <c r="L26" s="1">
        <v>1098659.1227950414</v>
      </c>
      <c r="M26" s="1">
        <v>200829.76850006197</v>
      </c>
      <c r="N26" s="1">
        <v>82698.200152581674</v>
      </c>
      <c r="O26" s="1">
        <v>10186.760523940018</v>
      </c>
      <c r="P26" s="1">
        <v>950.30275839751823</v>
      </c>
      <c r="Q26" s="1">
        <v>46758.637309901096</v>
      </c>
      <c r="R26" s="1">
        <v>1810.9138191424822</v>
      </c>
      <c r="S26" s="1">
        <v>8624.9148246848054</v>
      </c>
      <c r="T26" s="1">
        <v>59598.212273168079</v>
      </c>
      <c r="U26" s="1">
        <v>0</v>
      </c>
      <c r="V26" s="1">
        <v>3723.6535732261177</v>
      </c>
      <c r="W26" s="1">
        <v>45.779463940134562</v>
      </c>
      <c r="X26" s="1">
        <v>4262.4508227458218</v>
      </c>
      <c r="Y26" s="1">
        <v>38897.186002630646</v>
      </c>
      <c r="Z26" s="1">
        <v>204985.61642481826</v>
      </c>
      <c r="AA26" s="1">
        <v>15913.074430250401</v>
      </c>
      <c r="AB26" s="1">
        <v>1428.2938730619742</v>
      </c>
      <c r="AC26" s="1">
        <v>27099.23472783107</v>
      </c>
      <c r="AD26" s="1">
        <v>854.52591108685192</v>
      </c>
      <c r="AE26" s="1">
        <v>278350.37154045433</v>
      </c>
      <c r="AF26" s="1">
        <v>150953.20046980813</v>
      </c>
      <c r="AG26" s="1">
        <v>75503.611295026727</v>
      </c>
      <c r="AH26" s="1">
        <v>144483.58601844063</v>
      </c>
      <c r="AI26" s="1">
        <v>116102.36467264437</v>
      </c>
      <c r="AJ26" s="1">
        <v>13666.755119272098</v>
      </c>
      <c r="AK26" s="1">
        <v>1310.4489838749148</v>
      </c>
      <c r="AL26" s="1">
        <v>18046.20398612825</v>
      </c>
      <c r="AM26" s="1">
        <v>0</v>
      </c>
      <c r="AN26" s="15">
        <f t="shared" si="0"/>
        <v>3502921.0030357195</v>
      </c>
      <c r="AO26" s="2">
        <v>0</v>
      </c>
      <c r="AP26" s="2">
        <v>0</v>
      </c>
      <c r="AQ26" s="2">
        <f>80222674.6786774+5460.96</f>
        <v>80228135.638677388</v>
      </c>
      <c r="AR26" s="2">
        <v>0</v>
      </c>
      <c r="AS26" s="2">
        <v>0</v>
      </c>
      <c r="AT26" s="1">
        <f t="shared" si="1"/>
        <v>80228135.638677388</v>
      </c>
      <c r="AU26" s="15">
        <f t="shared" si="2"/>
        <v>83731056.641713113</v>
      </c>
      <c r="AV26">
        <v>0</v>
      </c>
      <c r="AW26">
        <v>0</v>
      </c>
      <c r="AX26" s="2">
        <v>83731056.645523667</v>
      </c>
      <c r="AY26" s="15">
        <f t="shared" si="3"/>
        <v>83731056.645523667</v>
      </c>
    </row>
    <row r="27" spans="1:51" x14ac:dyDescent="0.25">
      <c r="A27" s="14">
        <v>24</v>
      </c>
      <c r="B27" t="s">
        <v>23</v>
      </c>
      <c r="C27" s="1">
        <v>14181.435092680231</v>
      </c>
      <c r="D27" s="1">
        <v>35348.554094938736</v>
      </c>
      <c r="E27" s="1">
        <v>104535.28311224695</v>
      </c>
      <c r="F27" s="1">
        <v>33041.773233684835</v>
      </c>
      <c r="G27" s="1">
        <v>75378.82314545376</v>
      </c>
      <c r="H27" s="1">
        <v>87560.621608693487</v>
      </c>
      <c r="I27" s="1">
        <v>3146.3622514594163</v>
      </c>
      <c r="J27" s="1">
        <v>154687.69776674776</v>
      </c>
      <c r="K27" s="1">
        <v>370220.97126137145</v>
      </c>
      <c r="L27" s="1">
        <v>1961414.694555145</v>
      </c>
      <c r="M27" s="1">
        <v>189246.96496334518</v>
      </c>
      <c r="N27" s="1">
        <v>441925.85489054414</v>
      </c>
      <c r="O27" s="1">
        <v>1918976.9743624046</v>
      </c>
      <c r="P27" s="1">
        <v>11234.9380329949</v>
      </c>
      <c r="Q27" s="1">
        <v>1630593.7680654156</v>
      </c>
      <c r="R27" s="1">
        <v>408313.78147112869</v>
      </c>
      <c r="S27" s="1">
        <v>610474.50476805086</v>
      </c>
      <c r="T27" s="1">
        <v>39755.780824058413</v>
      </c>
      <c r="U27" s="1">
        <v>0</v>
      </c>
      <c r="V27" s="1">
        <v>145622.97070940561</v>
      </c>
      <c r="W27" s="1">
        <v>24323.801856844417</v>
      </c>
      <c r="X27" s="1">
        <v>24181.194742858657</v>
      </c>
      <c r="Y27" s="1">
        <v>5860047.0311362837</v>
      </c>
      <c r="Z27" s="1">
        <v>663298.64212887373</v>
      </c>
      <c r="AA27" s="1">
        <v>328824.18368826876</v>
      </c>
      <c r="AB27" s="1">
        <v>155336.78246959019</v>
      </c>
      <c r="AC27" s="1">
        <v>745593.09195153741</v>
      </c>
      <c r="AD27" s="1">
        <v>236607.2918090912</v>
      </c>
      <c r="AE27" s="1">
        <v>101251.0760677979</v>
      </c>
      <c r="AF27" s="1">
        <v>44664.919557361893</v>
      </c>
      <c r="AG27" s="1">
        <v>13682.067301482533</v>
      </c>
      <c r="AH27" s="1">
        <v>107093.10920408118</v>
      </c>
      <c r="AI27" s="1">
        <v>19487.469049869713</v>
      </c>
      <c r="AJ27" s="1">
        <v>87056.089243952752</v>
      </c>
      <c r="AK27" s="1">
        <v>18412.393093994066</v>
      </c>
      <c r="AL27" s="1">
        <v>129862.06813922436</v>
      </c>
      <c r="AM27" s="1">
        <v>0</v>
      </c>
      <c r="AN27" s="15">
        <f t="shared" si="0"/>
        <v>16795382.965650883</v>
      </c>
      <c r="AO27" s="2">
        <v>6217816.1985727539</v>
      </c>
      <c r="AP27" s="2">
        <v>0</v>
      </c>
      <c r="AQ27" s="2">
        <v>3137985.2074391483</v>
      </c>
      <c r="AR27" s="2">
        <v>0</v>
      </c>
      <c r="AS27" s="2">
        <f>1961002.8354297+352546.69</f>
        <v>2313549.5254297</v>
      </c>
      <c r="AT27" s="1">
        <f t="shared" si="1"/>
        <v>11669350.931441601</v>
      </c>
      <c r="AU27" s="15">
        <f t="shared" si="2"/>
        <v>28464733.897092484</v>
      </c>
      <c r="AV27">
        <v>0</v>
      </c>
      <c r="AW27">
        <v>0</v>
      </c>
      <c r="AX27" s="2">
        <v>28464733.893358942</v>
      </c>
      <c r="AY27" s="15">
        <f t="shared" si="3"/>
        <v>28464733.893358942</v>
      </c>
    </row>
    <row r="28" spans="1:51" x14ac:dyDescent="0.25">
      <c r="A28" s="14">
        <v>25</v>
      </c>
      <c r="B28" t="s">
        <v>24</v>
      </c>
      <c r="C28" s="1">
        <v>0</v>
      </c>
      <c r="D28" s="1">
        <v>1225.3739309587831</v>
      </c>
      <c r="E28" s="1">
        <v>6311.2045392197579</v>
      </c>
      <c r="F28" s="1">
        <v>2385.4785250774166</v>
      </c>
      <c r="G28" s="1">
        <v>106.90245854623214</v>
      </c>
      <c r="H28" s="1">
        <v>61349.388606316003</v>
      </c>
      <c r="I28" s="1">
        <v>1851.5343767660672</v>
      </c>
      <c r="J28" s="1">
        <v>5860.2314628177965</v>
      </c>
      <c r="K28" s="1">
        <v>7563.8991324834642</v>
      </c>
      <c r="L28" s="1">
        <v>54253.464377617376</v>
      </c>
      <c r="M28" s="1">
        <v>39001.957683580898</v>
      </c>
      <c r="N28" s="1">
        <v>52252.356031781783</v>
      </c>
      <c r="O28" s="1">
        <v>26790.965410906148</v>
      </c>
      <c r="P28" s="1">
        <v>1003.4784177918579</v>
      </c>
      <c r="Q28" s="1">
        <v>19868.732998856096</v>
      </c>
      <c r="R28" s="1">
        <v>11784.554553747181</v>
      </c>
      <c r="S28" s="1">
        <v>51303.031843008619</v>
      </c>
      <c r="T28" s="1">
        <v>7518.5139979220967</v>
      </c>
      <c r="U28" s="1">
        <v>0</v>
      </c>
      <c r="V28" s="1">
        <v>16582.919974057299</v>
      </c>
      <c r="W28" s="1">
        <v>2159.1276146824143</v>
      </c>
      <c r="X28" s="1">
        <v>307.92377042976688</v>
      </c>
      <c r="Y28" s="1">
        <v>178209.14352722722</v>
      </c>
      <c r="Z28" s="1">
        <v>34701.486941682131</v>
      </c>
      <c r="AA28" s="1">
        <v>2471.3892022696987</v>
      </c>
      <c r="AB28" s="1">
        <v>18721.777891016845</v>
      </c>
      <c r="AC28" s="1">
        <v>53316.229884125358</v>
      </c>
      <c r="AD28" s="1">
        <v>114330.15924140492</v>
      </c>
      <c r="AE28" s="1">
        <v>15463.501705231711</v>
      </c>
      <c r="AF28" s="1">
        <v>6861.5046717468422</v>
      </c>
      <c r="AG28" s="1">
        <v>11897.619944751963</v>
      </c>
      <c r="AH28" s="1">
        <v>23434.277423120537</v>
      </c>
      <c r="AI28" s="1">
        <v>107474.67376807102</v>
      </c>
      <c r="AJ28" s="1">
        <v>5325.0377140409846</v>
      </c>
      <c r="AK28" s="1">
        <v>9129.8518980275076</v>
      </c>
      <c r="AL28" s="1">
        <v>30763.865947226855</v>
      </c>
      <c r="AM28" s="1">
        <v>0</v>
      </c>
      <c r="AN28" s="15">
        <f t="shared" si="0"/>
        <v>981581.55946651078</v>
      </c>
      <c r="AO28" s="2">
        <f>3730303.28133478+219234+0.46</f>
        <v>3949537.7413347801</v>
      </c>
      <c r="AP28" s="2">
        <v>0</v>
      </c>
      <c r="AQ28" s="2">
        <v>0</v>
      </c>
      <c r="AR28" s="2">
        <v>0</v>
      </c>
      <c r="AS28" s="2">
        <v>0</v>
      </c>
      <c r="AT28" s="1">
        <f t="shared" si="1"/>
        <v>3949537.7413347801</v>
      </c>
      <c r="AU28" s="15">
        <f t="shared" si="2"/>
        <v>4931119.3008012911</v>
      </c>
      <c r="AV28">
        <v>0</v>
      </c>
      <c r="AW28">
        <v>0</v>
      </c>
      <c r="AX28" s="2">
        <v>4931119.2977636177</v>
      </c>
      <c r="AY28" s="15">
        <f t="shared" si="3"/>
        <v>4931119.2977636177</v>
      </c>
    </row>
    <row r="29" spans="1:51" x14ac:dyDescent="0.25">
      <c r="A29" s="14">
        <v>26</v>
      </c>
      <c r="B29" t="s">
        <v>25</v>
      </c>
      <c r="C29" s="1">
        <v>6253.6981765272003</v>
      </c>
      <c r="D29" s="1">
        <v>12761.145342624061</v>
      </c>
      <c r="E29" s="1">
        <v>71472.117207868025</v>
      </c>
      <c r="F29" s="1">
        <v>16469.295409158483</v>
      </c>
      <c r="G29" s="1">
        <v>35335.3854898399</v>
      </c>
      <c r="H29" s="1">
        <v>8783.7767558286578</v>
      </c>
      <c r="I29" s="1">
        <v>3299.0303638305832</v>
      </c>
      <c r="J29" s="1">
        <v>26227.469920788477</v>
      </c>
      <c r="K29" s="1">
        <v>77931.733699180069</v>
      </c>
      <c r="L29" s="1">
        <v>445266.57137206697</v>
      </c>
      <c r="M29" s="1">
        <v>72741.473447568147</v>
      </c>
      <c r="N29" s="1">
        <v>68938.312810385978</v>
      </c>
      <c r="O29" s="1">
        <v>242950.43281982932</v>
      </c>
      <c r="P29" s="1">
        <v>2890.6721455230891</v>
      </c>
      <c r="Q29" s="1">
        <v>183547.69037548965</v>
      </c>
      <c r="R29" s="1">
        <v>54743.981198604641</v>
      </c>
      <c r="S29" s="1">
        <v>115224.16625602613</v>
      </c>
      <c r="T29" s="1">
        <v>16672.867425029392</v>
      </c>
      <c r="U29" s="1">
        <v>0</v>
      </c>
      <c r="V29" s="1">
        <v>26888.409463492262</v>
      </c>
      <c r="W29" s="1">
        <v>6673.177587274602</v>
      </c>
      <c r="X29" s="1">
        <v>4981.4212499678024</v>
      </c>
      <c r="Y29" s="1">
        <v>331478.47346546478</v>
      </c>
      <c r="Z29" s="1">
        <v>276877.96432846872</v>
      </c>
      <c r="AA29" s="1">
        <v>55094.971636211936</v>
      </c>
      <c r="AB29" s="1">
        <v>42631.384822045868</v>
      </c>
      <c r="AC29" s="1">
        <v>109566.40583353603</v>
      </c>
      <c r="AD29" s="1">
        <v>31801.931175569029</v>
      </c>
      <c r="AE29" s="1">
        <v>23036.753042408156</v>
      </c>
      <c r="AF29" s="1">
        <v>26371.519525267031</v>
      </c>
      <c r="AG29" s="1">
        <v>39711.786865641327</v>
      </c>
      <c r="AH29" s="1">
        <v>27508.395999506691</v>
      </c>
      <c r="AI29" s="1">
        <v>99509.952866262262</v>
      </c>
      <c r="AJ29" s="1">
        <v>16576.823364764645</v>
      </c>
      <c r="AK29" s="1">
        <v>3197.3724874314416</v>
      </c>
      <c r="AL29" s="1">
        <v>39059.849853283748</v>
      </c>
      <c r="AM29" s="1">
        <v>0</v>
      </c>
      <c r="AN29" s="15">
        <f t="shared" si="0"/>
        <v>2622476.4137827652</v>
      </c>
      <c r="AO29" s="2">
        <f>727617.842341757+37806</f>
        <v>765423.84234175703</v>
      </c>
      <c r="AP29" s="2">
        <v>0</v>
      </c>
      <c r="AQ29" s="2">
        <v>121222</v>
      </c>
      <c r="AR29" s="2">
        <v>0</v>
      </c>
      <c r="AS29" s="2">
        <f>637648.687479594+0.2+160814.91-121222</f>
        <v>677241.79747959401</v>
      </c>
      <c r="AT29" s="1">
        <f t="shared" si="1"/>
        <v>1563887.639821351</v>
      </c>
      <c r="AU29" s="15">
        <f t="shared" si="2"/>
        <v>4186364.0536041162</v>
      </c>
      <c r="AV29">
        <v>0</v>
      </c>
      <c r="AW29">
        <v>0</v>
      </c>
      <c r="AX29" s="2">
        <v>4186364.0551280514</v>
      </c>
      <c r="AY29" s="15">
        <f t="shared" si="3"/>
        <v>4186364.0551280514</v>
      </c>
    </row>
    <row r="30" spans="1:51" x14ac:dyDescent="0.25">
      <c r="A30" s="14">
        <v>27</v>
      </c>
      <c r="B30" t="s">
        <v>26</v>
      </c>
      <c r="C30" s="1">
        <v>1286.5758172819428</v>
      </c>
      <c r="D30" s="1">
        <v>2474.3753838471025</v>
      </c>
      <c r="E30" s="1">
        <v>14177.133067784171</v>
      </c>
      <c r="F30" s="1">
        <v>2926.7273015117426</v>
      </c>
      <c r="G30" s="1">
        <v>8399.4803703784128</v>
      </c>
      <c r="H30" s="1">
        <v>37629.472425745902</v>
      </c>
      <c r="I30" s="1">
        <v>329.01448876524887</v>
      </c>
      <c r="J30" s="1">
        <v>9969.9941848694616</v>
      </c>
      <c r="K30" s="1">
        <v>37125.738111216713</v>
      </c>
      <c r="L30" s="1">
        <v>931822.15128721797</v>
      </c>
      <c r="M30" s="1">
        <v>22500.55299351889</v>
      </c>
      <c r="N30" s="1">
        <v>75777.703328857038</v>
      </c>
      <c r="O30" s="1">
        <v>119335.04671680383</v>
      </c>
      <c r="P30" s="1">
        <v>5654.3173706027865</v>
      </c>
      <c r="Q30" s="1">
        <v>281446.60661573394</v>
      </c>
      <c r="R30" s="1">
        <v>33449.195470353217</v>
      </c>
      <c r="S30" s="1">
        <v>93770.437201252542</v>
      </c>
      <c r="T30" s="1">
        <v>40560.328165701379</v>
      </c>
      <c r="U30" s="1">
        <v>0</v>
      </c>
      <c r="V30" s="1">
        <v>26601.51614323508</v>
      </c>
      <c r="W30" s="1">
        <v>2231.4713369090964</v>
      </c>
      <c r="X30" s="1">
        <v>2321.2624942825628</v>
      </c>
      <c r="Y30" s="1">
        <v>713385.20076897321</v>
      </c>
      <c r="Z30" s="1">
        <v>239255.07458366075</v>
      </c>
      <c r="AA30" s="1">
        <v>21570.906506719853</v>
      </c>
      <c r="AB30" s="1">
        <v>44987.035280085409</v>
      </c>
      <c r="AC30" s="1">
        <v>151424.78164638064</v>
      </c>
      <c r="AD30" s="1">
        <v>10898.214613140341</v>
      </c>
      <c r="AE30" s="1">
        <v>38353.126046399346</v>
      </c>
      <c r="AF30" s="1">
        <v>35524.141738375816</v>
      </c>
      <c r="AG30" s="1">
        <v>19336.929443675683</v>
      </c>
      <c r="AH30" s="1">
        <v>14211.138767261262</v>
      </c>
      <c r="AI30" s="1">
        <v>95250.580107387548</v>
      </c>
      <c r="AJ30" s="1">
        <v>10260.489291541759</v>
      </c>
      <c r="AK30" s="1">
        <v>4437.9497238750637</v>
      </c>
      <c r="AL30" s="1">
        <v>24799.176710198084</v>
      </c>
      <c r="AM30" s="1">
        <v>0</v>
      </c>
      <c r="AN30" s="15">
        <f t="shared" si="0"/>
        <v>3173483.845503544</v>
      </c>
      <c r="AO30" s="2">
        <v>2002727.2056901294</v>
      </c>
      <c r="AP30" s="2">
        <v>0</v>
      </c>
      <c r="AQ30" s="2">
        <v>456231</v>
      </c>
      <c r="AR30" s="2">
        <v>0</v>
      </c>
      <c r="AS30" s="2">
        <f>2489733.3227629+411253.62-456231</f>
        <v>2444755.9427629001</v>
      </c>
      <c r="AT30" s="1">
        <f t="shared" si="1"/>
        <v>4903714.1484530298</v>
      </c>
      <c r="AU30" s="15">
        <f t="shared" si="2"/>
        <v>8077197.9939565733</v>
      </c>
      <c r="AV30">
        <v>0</v>
      </c>
      <c r="AW30">
        <v>0</v>
      </c>
      <c r="AX30" s="2">
        <v>8077197.9925356563</v>
      </c>
      <c r="AY30" s="15">
        <f t="shared" si="3"/>
        <v>8077197.9925356563</v>
      </c>
    </row>
    <row r="31" spans="1:51" x14ac:dyDescent="0.25">
      <c r="A31" s="14">
        <v>28</v>
      </c>
      <c r="B31" t="s">
        <v>27</v>
      </c>
      <c r="C31" s="1">
        <v>171.8819744335664</v>
      </c>
      <c r="D31" s="1">
        <v>620.34809869893411</v>
      </c>
      <c r="E31" s="1">
        <v>4925.0285035983152</v>
      </c>
      <c r="F31" s="1">
        <v>4910.190912822578</v>
      </c>
      <c r="G31" s="1">
        <v>5557.1621394252907</v>
      </c>
      <c r="H31" s="1">
        <v>7347.6775180779741</v>
      </c>
      <c r="I31" s="1">
        <v>81.736224756388822</v>
      </c>
      <c r="J31" s="1">
        <v>5036.7815979706857</v>
      </c>
      <c r="K31" s="1">
        <v>28889.817119312684</v>
      </c>
      <c r="L31" s="1">
        <v>561060.0557323714</v>
      </c>
      <c r="M31" s="1">
        <v>55821.064285873035</v>
      </c>
      <c r="N31" s="1">
        <v>181928.75787067297</v>
      </c>
      <c r="O31" s="1">
        <v>72904.676322179657</v>
      </c>
      <c r="P31" s="1">
        <v>5226.6696213098767</v>
      </c>
      <c r="Q31" s="1">
        <v>10409.609770132127</v>
      </c>
      <c r="R31" s="1">
        <v>18036.855019796636</v>
      </c>
      <c r="S31" s="1">
        <v>214139.76061752308</v>
      </c>
      <c r="T31" s="1">
        <v>2723.4791285890378</v>
      </c>
      <c r="U31" s="1">
        <v>0</v>
      </c>
      <c r="V31" s="1">
        <v>15107.384434908123</v>
      </c>
      <c r="W31" s="1">
        <v>646.50767009491847</v>
      </c>
      <c r="X31" s="1">
        <v>1182.2656135195982</v>
      </c>
      <c r="Y31" s="1">
        <v>130405.39741927062</v>
      </c>
      <c r="Z31" s="1">
        <v>125920.05835905536</v>
      </c>
      <c r="AA31" s="1">
        <v>12459.779249194798</v>
      </c>
      <c r="AB31" s="1">
        <v>3293.5006855107681</v>
      </c>
      <c r="AC31" s="1">
        <v>22085.31097098791</v>
      </c>
      <c r="AD31" s="1">
        <v>4955.6859938699499</v>
      </c>
      <c r="AE31" s="1">
        <v>9863.6381712438888</v>
      </c>
      <c r="AF31" s="1">
        <v>7594.4550483655639</v>
      </c>
      <c r="AG31" s="1">
        <v>38525.495423812659</v>
      </c>
      <c r="AH31" s="1">
        <v>17207.640570625055</v>
      </c>
      <c r="AI31" s="1">
        <v>69765.609192966702</v>
      </c>
      <c r="AJ31" s="1">
        <v>5525.6907736487283</v>
      </c>
      <c r="AK31" s="1">
        <v>9152.2917467073494</v>
      </c>
      <c r="AL31" s="1">
        <v>8090.2213301613556</v>
      </c>
      <c r="AM31" s="1">
        <v>0</v>
      </c>
      <c r="AN31" s="15">
        <f t="shared" si="0"/>
        <v>1661572.4851114873</v>
      </c>
      <c r="AO31" s="2">
        <v>2665924.7408419205</v>
      </c>
      <c r="AP31" s="2">
        <v>0</v>
      </c>
      <c r="AQ31" s="2">
        <v>0</v>
      </c>
      <c r="AR31" s="2">
        <v>0</v>
      </c>
      <c r="AS31" s="2">
        <f>198232.12+509496.64</f>
        <v>707728.76</v>
      </c>
      <c r="AT31" s="1">
        <f t="shared" si="1"/>
        <v>3373653.5008419203</v>
      </c>
      <c r="AU31" s="15">
        <f t="shared" si="2"/>
        <v>5035225.9859534074</v>
      </c>
      <c r="AV31">
        <v>0</v>
      </c>
      <c r="AW31">
        <v>0</v>
      </c>
      <c r="AX31" s="2">
        <v>5035225.9848258989</v>
      </c>
      <c r="AY31" s="15">
        <f t="shared" si="3"/>
        <v>5035225.9848258989</v>
      </c>
    </row>
    <row r="32" spans="1:51" x14ac:dyDescent="0.25">
      <c r="A32" s="14">
        <v>29</v>
      </c>
      <c r="B32" t="s">
        <v>28</v>
      </c>
      <c r="C32" s="1">
        <v>677.64438353103174</v>
      </c>
      <c r="D32" s="1">
        <v>1408.8342084744893</v>
      </c>
      <c r="E32" s="1">
        <v>13665.264813806341</v>
      </c>
      <c r="F32" s="1">
        <v>1366.3185987767245</v>
      </c>
      <c r="G32" s="1">
        <v>2339.7010828996008</v>
      </c>
      <c r="H32" s="1">
        <v>7984.8080424931686</v>
      </c>
      <c r="I32" s="1">
        <v>308.27413421164874</v>
      </c>
      <c r="J32" s="1">
        <v>5926.6533038910156</v>
      </c>
      <c r="K32" s="1">
        <v>13764.470014791406</v>
      </c>
      <c r="L32" s="1">
        <v>97027.233541150301</v>
      </c>
      <c r="M32" s="1">
        <v>8377.5422034026196</v>
      </c>
      <c r="N32" s="1">
        <v>18520.895854355706</v>
      </c>
      <c r="O32" s="1">
        <v>40959.431404983661</v>
      </c>
      <c r="P32" s="1">
        <v>4633.5020083485797</v>
      </c>
      <c r="Q32" s="1">
        <v>173427.48653428801</v>
      </c>
      <c r="R32" s="1">
        <v>30713.063343564339</v>
      </c>
      <c r="S32" s="1">
        <v>150744.10102680893</v>
      </c>
      <c r="T32" s="1">
        <v>54744.90858411006</v>
      </c>
      <c r="U32" s="1">
        <v>0</v>
      </c>
      <c r="V32" s="1">
        <v>24166.98118323641</v>
      </c>
      <c r="W32" s="1">
        <v>933.33570581785671</v>
      </c>
      <c r="X32" s="1">
        <v>2125.6139927400459</v>
      </c>
      <c r="Y32" s="1">
        <v>201419.88166832062</v>
      </c>
      <c r="Z32" s="1">
        <v>444260.93338827952</v>
      </c>
      <c r="AA32" s="1">
        <v>11898.930088345154</v>
      </c>
      <c r="AB32" s="1">
        <v>164744.62663084635</v>
      </c>
      <c r="AC32" s="1">
        <v>434369.57491173781</v>
      </c>
      <c r="AD32" s="1">
        <v>295215.09420591471</v>
      </c>
      <c r="AE32" s="1">
        <v>463694.72670468391</v>
      </c>
      <c r="AF32" s="1">
        <v>64034.436486785991</v>
      </c>
      <c r="AG32" s="1">
        <v>15039.669072587396</v>
      </c>
      <c r="AH32" s="1">
        <v>19282.17111253821</v>
      </c>
      <c r="AI32" s="1">
        <v>91788.521828729048</v>
      </c>
      <c r="AJ32" s="1">
        <v>5056.9107657816385</v>
      </c>
      <c r="AK32" s="1">
        <v>5455.4436793204814</v>
      </c>
      <c r="AL32" s="1">
        <v>24749.480606877612</v>
      </c>
      <c r="AM32" s="1">
        <v>0</v>
      </c>
      <c r="AN32" s="15">
        <f t="shared" si="0"/>
        <v>2894826.465116431</v>
      </c>
      <c r="AO32" s="2">
        <v>2200492.9672027547</v>
      </c>
      <c r="AP32" s="2">
        <v>0</v>
      </c>
      <c r="AQ32" s="2">
        <v>13422</v>
      </c>
      <c r="AR32" s="2">
        <v>0</v>
      </c>
      <c r="AS32" s="2">
        <f>202213.380214412+358270.51-13422</f>
        <v>547061.89021441201</v>
      </c>
      <c r="AT32" s="1">
        <f t="shared" si="1"/>
        <v>2760976.8574171667</v>
      </c>
      <c r="AU32" s="15">
        <f t="shared" si="2"/>
        <v>5655803.3225335982</v>
      </c>
      <c r="AV32">
        <v>0</v>
      </c>
      <c r="AW32">
        <v>0</v>
      </c>
      <c r="AX32" s="2">
        <v>5655803.3209559992</v>
      </c>
      <c r="AY32" s="15">
        <f t="shared" si="3"/>
        <v>5655803.3209559992</v>
      </c>
    </row>
    <row r="33" spans="1:51" x14ac:dyDescent="0.25">
      <c r="A33" s="14">
        <v>30</v>
      </c>
      <c r="B33" t="s">
        <v>29</v>
      </c>
      <c r="C33" s="1">
        <v>0</v>
      </c>
      <c r="D33" s="1">
        <v>1494.8464979160219</v>
      </c>
      <c r="E33" s="1">
        <v>13354.425900626713</v>
      </c>
      <c r="F33" s="1">
        <v>704.86673947988106</v>
      </c>
      <c r="G33" s="1">
        <v>31.799873565687253</v>
      </c>
      <c r="H33" s="1">
        <v>1956.9016543319772</v>
      </c>
      <c r="I33" s="1">
        <v>348.84520239232342</v>
      </c>
      <c r="J33" s="1">
        <v>498.80510785424889</v>
      </c>
      <c r="K33" s="1">
        <v>196.38879696563237</v>
      </c>
      <c r="L33" s="1">
        <v>231301.20165029142</v>
      </c>
      <c r="M33" s="1">
        <v>11225.986266363312</v>
      </c>
      <c r="N33" s="1">
        <v>39649.098716372653</v>
      </c>
      <c r="O33" s="1">
        <v>8770.4215755925761</v>
      </c>
      <c r="P33" s="1">
        <v>1732.6552692642779</v>
      </c>
      <c r="Q33" s="1">
        <v>23447.065493198388</v>
      </c>
      <c r="R33" s="1">
        <v>16170.195414101512</v>
      </c>
      <c r="S33" s="1">
        <v>33712.341951068629</v>
      </c>
      <c r="T33" s="1">
        <v>5059.5976356009178</v>
      </c>
      <c r="U33" s="1">
        <v>0</v>
      </c>
      <c r="V33" s="1">
        <v>8215.5200536896682</v>
      </c>
      <c r="W33" s="1">
        <v>1589.3042063189698</v>
      </c>
      <c r="X33" s="1">
        <v>1763.8874076787647</v>
      </c>
      <c r="Y33" s="1">
        <v>98539.771304923328</v>
      </c>
      <c r="Z33" s="1">
        <v>210833.65195249519</v>
      </c>
      <c r="AA33" s="1">
        <v>7294.1829668202845</v>
      </c>
      <c r="AB33" s="1">
        <v>13563.084960839953</v>
      </c>
      <c r="AC33" s="1">
        <v>53692.529631353282</v>
      </c>
      <c r="AD33" s="1">
        <v>5606.7801860494055</v>
      </c>
      <c r="AE33" s="1">
        <v>64552.022018963042</v>
      </c>
      <c r="AF33" s="1">
        <v>203362.02414503865</v>
      </c>
      <c r="AG33" s="1">
        <v>80420.083385610124</v>
      </c>
      <c r="AH33" s="1">
        <v>41855.306492553747</v>
      </c>
      <c r="AI33" s="1">
        <v>16004.790233306507</v>
      </c>
      <c r="AJ33" s="1">
        <v>9611.6258002560644</v>
      </c>
      <c r="AK33" s="1">
        <v>3683.4359015358982</v>
      </c>
      <c r="AL33" s="1">
        <v>77325.546576650682</v>
      </c>
      <c r="AM33" s="1">
        <v>0</v>
      </c>
      <c r="AN33" s="15">
        <f t="shared" si="0"/>
        <v>1287568.9909690698</v>
      </c>
      <c r="AO33" s="2">
        <f>4277853.08384182+378000+134.38</f>
        <v>4655987.4638418201</v>
      </c>
      <c r="AP33" s="2">
        <v>0</v>
      </c>
      <c r="AQ33" s="2">
        <v>0</v>
      </c>
      <c r="AR33" s="2">
        <v>0</v>
      </c>
      <c r="AS33" s="2">
        <v>0</v>
      </c>
      <c r="AT33" s="1">
        <f t="shared" si="1"/>
        <v>4655987.4638418201</v>
      </c>
      <c r="AU33" s="15">
        <f t="shared" si="2"/>
        <v>5943556.4548108894</v>
      </c>
      <c r="AV33">
        <v>0</v>
      </c>
      <c r="AW33">
        <v>0</v>
      </c>
      <c r="AX33" s="2">
        <v>5943556.4531721789</v>
      </c>
      <c r="AY33" s="15">
        <f t="shared" si="3"/>
        <v>5943556.4531721789</v>
      </c>
    </row>
    <row r="34" spans="1:51" x14ac:dyDescent="0.25">
      <c r="A34" s="14">
        <v>31</v>
      </c>
      <c r="B34" t="s">
        <v>30</v>
      </c>
      <c r="C34" s="1">
        <v>8685.6259763587241</v>
      </c>
      <c r="D34" s="1">
        <v>5116.4444336737351</v>
      </c>
      <c r="E34" s="1">
        <v>133832.97728634192</v>
      </c>
      <c r="F34" s="1">
        <v>11299.8911950168</v>
      </c>
      <c r="G34" s="1">
        <v>3758.013416396283</v>
      </c>
      <c r="H34" s="1">
        <v>61620.288657117708</v>
      </c>
      <c r="I34" s="1">
        <v>2800.7408724386792</v>
      </c>
      <c r="J34" s="1">
        <v>29083.289260198049</v>
      </c>
      <c r="K34" s="1">
        <v>301299.7767318259</v>
      </c>
      <c r="L34" s="1">
        <v>386338.73796831089</v>
      </c>
      <c r="M34" s="1">
        <v>126719.23220689413</v>
      </c>
      <c r="N34" s="1">
        <v>188948.1254574694</v>
      </c>
      <c r="O34" s="1">
        <v>229974.67570738014</v>
      </c>
      <c r="P34" s="1">
        <v>6750.5389657065416</v>
      </c>
      <c r="Q34" s="1">
        <v>202956.74402130328</v>
      </c>
      <c r="R34" s="1">
        <v>57169.362789175626</v>
      </c>
      <c r="S34" s="1">
        <v>105384.0433100119</v>
      </c>
      <c r="T34" s="1">
        <v>7353.8780133618729</v>
      </c>
      <c r="U34" s="1">
        <v>0</v>
      </c>
      <c r="V34" s="1">
        <v>15100.583557322732</v>
      </c>
      <c r="W34" s="1">
        <v>10316.592967178183</v>
      </c>
      <c r="X34" s="1">
        <v>2096.5024126447875</v>
      </c>
      <c r="Y34" s="1">
        <v>178121.9885708357</v>
      </c>
      <c r="Z34" s="1">
        <v>270839.99354372395</v>
      </c>
      <c r="AA34" s="1">
        <v>5565.4399176362203</v>
      </c>
      <c r="AB34" s="1">
        <v>63975.519145034843</v>
      </c>
      <c r="AC34" s="1">
        <v>53412.226521430232</v>
      </c>
      <c r="AD34" s="1">
        <v>8242.0513101146826</v>
      </c>
      <c r="AE34" s="1">
        <v>27927.977976229642</v>
      </c>
      <c r="AF34" s="1">
        <v>31105.307293157035</v>
      </c>
      <c r="AG34" s="1">
        <v>359960.59575248795</v>
      </c>
      <c r="AH34" s="1">
        <v>122481.45719186349</v>
      </c>
      <c r="AI34" s="1">
        <v>92944.711257345291</v>
      </c>
      <c r="AJ34" s="1">
        <v>7142.0201090297405</v>
      </c>
      <c r="AK34" s="1">
        <v>6583.0287609815196</v>
      </c>
      <c r="AL34" s="1">
        <v>20622.970852511058</v>
      </c>
      <c r="AM34" s="1">
        <v>0</v>
      </c>
      <c r="AN34" s="15">
        <f t="shared" si="0"/>
        <v>3145531.3534085085</v>
      </c>
      <c r="AO34" s="2">
        <f>3076613.45922139+102215+0.56</f>
        <v>3178829.0192213901</v>
      </c>
      <c r="AP34" s="2">
        <v>0</v>
      </c>
      <c r="AQ34" s="2">
        <v>0</v>
      </c>
      <c r="AR34" s="2">
        <v>0</v>
      </c>
      <c r="AS34" s="2">
        <v>0</v>
      </c>
      <c r="AT34" s="1">
        <f t="shared" si="1"/>
        <v>3178829.0192213901</v>
      </c>
      <c r="AU34" s="15">
        <f t="shared" si="2"/>
        <v>6324360.3726298986</v>
      </c>
      <c r="AV34">
        <v>0</v>
      </c>
      <c r="AW34">
        <v>0</v>
      </c>
      <c r="AX34" s="2">
        <v>6324360.3692183439</v>
      </c>
      <c r="AY34" s="15">
        <f t="shared" si="3"/>
        <v>6324360.3692183439</v>
      </c>
    </row>
    <row r="35" spans="1:51" x14ac:dyDescent="0.25">
      <c r="A35" s="14">
        <v>32</v>
      </c>
      <c r="B35" t="s">
        <v>31</v>
      </c>
      <c r="C35" s="1">
        <v>7674.5484046207448</v>
      </c>
      <c r="D35" s="1">
        <v>1129.7590472782276</v>
      </c>
      <c r="E35" s="1">
        <v>4857.7730479294378</v>
      </c>
      <c r="F35" s="1">
        <v>1568.5562969999296</v>
      </c>
      <c r="G35" s="1">
        <v>65.169998398669748</v>
      </c>
      <c r="H35" s="1">
        <v>96500.7161656401</v>
      </c>
      <c r="I35" s="1">
        <v>6764.3373356568791</v>
      </c>
      <c r="J35" s="1">
        <v>4158.1529607337507</v>
      </c>
      <c r="K35" s="1">
        <v>391014.94943510531</v>
      </c>
      <c r="L35" s="1">
        <v>818808.37391136936</v>
      </c>
      <c r="M35" s="1">
        <v>87871.836281900993</v>
      </c>
      <c r="N35" s="1">
        <v>113766.89645105833</v>
      </c>
      <c r="O35" s="1">
        <v>23041.673819148724</v>
      </c>
      <c r="P35" s="1">
        <v>3863.7364707402057</v>
      </c>
      <c r="Q35" s="1">
        <v>60795.362353788092</v>
      </c>
      <c r="R35" s="1">
        <v>22021.507410477479</v>
      </c>
      <c r="S35" s="1">
        <v>110407.78955538021</v>
      </c>
      <c r="T35" s="1">
        <v>13388.855343876216</v>
      </c>
      <c r="U35" s="1">
        <v>0</v>
      </c>
      <c r="V35" s="1">
        <v>5662.8088377326631</v>
      </c>
      <c r="W35" s="1">
        <v>5316.1914704255396</v>
      </c>
      <c r="X35" s="1">
        <v>3061.786697213739</v>
      </c>
      <c r="Y35" s="1">
        <v>284228.00427729933</v>
      </c>
      <c r="Z35" s="1">
        <v>558745.33860638016</v>
      </c>
      <c r="AA35" s="1">
        <v>17475.810858441826</v>
      </c>
      <c r="AB35" s="1">
        <v>37349.709537742805</v>
      </c>
      <c r="AC35" s="1">
        <v>110497.71032729124</v>
      </c>
      <c r="AD35" s="1">
        <v>32401.793206655242</v>
      </c>
      <c r="AE35" s="1">
        <v>88011.651601934936</v>
      </c>
      <c r="AF35" s="1">
        <v>133905.48116034648</v>
      </c>
      <c r="AG35" s="1">
        <v>192652.3238894637</v>
      </c>
      <c r="AH35" s="1">
        <v>102842.43938975345</v>
      </c>
      <c r="AI35" s="1">
        <v>65447.358628708578</v>
      </c>
      <c r="AJ35" s="1">
        <v>51832.178797000714</v>
      </c>
      <c r="AK35" s="1">
        <v>14173.749984705082</v>
      </c>
      <c r="AL35" s="1">
        <v>90194.597381513653</v>
      </c>
      <c r="AM35" s="1">
        <v>0</v>
      </c>
      <c r="AN35" s="15">
        <f t="shared" si="0"/>
        <v>3561498.9289427111</v>
      </c>
      <c r="AO35" s="2">
        <f>1560614.54639528+138466+0.86</f>
        <v>1699081.40639528</v>
      </c>
      <c r="AP35" s="2">
        <v>0</v>
      </c>
      <c r="AQ35" s="2">
        <v>0</v>
      </c>
      <c r="AR35" s="2">
        <v>0</v>
      </c>
      <c r="AS35" s="2">
        <v>0</v>
      </c>
      <c r="AT35" s="1">
        <f t="shared" si="1"/>
        <v>1699081.40639528</v>
      </c>
      <c r="AU35" s="15">
        <f t="shared" si="2"/>
        <v>5260580.3353379909</v>
      </c>
      <c r="AV35">
        <v>0</v>
      </c>
      <c r="AW35">
        <v>0</v>
      </c>
      <c r="AX35" s="2">
        <v>5260580.337521472</v>
      </c>
      <c r="AY35" s="15">
        <f t="shared" si="3"/>
        <v>5260580.337521472</v>
      </c>
    </row>
    <row r="36" spans="1:51" x14ac:dyDescent="0.25">
      <c r="A36" s="14">
        <v>33</v>
      </c>
      <c r="B36" t="s">
        <v>32</v>
      </c>
      <c r="C36" s="1">
        <v>0</v>
      </c>
      <c r="D36" s="1">
        <v>24.695987942349465</v>
      </c>
      <c r="E36" s="1">
        <v>0</v>
      </c>
      <c r="F36" s="1">
        <v>367.21963211102741</v>
      </c>
      <c r="G36" s="1">
        <v>78.270371833956716</v>
      </c>
      <c r="H36" s="1">
        <v>0</v>
      </c>
      <c r="I36" s="1">
        <v>0</v>
      </c>
      <c r="J36" s="1">
        <v>47.681731867552188</v>
      </c>
      <c r="K36" s="1">
        <v>0</v>
      </c>
      <c r="L36" s="1">
        <v>322.87655643556008</v>
      </c>
      <c r="M36" s="1">
        <v>222.36658983330111</v>
      </c>
      <c r="N36" s="1">
        <v>121.72183703942223</v>
      </c>
      <c r="O36" s="1">
        <v>696.56842022398826</v>
      </c>
      <c r="P36" s="1">
        <v>0</v>
      </c>
      <c r="Q36" s="1">
        <v>393.48594860838534</v>
      </c>
      <c r="R36" s="1">
        <v>0</v>
      </c>
      <c r="S36" s="1">
        <v>2105.0261200531359</v>
      </c>
      <c r="T36" s="1">
        <v>191.53401010888919</v>
      </c>
      <c r="U36" s="1">
        <v>0</v>
      </c>
      <c r="V36" s="1">
        <v>0</v>
      </c>
      <c r="W36" s="1">
        <v>120.52908741944282</v>
      </c>
      <c r="X36" s="1">
        <v>77.918545402684771</v>
      </c>
      <c r="Y36" s="1">
        <v>7040.1784630969296</v>
      </c>
      <c r="Z36" s="1">
        <v>0</v>
      </c>
      <c r="AA36" s="1">
        <v>340.55849794669729</v>
      </c>
      <c r="AB36" s="1">
        <v>330.09242182317581</v>
      </c>
      <c r="AC36" s="1">
        <v>1086.6667796486067</v>
      </c>
      <c r="AD36" s="1">
        <v>161.42982847646124</v>
      </c>
      <c r="AE36" s="1">
        <v>391.76341910063729</v>
      </c>
      <c r="AF36" s="1">
        <v>4429.81164212365</v>
      </c>
      <c r="AG36" s="1">
        <v>5177.4199109558003</v>
      </c>
      <c r="AH36" s="1">
        <v>712.59249838701976</v>
      </c>
      <c r="AI36" s="1">
        <v>316.50479577391508</v>
      </c>
      <c r="AJ36" s="1">
        <v>880.10469057399803</v>
      </c>
      <c r="AK36" s="1">
        <v>2273.5393906106656</v>
      </c>
      <c r="AL36" s="1">
        <v>0</v>
      </c>
      <c r="AM36" s="1">
        <v>0</v>
      </c>
      <c r="AN36" s="15">
        <f t="shared" si="0"/>
        <v>27910.557177397252</v>
      </c>
      <c r="AO36" s="2">
        <v>25506.633550087779</v>
      </c>
      <c r="AP36" s="2">
        <v>11927499.361430634</v>
      </c>
      <c r="AQ36" s="2">
        <v>0</v>
      </c>
      <c r="AR36" s="2">
        <v>0</v>
      </c>
      <c r="AS36" s="2">
        <v>0</v>
      </c>
      <c r="AT36" s="1">
        <f t="shared" si="1"/>
        <v>11953005.994980721</v>
      </c>
      <c r="AU36" s="15">
        <f t="shared" si="2"/>
        <v>11980916.552158117</v>
      </c>
      <c r="AV36">
        <v>0</v>
      </c>
      <c r="AW36">
        <v>0</v>
      </c>
      <c r="AX36" s="2">
        <v>11980916.556306923</v>
      </c>
      <c r="AY36" s="15">
        <f t="shared" si="3"/>
        <v>11980916.556306923</v>
      </c>
    </row>
    <row r="37" spans="1:51" x14ac:dyDescent="0.25">
      <c r="A37" s="14">
        <v>34</v>
      </c>
      <c r="B37" t="s">
        <v>33</v>
      </c>
      <c r="C37" s="1">
        <v>0</v>
      </c>
      <c r="D37" s="1">
        <v>144.2966897999828</v>
      </c>
      <c r="E37" s="1">
        <v>0</v>
      </c>
      <c r="F37" s="1">
        <v>288.66406544910296</v>
      </c>
      <c r="G37" s="1">
        <v>95.01365502725703</v>
      </c>
      <c r="H37" s="1">
        <v>0</v>
      </c>
      <c r="I37" s="1">
        <v>0</v>
      </c>
      <c r="J37" s="1">
        <v>653.11341525782132</v>
      </c>
      <c r="K37" s="1">
        <v>91.395830107881523</v>
      </c>
      <c r="L37" s="1">
        <v>8040.4697559849656</v>
      </c>
      <c r="M37" s="1">
        <v>4953.1101500139657</v>
      </c>
      <c r="N37" s="1">
        <v>162.58887921858062</v>
      </c>
      <c r="O37" s="1">
        <v>8642.7920236823356</v>
      </c>
      <c r="P37" s="1">
        <v>80.168142922975733</v>
      </c>
      <c r="Q37" s="1">
        <v>2999.562880843022</v>
      </c>
      <c r="R37" s="1">
        <v>1375.5467195970671</v>
      </c>
      <c r="S37" s="1">
        <v>4817.1253522931756</v>
      </c>
      <c r="T37" s="1">
        <v>681.01045037851361</v>
      </c>
      <c r="U37" s="1">
        <v>0</v>
      </c>
      <c r="V37" s="1">
        <v>6665.4434907645764</v>
      </c>
      <c r="W37" s="1">
        <v>124.8298364938712</v>
      </c>
      <c r="X37" s="1">
        <v>323.35027359516533</v>
      </c>
      <c r="Y37" s="1">
        <v>22707.186709876838</v>
      </c>
      <c r="Z37" s="1">
        <v>2968.8540749927815</v>
      </c>
      <c r="AA37" s="1">
        <v>1496.8832101435655</v>
      </c>
      <c r="AB37" s="1">
        <v>781.77782825646148</v>
      </c>
      <c r="AC37" s="1">
        <v>2160.3440085356488</v>
      </c>
      <c r="AD37" s="1">
        <v>92.529199877710624</v>
      </c>
      <c r="AE37" s="1">
        <v>717.50841665356768</v>
      </c>
      <c r="AF37" s="1">
        <v>5033.3060704833233</v>
      </c>
      <c r="AG37" s="1">
        <v>7658.3711378739235</v>
      </c>
      <c r="AH37" s="1">
        <v>30998.374787556004</v>
      </c>
      <c r="AI37" s="1">
        <v>1062.1289165675691</v>
      </c>
      <c r="AJ37" s="1">
        <v>16898.673282102656</v>
      </c>
      <c r="AK37" s="1">
        <v>2154.6870462677844</v>
      </c>
      <c r="AL37" s="1">
        <v>12719.534520999821</v>
      </c>
      <c r="AM37" s="1">
        <v>0</v>
      </c>
      <c r="AN37" s="15">
        <f t="shared" si="0"/>
        <v>147588.64082161794</v>
      </c>
      <c r="AO37" s="2">
        <v>1108397.3213433337</v>
      </c>
      <c r="AP37" s="2">
        <v>347145.04737742699</v>
      </c>
      <c r="AQ37" s="2">
        <v>0</v>
      </c>
      <c r="AR37" s="2">
        <v>0</v>
      </c>
      <c r="AS37" s="2">
        <v>0</v>
      </c>
      <c r="AT37" s="1">
        <f t="shared" si="1"/>
        <v>1455542.3687207606</v>
      </c>
      <c r="AU37" s="15">
        <f t="shared" si="2"/>
        <v>1603131.0095423786</v>
      </c>
      <c r="AV37">
        <v>0</v>
      </c>
      <c r="AW37">
        <v>0</v>
      </c>
      <c r="AX37" s="2">
        <v>1603131.0121248206</v>
      </c>
      <c r="AY37" s="15">
        <f t="shared" si="3"/>
        <v>1603131.0121248206</v>
      </c>
    </row>
    <row r="38" spans="1:51" x14ac:dyDescent="0.25">
      <c r="A38" s="14">
        <v>35</v>
      </c>
      <c r="B38" t="s">
        <v>34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211.32146530846268</v>
      </c>
      <c r="O38" s="1">
        <v>0</v>
      </c>
      <c r="P38" s="1">
        <v>0</v>
      </c>
      <c r="Q38" s="1">
        <v>4150.2264260062666</v>
      </c>
      <c r="R38" s="1">
        <v>1305.8741358547463</v>
      </c>
      <c r="S38" s="1">
        <v>7094.2924214447776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340.30973336097298</v>
      </c>
      <c r="AB38" s="1">
        <v>449.90622557773168</v>
      </c>
      <c r="AC38" s="1">
        <v>14.884136908162242</v>
      </c>
      <c r="AD38" s="1">
        <v>131.34185362712159</v>
      </c>
      <c r="AE38" s="1">
        <v>111.76167964597623</v>
      </c>
      <c r="AF38" s="1">
        <v>1520.7731248431908</v>
      </c>
      <c r="AG38" s="1">
        <v>446.39013783834639</v>
      </c>
      <c r="AH38" s="1">
        <v>4091.6064655687005</v>
      </c>
      <c r="AI38" s="1">
        <v>1197.2591583181872</v>
      </c>
      <c r="AJ38" s="1">
        <v>1910.3767460556035</v>
      </c>
      <c r="AK38" s="1">
        <v>79868.010031555139</v>
      </c>
      <c r="AL38" s="1">
        <v>3078.2141518081603</v>
      </c>
      <c r="AM38" s="1">
        <v>0</v>
      </c>
      <c r="AN38" s="15">
        <f t="shared" si="0"/>
        <v>105922.54789372155</v>
      </c>
      <c r="AO38" s="2">
        <v>361946.37560266157</v>
      </c>
      <c r="AP38" s="2">
        <v>6232.2347206784389</v>
      </c>
      <c r="AQ38" s="2">
        <v>0</v>
      </c>
      <c r="AR38" s="2">
        <v>0</v>
      </c>
      <c r="AS38" s="2">
        <v>0</v>
      </c>
      <c r="AT38" s="1">
        <f t="shared" si="1"/>
        <v>368178.61032333999</v>
      </c>
      <c r="AU38" s="15">
        <f t="shared" si="2"/>
        <v>474101.15821706154</v>
      </c>
      <c r="AV38">
        <v>0</v>
      </c>
      <c r="AW38">
        <v>0</v>
      </c>
      <c r="AX38" s="2">
        <v>474101.15516231389</v>
      </c>
      <c r="AY38" s="15">
        <f t="shared" si="3"/>
        <v>474101.15516231389</v>
      </c>
    </row>
    <row r="39" spans="1:51" x14ac:dyDescent="0.25">
      <c r="A39" s="14">
        <v>36</v>
      </c>
      <c r="B39" t="s">
        <v>35</v>
      </c>
      <c r="C39" s="1">
        <v>1259.0500082915116</v>
      </c>
      <c r="D39" s="1">
        <v>4990.4101453756721</v>
      </c>
      <c r="E39" s="1">
        <v>217049.87352295424</v>
      </c>
      <c r="F39" s="1">
        <v>8880.1869379926175</v>
      </c>
      <c r="G39" s="1">
        <v>1117.7783487946328</v>
      </c>
      <c r="H39" s="1">
        <v>6052.3939754696266</v>
      </c>
      <c r="I39" s="1">
        <v>17102.783718192721</v>
      </c>
      <c r="J39" s="1">
        <v>1294.8107093012422</v>
      </c>
      <c r="K39" s="1">
        <v>404.61492457708454</v>
      </c>
      <c r="L39" s="1">
        <v>5077.2535929901524</v>
      </c>
      <c r="M39" s="1">
        <v>123153.61581883609</v>
      </c>
      <c r="N39" s="1">
        <v>25645.037406500061</v>
      </c>
      <c r="O39" s="1">
        <v>12998.690765412834</v>
      </c>
      <c r="P39" s="1">
        <v>603.98947251967081</v>
      </c>
      <c r="Q39" s="1">
        <v>56648.654712882562</v>
      </c>
      <c r="R39" s="1">
        <v>9022.9971357044269</v>
      </c>
      <c r="S39" s="1">
        <v>10509.414515910905</v>
      </c>
      <c r="T39" s="1">
        <v>3785.2552927930401</v>
      </c>
      <c r="U39" s="1">
        <v>0</v>
      </c>
      <c r="V39" s="1">
        <v>15064.026142334893</v>
      </c>
      <c r="W39" s="1">
        <v>359.2875260223754</v>
      </c>
      <c r="X39" s="1">
        <v>4397.8736376400866</v>
      </c>
      <c r="Y39" s="1">
        <v>38423.12722341709</v>
      </c>
      <c r="Z39" s="1">
        <v>41924.872047544777</v>
      </c>
      <c r="AA39" s="1">
        <v>5198.4912255270156</v>
      </c>
      <c r="AB39" s="1">
        <v>143548.87188578589</v>
      </c>
      <c r="AC39" s="1">
        <v>25156.686199123626</v>
      </c>
      <c r="AD39" s="1">
        <v>1350.4360501573524</v>
      </c>
      <c r="AE39" s="1">
        <v>12815.941695138883</v>
      </c>
      <c r="AF39" s="1">
        <v>16680.624634021726</v>
      </c>
      <c r="AG39" s="1">
        <v>54589.224224486716</v>
      </c>
      <c r="AH39" s="1">
        <v>77852.735781719006</v>
      </c>
      <c r="AI39" s="1">
        <v>384.86377655471097</v>
      </c>
      <c r="AJ39" s="1">
        <v>16208.720721558671</v>
      </c>
      <c r="AK39" s="1">
        <v>2954.4850895119921</v>
      </c>
      <c r="AL39" s="1">
        <v>22936.373965375158</v>
      </c>
      <c r="AM39" s="1">
        <v>0</v>
      </c>
      <c r="AN39" s="15">
        <f t="shared" si="0"/>
        <v>985443.45283041894</v>
      </c>
      <c r="AO39" s="2">
        <v>3244617.9378847661</v>
      </c>
      <c r="AP39" s="2">
        <v>59531.517160199786</v>
      </c>
      <c r="AQ39" s="2">
        <v>0</v>
      </c>
      <c r="AR39" s="2">
        <v>0</v>
      </c>
      <c r="AS39" s="2">
        <v>0</v>
      </c>
      <c r="AT39" s="1">
        <f t="shared" si="1"/>
        <v>3304149.4550449657</v>
      </c>
      <c r="AU39" s="15">
        <f t="shared" si="2"/>
        <v>4289592.9078753851</v>
      </c>
      <c r="AV39">
        <v>0</v>
      </c>
      <c r="AW39">
        <v>0</v>
      </c>
      <c r="AX39" s="2">
        <v>4289592.9113384383</v>
      </c>
      <c r="AY39" s="15">
        <f t="shared" si="3"/>
        <v>4289592.9113384383</v>
      </c>
    </row>
    <row r="40" spans="1:51" x14ac:dyDescent="0.25">
      <c r="A40" s="14">
        <v>37</v>
      </c>
      <c r="B40" t="s">
        <v>36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5">
        <f t="shared" si="0"/>
        <v>0</v>
      </c>
      <c r="AO40" s="2">
        <v>0</v>
      </c>
      <c r="AP40" s="2">
        <v>0</v>
      </c>
      <c r="AQ40" s="2">
        <v>0</v>
      </c>
      <c r="AR40" s="2">
        <v>0</v>
      </c>
      <c r="AS40" s="2">
        <v>0</v>
      </c>
      <c r="AT40" s="1">
        <f t="shared" si="1"/>
        <v>0</v>
      </c>
      <c r="AU40" s="15">
        <f t="shared" si="2"/>
        <v>0</v>
      </c>
      <c r="AV40">
        <v>0</v>
      </c>
      <c r="AW40">
        <v>0</v>
      </c>
      <c r="AX40" s="2">
        <v>0</v>
      </c>
      <c r="AY40" s="15">
        <f t="shared" si="3"/>
        <v>0</v>
      </c>
    </row>
    <row r="41" spans="1:51" x14ac:dyDescent="0.25">
      <c r="A41" s="14">
        <v>190</v>
      </c>
      <c r="B41" s="13" t="s">
        <v>37</v>
      </c>
      <c r="C41" s="15">
        <f>SUM(C4:C40)</f>
        <v>196502.88000028618</v>
      </c>
      <c r="D41" s="15">
        <f t="shared" ref="D41:AY41" si="4">SUM(D4:D40)</f>
        <v>189653.84871217556</v>
      </c>
      <c r="E41" s="15">
        <f t="shared" si="4"/>
        <v>2435417.4028559537</v>
      </c>
      <c r="F41" s="15">
        <f t="shared" si="4"/>
        <v>359714.00450874591</v>
      </c>
      <c r="G41" s="15">
        <f t="shared" si="4"/>
        <v>349034.49661481805</v>
      </c>
      <c r="H41" s="15">
        <f t="shared" si="4"/>
        <v>997422.95111302275</v>
      </c>
      <c r="I41" s="15">
        <f t="shared" si="4"/>
        <v>88470.599851057254</v>
      </c>
      <c r="J41" s="15">
        <f t="shared" si="4"/>
        <v>684863.63383255631</v>
      </c>
      <c r="K41" s="15">
        <f t="shared" si="4"/>
        <v>5265354.5999017367</v>
      </c>
      <c r="L41" s="15">
        <f t="shared" si="4"/>
        <v>26699009.687485177</v>
      </c>
      <c r="M41" s="15">
        <f t="shared" si="4"/>
        <v>1280076.5003407537</v>
      </c>
      <c r="N41" s="15">
        <f t="shared" si="4"/>
        <v>7181108.5454605222</v>
      </c>
      <c r="O41" s="15">
        <f t="shared" si="4"/>
        <v>17161528.293173645</v>
      </c>
      <c r="P41" s="15">
        <f t="shared" si="4"/>
        <v>66589.036180388866</v>
      </c>
      <c r="Q41" s="15">
        <f t="shared" si="4"/>
        <v>8812088.3066260237</v>
      </c>
      <c r="R41" s="15">
        <f t="shared" si="4"/>
        <v>2946593.0565040186</v>
      </c>
      <c r="S41" s="15">
        <f t="shared" si="4"/>
        <v>3804234.149513395</v>
      </c>
      <c r="T41" s="15">
        <f t="shared" si="4"/>
        <v>384540.23856370529</v>
      </c>
      <c r="U41" s="15">
        <f t="shared" si="4"/>
        <v>0</v>
      </c>
      <c r="V41" s="15">
        <f t="shared" si="4"/>
        <v>727860.68143696606</v>
      </c>
      <c r="W41" s="15">
        <f t="shared" si="4"/>
        <v>169189.48233872408</v>
      </c>
      <c r="X41" s="15">
        <f t="shared" si="4"/>
        <v>234662.98801047684</v>
      </c>
      <c r="Y41" s="15">
        <f t="shared" si="4"/>
        <v>19448541.496590994</v>
      </c>
      <c r="Z41" s="15">
        <f t="shared" si="4"/>
        <v>4916870.1711006239</v>
      </c>
      <c r="AA41" s="15">
        <f t="shared" si="4"/>
        <v>1458438.4909597491</v>
      </c>
      <c r="AB41" s="15">
        <f t="shared" si="4"/>
        <v>1285029.9618658223</v>
      </c>
      <c r="AC41" s="15">
        <f t="shared" si="4"/>
        <v>3163103.9512346289</v>
      </c>
      <c r="AD41" s="15">
        <f t="shared" si="4"/>
        <v>1634162.1319752068</v>
      </c>
      <c r="AE41" s="15">
        <f t="shared" si="4"/>
        <v>1503353.052529512</v>
      </c>
      <c r="AF41" s="15">
        <f t="shared" si="4"/>
        <v>898186.43921509443</v>
      </c>
      <c r="AG41" s="15">
        <f t="shared" si="4"/>
        <v>1036851.736023001</v>
      </c>
      <c r="AH41" s="15">
        <f t="shared" si="4"/>
        <v>885587.01571687928</v>
      </c>
      <c r="AI41" s="15">
        <f t="shared" si="4"/>
        <v>920649.55630692304</v>
      </c>
      <c r="AJ41" s="15">
        <f t="shared" si="4"/>
        <v>460531.99792076263</v>
      </c>
      <c r="AK41" s="15">
        <f t="shared" si="4"/>
        <v>190813.51617977052</v>
      </c>
      <c r="AL41" s="15">
        <f t="shared" si="4"/>
        <v>618733.02166076156</v>
      </c>
      <c r="AM41" s="15">
        <f t="shared" si="4"/>
        <v>0</v>
      </c>
      <c r="AN41" s="15">
        <f t="shared" si="4"/>
        <v>118454767.92230389</v>
      </c>
      <c r="AO41" s="15">
        <f t="shared" si="4"/>
        <v>55131598.753916197</v>
      </c>
      <c r="AP41" s="15">
        <f t="shared" si="4"/>
        <v>12340408.160688939</v>
      </c>
      <c r="AQ41" s="15">
        <f t="shared" si="4"/>
        <v>86276852.244233415</v>
      </c>
      <c r="AR41" s="15">
        <f t="shared" si="4"/>
        <v>5293220.7631030446</v>
      </c>
      <c r="AS41" s="15">
        <f t="shared" si="4"/>
        <v>391190245.13637316</v>
      </c>
      <c r="AT41" s="15">
        <f t="shared" si="4"/>
        <v>550232325.0583148</v>
      </c>
      <c r="AU41" s="15">
        <f t="shared" si="4"/>
        <v>668687092.98061872</v>
      </c>
      <c r="AV41" s="15">
        <f t="shared" si="4"/>
        <v>0</v>
      </c>
      <c r="AW41" s="15">
        <f t="shared" si="4"/>
        <v>0</v>
      </c>
      <c r="AX41" s="15">
        <f t="shared" si="4"/>
        <v>668687093.00629902</v>
      </c>
      <c r="AY41" s="15">
        <f t="shared" si="4"/>
        <v>668687093.00629902</v>
      </c>
    </row>
    <row r="42" spans="1:51" x14ac:dyDescent="0.25">
      <c r="A42" s="14">
        <v>200</v>
      </c>
      <c r="B42" t="s">
        <v>38</v>
      </c>
      <c r="C42" s="1">
        <v>116529.10008398614</v>
      </c>
      <c r="D42" s="1">
        <v>138516.09104974917</v>
      </c>
      <c r="E42" s="1">
        <v>749184.15405959578</v>
      </c>
      <c r="F42" s="1">
        <v>193236.66370536498</v>
      </c>
      <c r="G42" s="1">
        <v>489514.63573137752</v>
      </c>
      <c r="H42" s="1">
        <v>433628.42931731226</v>
      </c>
      <c r="I42" s="1">
        <v>11274.145400750931</v>
      </c>
      <c r="J42" s="1">
        <v>321744.16684139153</v>
      </c>
      <c r="K42" s="1">
        <v>10267087.865144171</v>
      </c>
      <c r="L42" s="1">
        <v>14020215.392202765</v>
      </c>
      <c r="M42" s="1">
        <v>1016313.4578276228</v>
      </c>
      <c r="N42" s="1">
        <v>38923954.585496448</v>
      </c>
      <c r="O42" s="1">
        <v>3290072.6068779887</v>
      </c>
      <c r="P42" s="1">
        <v>73072.957441116203</v>
      </c>
      <c r="Q42" s="1">
        <v>5057290.9111816967</v>
      </c>
      <c r="R42" s="1">
        <v>1195214.4398961461</v>
      </c>
      <c r="S42" s="1">
        <v>8435227.5416572746</v>
      </c>
      <c r="T42" s="1">
        <v>192235.77483112077</v>
      </c>
      <c r="U42" s="1">
        <v>0</v>
      </c>
      <c r="V42" s="1">
        <v>715252.42358359462</v>
      </c>
      <c r="W42" s="1">
        <v>57483.169558896116</v>
      </c>
      <c r="X42" s="1">
        <v>107370.12645002216</v>
      </c>
      <c r="Y42" s="1">
        <v>34670170.148932688</v>
      </c>
      <c r="Z42" s="1">
        <v>3017054.7222583233</v>
      </c>
      <c r="AA42" s="1">
        <v>707696.80680386943</v>
      </c>
      <c r="AB42" s="1">
        <v>1127401.0932622296</v>
      </c>
      <c r="AC42" s="1">
        <v>1991873.0413010283</v>
      </c>
      <c r="AD42" s="1">
        <v>1092626.8528506919</v>
      </c>
      <c r="AE42" s="1">
        <v>577094.26842648699</v>
      </c>
      <c r="AF42" s="1">
        <v>428433.01395708468</v>
      </c>
      <c r="AG42" s="1">
        <v>357205.63319534279</v>
      </c>
      <c r="AH42" s="1">
        <v>500630.32180459332</v>
      </c>
      <c r="AI42" s="1">
        <v>0</v>
      </c>
      <c r="AJ42" s="1">
        <v>318455.11746865045</v>
      </c>
      <c r="AK42" s="1">
        <v>110174.22210045959</v>
      </c>
      <c r="AL42" s="1">
        <v>1316737.203295168</v>
      </c>
      <c r="AM42" s="1">
        <v>0</v>
      </c>
      <c r="AN42" s="15">
        <f t="shared" si="0"/>
        <v>132019971.08399503</v>
      </c>
      <c r="AO42" s="1">
        <v>15002595.146083791</v>
      </c>
      <c r="AP42" s="1">
        <v>1368211.2504217112</v>
      </c>
      <c r="AQ42" s="1">
        <v>22109995.051537074</v>
      </c>
      <c r="AR42" s="1">
        <v>1030447.1582676619</v>
      </c>
      <c r="AS42" s="1">
        <v>0</v>
      </c>
      <c r="AT42" s="1">
        <f t="shared" ref="AT42" si="5">SUM(AO42:AS42)</f>
        <v>39511248.606310233</v>
      </c>
      <c r="AU42" s="15">
        <f t="shared" ref="AU42" si="6">+AT42+AN42</f>
        <v>171531219.69030526</v>
      </c>
      <c r="AV42" s="1">
        <v>171531219.69030526</v>
      </c>
      <c r="AW42">
        <v>0</v>
      </c>
      <c r="AX42" s="6"/>
      <c r="AY42" s="15">
        <f t="shared" si="3"/>
        <v>171531219.69030526</v>
      </c>
    </row>
    <row r="43" spans="1:51" x14ac:dyDescent="0.25">
      <c r="A43" s="14">
        <v>201</v>
      </c>
      <c r="B43" t="s">
        <v>39</v>
      </c>
      <c r="C43" s="1">
        <v>187621.7256265326</v>
      </c>
      <c r="D43" s="1">
        <v>440213.08193613641</v>
      </c>
      <c r="E43" s="1">
        <v>2347960.670812475</v>
      </c>
      <c r="F43" s="1">
        <v>506521.2951116435</v>
      </c>
      <c r="G43" s="1">
        <v>497897.00769666326</v>
      </c>
      <c r="H43" s="1">
        <v>1474293.7457757816</v>
      </c>
      <c r="I43" s="1">
        <v>172814.14001004567</v>
      </c>
      <c r="J43" s="1">
        <v>1200220.0728337162</v>
      </c>
      <c r="K43" s="1">
        <v>11425819.524093606</v>
      </c>
      <c r="L43" s="1">
        <v>27626803.606493339</v>
      </c>
      <c r="M43" s="1">
        <v>2610655.8460452552</v>
      </c>
      <c r="N43" s="1">
        <v>19689133.887841638</v>
      </c>
      <c r="O43" s="1">
        <v>1667964.7386060848</v>
      </c>
      <c r="P43" s="1">
        <v>25403.633572361508</v>
      </c>
      <c r="Q43" s="1">
        <v>1763464.7473116647</v>
      </c>
      <c r="R43" s="1">
        <v>753964.68463233078</v>
      </c>
      <c r="S43" s="1">
        <v>2085612.0138955205</v>
      </c>
      <c r="T43" s="1">
        <v>113935.39895843057</v>
      </c>
      <c r="U43" s="1">
        <v>0</v>
      </c>
      <c r="V43" s="1">
        <v>201384.38508350644</v>
      </c>
      <c r="W43" s="1">
        <v>58294.906755997225</v>
      </c>
      <c r="X43" s="1">
        <v>69681.456468270335</v>
      </c>
      <c r="Y43" s="1">
        <v>10762833.029888257</v>
      </c>
      <c r="Z43" s="1">
        <v>5592244.1480105501</v>
      </c>
      <c r="AA43" s="1">
        <v>994041.19634096476</v>
      </c>
      <c r="AB43" s="1">
        <v>831167.50989386544</v>
      </c>
      <c r="AC43" s="1">
        <v>1174381.3899282508</v>
      </c>
      <c r="AD43" s="1">
        <v>1086635.1216470068</v>
      </c>
      <c r="AE43" s="1">
        <v>1403164.4885547061</v>
      </c>
      <c r="AF43" s="1">
        <v>869692.68501070049</v>
      </c>
      <c r="AG43" s="1">
        <v>1122478.3947660052</v>
      </c>
      <c r="AH43" s="1">
        <v>730382.08330498415</v>
      </c>
      <c r="AI43" s="1">
        <v>8641112.7285901085</v>
      </c>
      <c r="AJ43" s="1">
        <v>509597.20444404805</v>
      </c>
      <c r="AK43" s="1">
        <v>63567.737593567785</v>
      </c>
      <c r="AL43" s="1">
        <v>974732.84075081674</v>
      </c>
      <c r="AM43" s="1">
        <v>0</v>
      </c>
      <c r="AN43" s="15">
        <f t="shared" si="0"/>
        <v>109675691.12828481</v>
      </c>
    </row>
    <row r="44" spans="1:51" x14ac:dyDescent="0.25">
      <c r="A44" s="14">
        <v>202</v>
      </c>
      <c r="B44" t="s">
        <v>40</v>
      </c>
      <c r="C44" s="1">
        <v>902917.78437230876</v>
      </c>
      <c r="D44" s="1">
        <v>1913425.9387762342</v>
      </c>
      <c r="E44" s="1">
        <v>4165812.9202045742</v>
      </c>
      <c r="F44" s="1">
        <v>1021877.5697439626</v>
      </c>
      <c r="G44" s="1">
        <v>852639.2499257772</v>
      </c>
      <c r="H44" s="1">
        <v>4853989.4833454974</v>
      </c>
      <c r="I44" s="1">
        <v>585392.38742005045</v>
      </c>
      <c r="J44" s="1">
        <v>4638477.4510769621</v>
      </c>
      <c r="K44" s="1">
        <v>53781181.372067526</v>
      </c>
      <c r="L44" s="1">
        <v>78780327.526029468</v>
      </c>
      <c r="M44" s="1">
        <v>7918963.5901167439</v>
      </c>
      <c r="N44" s="1">
        <v>60117937.278429881</v>
      </c>
      <c r="O44" s="1">
        <v>3937706.63315051</v>
      </c>
      <c r="P44" s="1">
        <v>43781.678508510216</v>
      </c>
      <c r="Q44" s="1">
        <v>3050601.9771983386</v>
      </c>
      <c r="R44" s="1">
        <v>1342907.842349526</v>
      </c>
      <c r="S44" s="1">
        <v>10768247.869539911</v>
      </c>
      <c r="T44" s="1">
        <v>209548.19154730154</v>
      </c>
      <c r="U44" s="1">
        <v>0</v>
      </c>
      <c r="V44" s="1">
        <v>416983.62076467223</v>
      </c>
      <c r="W44" s="1">
        <v>82335.33189864835</v>
      </c>
      <c r="X44" s="1">
        <v>458972.01846902462</v>
      </c>
      <c r="Y44" s="1">
        <v>14567101.913767399</v>
      </c>
      <c r="Z44" s="1">
        <v>12094210.460708583</v>
      </c>
      <c r="AA44" s="1">
        <v>1376553.763378432</v>
      </c>
      <c r="AB44" s="1">
        <v>517417.91310424707</v>
      </c>
      <c r="AC44" s="1">
        <v>957631.13353604847</v>
      </c>
      <c r="AD44" s="1">
        <v>490509.48600946675</v>
      </c>
      <c r="AE44" s="1">
        <v>1251340.6177448079</v>
      </c>
      <c r="AF44" s="1">
        <v>2668031.612392426</v>
      </c>
      <c r="AG44" s="1">
        <v>3606501.0828952235</v>
      </c>
      <c r="AH44" s="1">
        <v>2560333.8629007018</v>
      </c>
      <c r="AI44" s="1">
        <v>0</v>
      </c>
      <c r="AJ44" s="1">
        <v>222379.84712858341</v>
      </c>
      <c r="AK44" s="1">
        <v>84303.631206915088</v>
      </c>
      <c r="AL44" s="1">
        <v>1097156.3308721648</v>
      </c>
      <c r="AM44" s="1">
        <v>0</v>
      </c>
      <c r="AN44" s="15">
        <f t="shared" si="0"/>
        <v>281337499.37058043</v>
      </c>
      <c r="AO44" s="1"/>
      <c r="AP44" s="1"/>
      <c r="AQ44" s="1"/>
      <c r="AR44" s="1"/>
      <c r="AS44" s="1"/>
    </row>
    <row r="45" spans="1:51" x14ac:dyDescent="0.25">
      <c r="A45" s="14">
        <v>203</v>
      </c>
      <c r="B45" t="s">
        <v>41</v>
      </c>
      <c r="C45" s="1">
        <v>31942.871874720546</v>
      </c>
      <c r="D45" s="1">
        <v>15942.888353796647</v>
      </c>
      <c r="E45" s="1">
        <v>325020.64475003991</v>
      </c>
      <c r="F45" s="1">
        <v>51160.093979182282</v>
      </c>
      <c r="G45" s="1">
        <v>37493.337525444833</v>
      </c>
      <c r="H45" s="1">
        <v>406703.99174701533</v>
      </c>
      <c r="I45" s="1">
        <v>21295.520759954794</v>
      </c>
      <c r="J45" s="1">
        <v>245045.31305688375</v>
      </c>
      <c r="K45" s="1">
        <v>4045645.9969826858</v>
      </c>
      <c r="L45" s="1">
        <v>6680052.527100713</v>
      </c>
      <c r="M45" s="1">
        <v>845166.32346381189</v>
      </c>
      <c r="N45" s="1">
        <v>5407530.1427641306</v>
      </c>
      <c r="O45" s="1">
        <v>851649.47326748364</v>
      </c>
      <c r="P45" s="1">
        <v>7526.0843698081972</v>
      </c>
      <c r="Q45" s="1">
        <v>614138.9183468963</v>
      </c>
      <c r="R45" s="1">
        <v>213729.29876334712</v>
      </c>
      <c r="S45" s="1">
        <v>652719.49766332179</v>
      </c>
      <c r="T45" s="1">
        <v>45975.232551114146</v>
      </c>
      <c r="U45" s="1">
        <v>0</v>
      </c>
      <c r="V45" s="1">
        <v>73087.642624419968</v>
      </c>
      <c r="W45" s="1">
        <v>7221.2104415394151</v>
      </c>
      <c r="X45" s="1">
        <v>42365.831329792665</v>
      </c>
      <c r="Y45" s="1">
        <v>3306201.5450867871</v>
      </c>
      <c r="Z45" s="1">
        <v>1825239.2098802801</v>
      </c>
      <c r="AA45" s="1">
        <v>288407.05372276832</v>
      </c>
      <c r="AB45" s="1">
        <v>306969.52301332279</v>
      </c>
      <c r="AC45" s="1">
        <v>664668.67783645878</v>
      </c>
      <c r="AD45" s="1">
        <v>526186.69931599963</v>
      </c>
      <c r="AE45" s="1">
        <v>753831.50931243773</v>
      </c>
      <c r="AF45" s="1">
        <v>1023749.970534548</v>
      </c>
      <c r="AG45" s="1">
        <v>160151.34107842203</v>
      </c>
      <c r="AH45" s="1">
        <v>354899.70302245184</v>
      </c>
      <c r="AI45" s="1">
        <v>2419154.2714098915</v>
      </c>
      <c r="AJ45" s="1">
        <v>74522.329669497602</v>
      </c>
      <c r="AK45" s="1">
        <v>19812.082375314603</v>
      </c>
      <c r="AL45" s="1">
        <v>161598.20026278391</v>
      </c>
      <c r="AM45" s="1">
        <v>0</v>
      </c>
      <c r="AN45" s="15">
        <f t="shared" si="0"/>
        <v>32506804.958237071</v>
      </c>
    </row>
    <row r="46" spans="1:51" x14ac:dyDescent="0.25">
      <c r="A46" s="14">
        <v>204</v>
      </c>
      <c r="B46" t="s">
        <v>42</v>
      </c>
      <c r="C46" s="1">
        <v>18299.158003544781</v>
      </c>
      <c r="D46" s="1">
        <v>27302.551056726061</v>
      </c>
      <c r="E46" s="1">
        <v>129654.00830577115</v>
      </c>
      <c r="F46" s="1">
        <v>31073.797092350524</v>
      </c>
      <c r="G46" s="1">
        <v>19030.40485211456</v>
      </c>
      <c r="H46" s="1">
        <v>183568.6807269516</v>
      </c>
      <c r="I46" s="1">
        <v>9537.050214702982</v>
      </c>
      <c r="J46" s="1">
        <v>87988.163032438766</v>
      </c>
      <c r="K46" s="1">
        <v>2962288.1068561794</v>
      </c>
      <c r="L46" s="1">
        <v>4570585.3403764954</v>
      </c>
      <c r="M46" s="1">
        <v>415796.24037418852</v>
      </c>
      <c r="N46" s="1">
        <v>728419.15009192412</v>
      </c>
      <c r="O46" s="1">
        <v>830925.15497592196</v>
      </c>
      <c r="P46" s="1">
        <v>1171.603549320085</v>
      </c>
      <c r="Q46" s="1">
        <v>186669.35714310073</v>
      </c>
      <c r="R46" s="1">
        <v>113954.17425479621</v>
      </c>
      <c r="S46" s="1">
        <v>568175.46788621554</v>
      </c>
      <c r="T46" s="1">
        <v>24341.17694315375</v>
      </c>
      <c r="U46" s="1">
        <v>0</v>
      </c>
      <c r="V46" s="1">
        <v>21361.351527401326</v>
      </c>
      <c r="W46" s="1">
        <v>6183.5509038149958</v>
      </c>
      <c r="X46" s="1">
        <v>2710.3028383479063</v>
      </c>
      <c r="Y46" s="1">
        <v>976208.51125755697</v>
      </c>
      <c r="Z46" s="1">
        <v>1019115.1814005816</v>
      </c>
      <c r="AA46" s="1">
        <v>105981.98655783449</v>
      </c>
      <c r="AB46" s="1">
        <v>118378.05398856435</v>
      </c>
      <c r="AC46" s="1">
        <v>125539.79869924182</v>
      </c>
      <c r="AD46" s="1">
        <v>205105.69302752716</v>
      </c>
      <c r="AE46" s="1">
        <v>167019.384388048</v>
      </c>
      <c r="AF46" s="1">
        <v>55462.732062325093</v>
      </c>
      <c r="AG46" s="1">
        <v>41172.181260349142</v>
      </c>
      <c r="AH46" s="1">
        <v>228747.35077186176</v>
      </c>
      <c r="AI46" s="1">
        <v>0</v>
      </c>
      <c r="AJ46" s="1">
        <v>17644.515493278228</v>
      </c>
      <c r="AK46" s="1">
        <v>5429.9657062863234</v>
      </c>
      <c r="AL46" s="1">
        <v>120635.31449674323</v>
      </c>
      <c r="AM46" s="1">
        <v>0</v>
      </c>
      <c r="AN46" s="15">
        <f t="shared" si="0"/>
        <v>14125475.460115658</v>
      </c>
    </row>
    <row r="47" spans="1:51" x14ac:dyDescent="0.25">
      <c r="A47" s="14">
        <v>205</v>
      </c>
      <c r="B47" t="s">
        <v>43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-12901216.459127575</v>
      </c>
      <c r="O47" s="1">
        <v>0</v>
      </c>
      <c r="P47" s="1">
        <v>0</v>
      </c>
      <c r="Q47" s="1">
        <v>0</v>
      </c>
      <c r="R47" s="1">
        <v>0</v>
      </c>
      <c r="S47" s="1">
        <v>-6252408.8489849707</v>
      </c>
      <c r="T47" s="1">
        <v>0</v>
      </c>
      <c r="U47" s="1">
        <v>0</v>
      </c>
      <c r="V47" s="1">
        <v>0</v>
      </c>
      <c r="W47" s="1">
        <v>0</v>
      </c>
      <c r="X47" s="1">
        <v>-279491.60910543549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5">
        <f t="shared" si="0"/>
        <v>-19433116.917217981</v>
      </c>
    </row>
    <row r="48" spans="1:51" x14ac:dyDescent="0.25">
      <c r="A48" s="14">
        <v>209</v>
      </c>
      <c r="B48" s="17" t="s">
        <v>44</v>
      </c>
      <c r="C48" s="1">
        <f>SUM(C43:C47)</f>
        <v>1140781.5398771067</v>
      </c>
      <c r="D48" s="1">
        <f t="shared" ref="D48:AN48" si="7">SUM(D43:D47)</f>
        <v>2396884.4601228931</v>
      </c>
      <c r="E48" s="1">
        <f t="shared" si="7"/>
        <v>6968448.2440728601</v>
      </c>
      <c r="F48" s="1">
        <f t="shared" si="7"/>
        <v>1610632.7559271387</v>
      </c>
      <c r="G48" s="1">
        <f t="shared" si="7"/>
        <v>1407059.9999999998</v>
      </c>
      <c r="H48" s="1">
        <f t="shared" si="7"/>
        <v>6918555.901595246</v>
      </c>
      <c r="I48" s="1">
        <f t="shared" si="7"/>
        <v>789039.09840475395</v>
      </c>
      <c r="J48" s="1">
        <f t="shared" si="7"/>
        <v>6171731</v>
      </c>
      <c r="K48" s="1">
        <f t="shared" si="7"/>
        <v>72214935</v>
      </c>
      <c r="L48" s="1">
        <f t="shared" si="7"/>
        <v>117657769.00000001</v>
      </c>
      <c r="M48" s="1">
        <f t="shared" si="7"/>
        <v>11790582</v>
      </c>
      <c r="N48" s="1">
        <f t="shared" si="7"/>
        <v>73041804.000000015</v>
      </c>
      <c r="O48" s="1">
        <f t="shared" si="7"/>
        <v>7288246</v>
      </c>
      <c r="P48" s="1">
        <f t="shared" si="7"/>
        <v>77883.000000000015</v>
      </c>
      <c r="Q48" s="1">
        <f t="shared" si="7"/>
        <v>5614875</v>
      </c>
      <c r="R48" s="1">
        <f t="shared" si="7"/>
        <v>2424556</v>
      </c>
      <c r="S48" s="1">
        <f t="shared" si="7"/>
        <v>7822345.9999999972</v>
      </c>
      <c r="T48" s="1">
        <f t="shared" si="7"/>
        <v>393800</v>
      </c>
      <c r="U48" s="1">
        <f t="shared" si="7"/>
        <v>0</v>
      </c>
      <c r="V48" s="1">
        <f t="shared" si="7"/>
        <v>712817</v>
      </c>
      <c r="W48" s="1">
        <f t="shared" si="7"/>
        <v>154034.99999999997</v>
      </c>
      <c r="X48" s="1">
        <f t="shared" si="7"/>
        <v>294237.99999999994</v>
      </c>
      <c r="Y48" s="1">
        <f t="shared" si="7"/>
        <v>29612344.999999996</v>
      </c>
      <c r="Z48" s="1">
        <f t="shared" si="7"/>
        <v>20530808.999999996</v>
      </c>
      <c r="AA48" s="1">
        <f t="shared" si="7"/>
        <v>2764983.9999999995</v>
      </c>
      <c r="AB48" s="1">
        <f t="shared" si="7"/>
        <v>1773932.9999999998</v>
      </c>
      <c r="AC48" s="1">
        <f t="shared" si="7"/>
        <v>2922220.9999999995</v>
      </c>
      <c r="AD48" s="1">
        <f t="shared" si="7"/>
        <v>2308437</v>
      </c>
      <c r="AE48" s="1">
        <f t="shared" si="7"/>
        <v>3575356</v>
      </c>
      <c r="AF48" s="1">
        <f t="shared" si="7"/>
        <v>4616936.9999999991</v>
      </c>
      <c r="AG48" s="1">
        <f t="shared" si="7"/>
        <v>4930303</v>
      </c>
      <c r="AH48" s="1">
        <f t="shared" si="7"/>
        <v>3874362.9999999995</v>
      </c>
      <c r="AI48" s="1">
        <f t="shared" si="7"/>
        <v>11060267</v>
      </c>
      <c r="AJ48" s="1">
        <f t="shared" si="7"/>
        <v>824143.8967354073</v>
      </c>
      <c r="AK48" s="1">
        <f t="shared" si="7"/>
        <v>173113.41688208381</v>
      </c>
      <c r="AL48" s="1">
        <f t="shared" si="7"/>
        <v>2354122.6863825084</v>
      </c>
      <c r="AM48" s="1">
        <f t="shared" si="7"/>
        <v>0</v>
      </c>
      <c r="AN48" s="15">
        <f t="shared" si="7"/>
        <v>418212354</v>
      </c>
    </row>
    <row r="49" spans="1:45" x14ac:dyDescent="0.25">
      <c r="A49" s="14">
        <v>210</v>
      </c>
      <c r="B49" s="13" t="s">
        <v>45</v>
      </c>
      <c r="C49" s="15">
        <f>+C48+C42+C41</f>
        <v>1453813.519961379</v>
      </c>
      <c r="D49" s="15">
        <f t="shared" ref="D49:AN49" si="8">+D48+D42+D41</f>
        <v>2725054.3998848177</v>
      </c>
      <c r="E49" s="15">
        <f t="shared" si="8"/>
        <v>10153049.80098841</v>
      </c>
      <c r="F49" s="15">
        <f t="shared" si="8"/>
        <v>2163583.4241412496</v>
      </c>
      <c r="G49" s="15">
        <f t="shared" si="8"/>
        <v>2245609.1323461952</v>
      </c>
      <c r="H49" s="15">
        <f t="shared" si="8"/>
        <v>8349607.2820255812</v>
      </c>
      <c r="I49" s="15">
        <f t="shared" si="8"/>
        <v>888783.84365656215</v>
      </c>
      <c r="J49" s="15">
        <f t="shared" si="8"/>
        <v>7178338.8006739477</v>
      </c>
      <c r="K49" s="15">
        <f t="shared" si="8"/>
        <v>87747377.465045899</v>
      </c>
      <c r="L49" s="15">
        <f t="shared" si="8"/>
        <v>158376994.07968795</v>
      </c>
      <c r="M49" s="15">
        <f t="shared" si="8"/>
        <v>14086971.958168376</v>
      </c>
      <c r="N49" s="15">
        <f t="shared" si="8"/>
        <v>119146867.13095698</v>
      </c>
      <c r="O49" s="15">
        <f t="shared" si="8"/>
        <v>27739846.900051631</v>
      </c>
      <c r="P49" s="15">
        <f t="shared" si="8"/>
        <v>217544.9936215051</v>
      </c>
      <c r="Q49" s="15">
        <f t="shared" si="8"/>
        <v>19484254.217807718</v>
      </c>
      <c r="R49" s="15">
        <f t="shared" si="8"/>
        <v>6566363.4964001644</v>
      </c>
      <c r="S49" s="15">
        <f t="shared" si="8"/>
        <v>20061807.691170666</v>
      </c>
      <c r="T49" s="15">
        <f t="shared" si="8"/>
        <v>970576.01339482609</v>
      </c>
      <c r="U49" s="15">
        <f t="shared" si="8"/>
        <v>0</v>
      </c>
      <c r="V49" s="15">
        <f t="shared" si="8"/>
        <v>2155930.1050205608</v>
      </c>
      <c r="W49" s="15">
        <f t="shared" si="8"/>
        <v>380707.65189762018</v>
      </c>
      <c r="X49" s="15">
        <f t="shared" si="8"/>
        <v>636271.11446049891</v>
      </c>
      <c r="Y49" s="15">
        <f t="shared" si="8"/>
        <v>83731056.645523667</v>
      </c>
      <c r="Z49" s="15">
        <f t="shared" si="8"/>
        <v>28464733.893358942</v>
      </c>
      <c r="AA49" s="15">
        <f t="shared" si="8"/>
        <v>4931119.2977636177</v>
      </c>
      <c r="AB49" s="15">
        <f t="shared" si="8"/>
        <v>4186364.0551280514</v>
      </c>
      <c r="AC49" s="15">
        <f t="shared" si="8"/>
        <v>8077197.9925356563</v>
      </c>
      <c r="AD49" s="15">
        <f t="shared" si="8"/>
        <v>5035225.9848258989</v>
      </c>
      <c r="AE49" s="15">
        <f t="shared" si="8"/>
        <v>5655803.3209559992</v>
      </c>
      <c r="AF49" s="15">
        <f t="shared" si="8"/>
        <v>5943556.4531721789</v>
      </c>
      <c r="AG49" s="15">
        <f t="shared" si="8"/>
        <v>6324360.3692183439</v>
      </c>
      <c r="AH49" s="15">
        <f t="shared" si="8"/>
        <v>5260580.337521472</v>
      </c>
      <c r="AI49" s="15">
        <f t="shared" si="8"/>
        <v>11980916.556306923</v>
      </c>
      <c r="AJ49" s="15">
        <f t="shared" si="8"/>
        <v>1603131.0121248206</v>
      </c>
      <c r="AK49" s="15">
        <f t="shared" si="8"/>
        <v>474101.15516231389</v>
      </c>
      <c r="AL49" s="15">
        <f t="shared" si="8"/>
        <v>4289592.9113384383</v>
      </c>
      <c r="AM49" s="15">
        <f t="shared" si="8"/>
        <v>0</v>
      </c>
      <c r="AN49" s="15">
        <f t="shared" si="8"/>
        <v>668687093.0062989</v>
      </c>
      <c r="AO49" s="1"/>
      <c r="AP49" s="1"/>
      <c r="AQ49" s="1"/>
      <c r="AR49" s="1"/>
      <c r="AS49" s="1"/>
    </row>
    <row r="51" spans="1:45" x14ac:dyDescent="0.25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O51" s="1"/>
      <c r="AP51" s="1"/>
      <c r="AQ51" s="1"/>
      <c r="AR51" s="1"/>
      <c r="AS51" s="1"/>
    </row>
    <row r="52" spans="1:45" x14ac:dyDescent="0.25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</row>
    <row r="53" spans="1:45" x14ac:dyDescent="0.25">
      <c r="AO53" s="1"/>
      <c r="AP53" s="1"/>
      <c r="AQ53" s="1"/>
      <c r="AR53" s="1"/>
      <c r="AS53" s="1"/>
    </row>
    <row r="55" spans="1:45" x14ac:dyDescent="0.25">
      <c r="AN55" s="5"/>
      <c r="AO55" s="5"/>
    </row>
    <row r="56" spans="1:45" x14ac:dyDescent="0.25">
      <c r="AN5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zoomScale="150" zoomScaleNormal="15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1" sqref="H1:N1"/>
    </sheetView>
  </sheetViews>
  <sheetFormatPr defaultRowHeight="12.75" x14ac:dyDescent="0.2"/>
  <cols>
    <col min="1" max="1" width="27.7109375" style="21" customWidth="1"/>
    <col min="2" max="2" width="11.42578125" style="20" customWidth="1"/>
    <col min="3" max="3" width="10" style="20" customWidth="1"/>
    <col min="4" max="4" width="9.140625" style="20"/>
    <col min="5" max="5" width="10" style="20" customWidth="1"/>
    <col min="6" max="16384" width="9.140625" style="20"/>
  </cols>
  <sheetData>
    <row r="1" spans="1:31" x14ac:dyDescent="0.2">
      <c r="C1" s="54" t="s">
        <v>159</v>
      </c>
      <c r="D1" s="53" t="s">
        <v>158</v>
      </c>
      <c r="E1" s="27" t="s">
        <v>157</v>
      </c>
      <c r="F1" s="53" t="s">
        <v>156</v>
      </c>
      <c r="G1" s="53" t="s">
        <v>155</v>
      </c>
      <c r="H1" s="53" t="s">
        <v>154</v>
      </c>
      <c r="I1" s="53" t="s">
        <v>153</v>
      </c>
      <c r="J1" s="53" t="s">
        <v>152</v>
      </c>
      <c r="K1" s="53" t="s">
        <v>151</v>
      </c>
      <c r="L1" s="53" t="s">
        <v>150</v>
      </c>
      <c r="M1" s="53" t="s">
        <v>149</v>
      </c>
      <c r="N1" s="53" t="s">
        <v>148</v>
      </c>
      <c r="O1" s="53" t="s">
        <v>147</v>
      </c>
      <c r="P1" s="53" t="s">
        <v>146</v>
      </c>
      <c r="Q1" s="53" t="s">
        <v>145</v>
      </c>
      <c r="R1" s="53" t="s">
        <v>144</v>
      </c>
      <c r="S1" s="53" t="s">
        <v>143</v>
      </c>
      <c r="T1" s="53" t="s">
        <v>142</v>
      </c>
      <c r="U1" s="53" t="s">
        <v>141</v>
      </c>
      <c r="V1" s="53" t="s">
        <v>140</v>
      </c>
      <c r="W1" s="53" t="s">
        <v>139</v>
      </c>
      <c r="X1" s="53" t="s">
        <v>138</v>
      </c>
      <c r="Y1" s="53" t="s">
        <v>137</v>
      </c>
      <c r="Z1" s="53" t="s">
        <v>136</v>
      </c>
      <c r="AA1" s="53" t="s">
        <v>135</v>
      </c>
      <c r="AB1" s="53" t="s">
        <v>134</v>
      </c>
      <c r="AC1" s="52" t="s">
        <v>133</v>
      </c>
      <c r="AD1" s="51" t="s">
        <v>132</v>
      </c>
      <c r="AE1" s="50" t="s">
        <v>131</v>
      </c>
    </row>
    <row r="2" spans="1:31" x14ac:dyDescent="0.2">
      <c r="A2" s="49" t="s">
        <v>52</v>
      </c>
      <c r="B2" s="48" t="s">
        <v>130</v>
      </c>
      <c r="C2" s="39"/>
      <c r="D2" s="47"/>
      <c r="E2" s="47"/>
      <c r="F2" s="47"/>
      <c r="G2" s="47">
        <v>3301.6496131545673</v>
      </c>
      <c r="H2" s="47">
        <v>6717.1314763231603</v>
      </c>
      <c r="I2" s="47"/>
      <c r="J2" s="47">
        <v>8335.2185521175979</v>
      </c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6">
        <v>53.348418746131266</v>
      </c>
      <c r="AD2" s="45"/>
      <c r="AE2" s="44">
        <v>18407.348060341454</v>
      </c>
    </row>
    <row r="3" spans="1:31" x14ac:dyDescent="0.2">
      <c r="A3" s="43" t="s">
        <v>53</v>
      </c>
      <c r="B3" s="42" t="s">
        <v>129</v>
      </c>
      <c r="C3" s="39">
        <v>30207.497093352678</v>
      </c>
      <c r="D3" s="41">
        <v>3.859545999724789</v>
      </c>
      <c r="E3" s="41"/>
      <c r="F3" s="41"/>
      <c r="G3" s="41">
        <v>86.270982774837904</v>
      </c>
      <c r="H3" s="41">
        <v>175.51636357212311</v>
      </c>
      <c r="I3" s="41"/>
      <c r="J3" s="41">
        <v>3367.4414061815996</v>
      </c>
      <c r="K3" s="41">
        <v>171.0582579684</v>
      </c>
      <c r="L3" s="41"/>
      <c r="M3" s="41">
        <v>18.35820941321828</v>
      </c>
      <c r="N3" s="41">
        <v>10236.18581403719</v>
      </c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0">
        <v>374.80268038440653</v>
      </c>
      <c r="AD3" s="39"/>
      <c r="AE3" s="38">
        <v>44640.990353684174</v>
      </c>
    </row>
    <row r="4" spans="1:31" x14ac:dyDescent="0.2">
      <c r="A4" s="43" t="s">
        <v>54</v>
      </c>
      <c r="B4" s="42" t="s">
        <v>128</v>
      </c>
      <c r="C4" s="39">
        <v>3744.0349560530167</v>
      </c>
      <c r="D4" s="41">
        <v>2.6679517226327474</v>
      </c>
      <c r="E4" s="41"/>
      <c r="F4" s="41"/>
      <c r="G4" s="41">
        <v>153.848664363392</v>
      </c>
      <c r="H4" s="41">
        <v>313.00162860050824</v>
      </c>
      <c r="I4" s="41"/>
      <c r="J4" s="41">
        <v>1930.6660340880001</v>
      </c>
      <c r="K4" s="41">
        <v>236.36999754719997</v>
      </c>
      <c r="L4" s="41"/>
      <c r="M4" s="41">
        <v>563.36661391680934</v>
      </c>
      <c r="N4" s="41">
        <v>2332.6495162459451</v>
      </c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0">
        <v>22.370387728302173</v>
      </c>
      <c r="AD4" s="39"/>
      <c r="AE4" s="38">
        <v>9298.9757502658067</v>
      </c>
    </row>
    <row r="5" spans="1:31" x14ac:dyDescent="0.2">
      <c r="A5" s="43" t="s">
        <v>55</v>
      </c>
      <c r="B5" s="42" t="s">
        <v>127</v>
      </c>
      <c r="C5" s="39">
        <v>5523.1120153692327</v>
      </c>
      <c r="D5" s="41">
        <v>3.935699422857982</v>
      </c>
      <c r="E5" s="41"/>
      <c r="F5" s="41"/>
      <c r="G5" s="41">
        <v>191.54684079267133</v>
      </c>
      <c r="H5" s="41">
        <v>389.69771606060453</v>
      </c>
      <c r="I5" s="41"/>
      <c r="J5" s="41">
        <v>3543.5907066154687</v>
      </c>
      <c r="K5" s="41">
        <v>231.07462596535134</v>
      </c>
      <c r="L5" s="41"/>
      <c r="M5" s="41">
        <v>48.065730643681007</v>
      </c>
      <c r="N5" s="41">
        <v>5545.5481793340978</v>
      </c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0">
        <v>15.952008368098509</v>
      </c>
      <c r="AD5" s="39"/>
      <c r="AE5" s="38">
        <v>15492.523522572064</v>
      </c>
    </row>
    <row r="6" spans="1:31" x14ac:dyDescent="0.2">
      <c r="A6" s="43" t="s">
        <v>56</v>
      </c>
      <c r="B6" s="42" t="s">
        <v>126</v>
      </c>
      <c r="C6" s="39">
        <v>2.3954943220060048</v>
      </c>
      <c r="D6" s="41">
        <v>1.7069988068942558E-3</v>
      </c>
      <c r="E6" s="41"/>
      <c r="F6" s="41"/>
      <c r="G6" s="41">
        <v>44.069783743682244</v>
      </c>
      <c r="H6" s="41">
        <v>89.658978457319506</v>
      </c>
      <c r="I6" s="41"/>
      <c r="J6" s="41">
        <v>176.6293008445312</v>
      </c>
      <c r="K6" s="41">
        <v>11.517850961448675</v>
      </c>
      <c r="L6" s="41"/>
      <c r="M6" s="41">
        <v>2.3958230792076067</v>
      </c>
      <c r="N6" s="41">
        <v>414.21375724851123</v>
      </c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0">
        <v>2.5586939333582324</v>
      </c>
      <c r="AD6" s="39"/>
      <c r="AE6" s="38">
        <v>743.44138958887163</v>
      </c>
    </row>
    <row r="7" spans="1:31" x14ac:dyDescent="0.2">
      <c r="A7" s="43" t="s">
        <v>57</v>
      </c>
      <c r="B7" s="42" t="s">
        <v>125</v>
      </c>
      <c r="C7" s="39">
        <v>7.315626606970409</v>
      </c>
      <c r="D7" s="41">
        <v>1.5826311197970828</v>
      </c>
      <c r="E7" s="41"/>
      <c r="F7" s="41"/>
      <c r="G7" s="41">
        <v>200.53936415646575</v>
      </c>
      <c r="H7" s="41">
        <v>407.99280149239934</v>
      </c>
      <c r="I7" s="41"/>
      <c r="J7" s="41">
        <v>432.19519792159309</v>
      </c>
      <c r="K7" s="41">
        <v>20.510964305426164</v>
      </c>
      <c r="L7" s="41"/>
      <c r="M7" s="41">
        <v>33.668070115745792</v>
      </c>
      <c r="N7" s="41">
        <v>1863.6970593523451</v>
      </c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0">
        <v>7.8676229733350347</v>
      </c>
      <c r="AD7" s="39"/>
      <c r="AE7" s="38">
        <v>2975.3693380440777</v>
      </c>
    </row>
    <row r="8" spans="1:31" x14ac:dyDescent="0.2">
      <c r="A8" s="43" t="s">
        <v>58</v>
      </c>
      <c r="B8" s="42" t="s">
        <v>124</v>
      </c>
      <c r="C8" s="39">
        <v>2443.1892559299581</v>
      </c>
      <c r="D8" s="41">
        <v>1.7710525220994024</v>
      </c>
      <c r="E8" s="41"/>
      <c r="F8" s="41"/>
      <c r="G8" s="41">
        <v>46.670045021096008</v>
      </c>
      <c r="H8" s="41">
        <v>94.949151225377761</v>
      </c>
      <c r="I8" s="41"/>
      <c r="J8" s="41">
        <v>608.11287048045915</v>
      </c>
      <c r="K8" s="41">
        <v>28.859601957811972</v>
      </c>
      <c r="L8" s="41"/>
      <c r="M8" s="41">
        <v>47.372082938639764</v>
      </c>
      <c r="N8" s="41">
        <v>2671.5114532858761</v>
      </c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0">
        <v>19.286720751310988</v>
      </c>
      <c r="AD8" s="39"/>
      <c r="AE8" s="38">
        <v>5961.722234112628</v>
      </c>
    </row>
    <row r="9" spans="1:31" x14ac:dyDescent="0.2">
      <c r="A9" s="43" t="s">
        <v>59</v>
      </c>
      <c r="B9" s="42" t="s">
        <v>123</v>
      </c>
      <c r="C9" s="39"/>
      <c r="D9" s="41"/>
      <c r="E9" s="41"/>
      <c r="F9" s="41"/>
      <c r="G9" s="41">
        <v>7.6347090078659869</v>
      </c>
      <c r="H9" s="41">
        <v>15.532642829505404</v>
      </c>
      <c r="I9" s="41"/>
      <c r="J9" s="41">
        <v>80.176954836000007</v>
      </c>
      <c r="K9" s="41">
        <v>2099.3433970607998</v>
      </c>
      <c r="L9" s="41"/>
      <c r="M9" s="41">
        <v>1105.1340511199999</v>
      </c>
      <c r="N9" s="41">
        <v>1439.2099209312003</v>
      </c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0">
        <v>1429.6826394833361</v>
      </c>
      <c r="AD9" s="39"/>
      <c r="AE9" s="38">
        <v>6176.7143152687077</v>
      </c>
    </row>
    <row r="10" spans="1:31" x14ac:dyDescent="0.2">
      <c r="A10" s="43" t="s">
        <v>60</v>
      </c>
      <c r="B10" s="42" t="s">
        <v>122</v>
      </c>
      <c r="C10" s="39">
        <v>2361.6413188846718</v>
      </c>
      <c r="D10" s="41">
        <v>1.6828755871449756</v>
      </c>
      <c r="E10" s="41"/>
      <c r="F10" s="41"/>
      <c r="G10" s="41">
        <v>25.492018819929701</v>
      </c>
      <c r="H10" s="41">
        <v>51.86293582702951</v>
      </c>
      <c r="I10" s="41"/>
      <c r="J10" s="41">
        <v>1536.1941758855999</v>
      </c>
      <c r="K10" s="41">
        <v>603.36671343959995</v>
      </c>
      <c r="L10" s="41"/>
      <c r="M10" s="41">
        <v>353.75165201063885</v>
      </c>
      <c r="N10" s="41">
        <v>1685.4252334017249</v>
      </c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0">
        <v>3879.3749023968048</v>
      </c>
      <c r="AD10" s="39"/>
      <c r="AE10" s="38">
        <v>10498.791826253144</v>
      </c>
    </row>
    <row r="11" spans="1:31" x14ac:dyDescent="0.2">
      <c r="A11" s="43" t="s">
        <v>61</v>
      </c>
      <c r="B11" s="42" t="s">
        <v>121</v>
      </c>
      <c r="C11" s="39">
        <v>39.279713996893207</v>
      </c>
      <c r="D11" s="41">
        <v>2.7990224945177816E-2</v>
      </c>
      <c r="E11" s="41"/>
      <c r="F11" s="41"/>
      <c r="G11" s="41">
        <v>91.625240193114095</v>
      </c>
      <c r="H11" s="41">
        <v>186.40947921145255</v>
      </c>
      <c r="I11" s="41"/>
      <c r="J11" s="41">
        <v>262.79918600640383</v>
      </c>
      <c r="K11" s="41">
        <v>12.471829278978424</v>
      </c>
      <c r="L11" s="41"/>
      <c r="M11" s="41">
        <v>241.82115722535801</v>
      </c>
      <c r="N11" s="41">
        <v>1031.4529994382603</v>
      </c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0">
        <v>60.678118476731889</v>
      </c>
      <c r="AD11" s="39"/>
      <c r="AE11" s="38">
        <v>1926.5657140521375</v>
      </c>
    </row>
    <row r="12" spans="1:31" x14ac:dyDescent="0.2">
      <c r="A12" s="43" t="s">
        <v>62</v>
      </c>
      <c r="B12" s="42" t="s">
        <v>120</v>
      </c>
      <c r="C12" s="39">
        <v>14839.067075766416</v>
      </c>
      <c r="D12" s="41">
        <v>103.57848394973033</v>
      </c>
      <c r="E12" s="41"/>
      <c r="F12" s="41"/>
      <c r="G12" s="41">
        <v>77.412909897705831</v>
      </c>
      <c r="H12" s="41">
        <v>157.4948146150555</v>
      </c>
      <c r="I12" s="41"/>
      <c r="J12" s="41">
        <v>2254.5834124439998</v>
      </c>
      <c r="K12" s="41">
        <v>755.76401164440006</v>
      </c>
      <c r="L12" s="41"/>
      <c r="M12" s="41">
        <v>437.41170955570567</v>
      </c>
      <c r="N12" s="41">
        <v>3407.036992287688</v>
      </c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0">
        <v>11195.802363541985</v>
      </c>
      <c r="AD12" s="39"/>
      <c r="AE12" s="38">
        <v>33228.151773702688</v>
      </c>
    </row>
    <row r="13" spans="1:31" x14ac:dyDescent="0.2">
      <c r="A13" s="43" t="s">
        <v>63</v>
      </c>
      <c r="B13" s="42" t="s">
        <v>119</v>
      </c>
      <c r="C13" s="39">
        <v>5947.3400447614649</v>
      </c>
      <c r="D13" s="41">
        <v>3.671735067814609</v>
      </c>
      <c r="E13" s="41"/>
      <c r="F13" s="41"/>
      <c r="G13" s="41">
        <v>40.373530142421373</v>
      </c>
      <c r="H13" s="41">
        <v>82.139034090545834</v>
      </c>
      <c r="I13" s="41"/>
      <c r="J13" s="41">
        <v>770.08612368910337</v>
      </c>
      <c r="K13" s="41">
        <v>978.38104390600847</v>
      </c>
      <c r="L13" s="41"/>
      <c r="M13" s="41">
        <v>205.50513581110201</v>
      </c>
      <c r="N13" s="41">
        <v>1664.0169355701696</v>
      </c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0">
        <v>5094.2002246201764</v>
      </c>
      <c r="AD13" s="39"/>
      <c r="AE13" s="38">
        <v>14785.713807658807</v>
      </c>
    </row>
    <row r="14" spans="1:31" x14ac:dyDescent="0.2">
      <c r="A14" s="43" t="s">
        <v>64</v>
      </c>
      <c r="B14" s="42" t="s">
        <v>118</v>
      </c>
      <c r="C14" s="39">
        <v>70.203146902047791</v>
      </c>
      <c r="D14" s="41">
        <v>5.0025870193533009E-2</v>
      </c>
      <c r="E14" s="41"/>
      <c r="F14" s="41"/>
      <c r="G14" s="41">
        <v>7.2173753051567857</v>
      </c>
      <c r="H14" s="41">
        <v>14.683586848692205</v>
      </c>
      <c r="I14" s="41"/>
      <c r="J14" s="41">
        <v>13.977198782881178</v>
      </c>
      <c r="K14" s="41">
        <v>0.70479518082834314</v>
      </c>
      <c r="L14" s="41"/>
      <c r="M14" s="41">
        <v>13.665548366833139</v>
      </c>
      <c r="N14" s="41">
        <v>384.84816875562194</v>
      </c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0">
        <v>10.854024207776925</v>
      </c>
      <c r="AD14" s="39"/>
      <c r="AE14" s="38">
        <v>516.20387022003183</v>
      </c>
    </row>
    <row r="15" spans="1:31" x14ac:dyDescent="0.2">
      <c r="A15" s="43" t="s">
        <v>65</v>
      </c>
      <c r="B15" s="42" t="s">
        <v>117</v>
      </c>
      <c r="C15" s="39">
        <v>577.41903718244066</v>
      </c>
      <c r="D15" s="41">
        <v>0.41146146684374618</v>
      </c>
      <c r="E15" s="41"/>
      <c r="F15" s="41"/>
      <c r="G15" s="41">
        <v>24.873927124145514</v>
      </c>
      <c r="H15" s="41">
        <v>50.605442249133134</v>
      </c>
      <c r="I15" s="41"/>
      <c r="J15" s="41">
        <v>241.11664766905744</v>
      </c>
      <c r="K15" s="41">
        <v>12.028230763136595</v>
      </c>
      <c r="L15" s="41"/>
      <c r="M15" s="41">
        <v>233.220052764673</v>
      </c>
      <c r="N15" s="41">
        <v>3467.3149202391828</v>
      </c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0">
        <v>18.109046921547339</v>
      </c>
      <c r="AD15" s="39"/>
      <c r="AE15" s="38">
        <v>4625.0987663801607</v>
      </c>
    </row>
    <row r="16" spans="1:31" x14ac:dyDescent="0.2">
      <c r="A16" s="43" t="s">
        <v>66</v>
      </c>
      <c r="B16" s="42" t="s">
        <v>116</v>
      </c>
      <c r="C16" s="39">
        <v>197.63764719114334</v>
      </c>
      <c r="D16" s="41">
        <v>0.14083407539457476</v>
      </c>
      <c r="E16" s="41"/>
      <c r="F16" s="41"/>
      <c r="G16" s="41">
        <v>41.353540299023273</v>
      </c>
      <c r="H16" s="41">
        <v>84.132842592756163</v>
      </c>
      <c r="I16" s="41"/>
      <c r="J16" s="41">
        <v>198.27790958612093</v>
      </c>
      <c r="K16" s="41">
        <v>9.409801741511334</v>
      </c>
      <c r="L16" s="41"/>
      <c r="M16" s="41">
        <v>15.445878608674606</v>
      </c>
      <c r="N16" s="41">
        <v>2621.9919926585303</v>
      </c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0">
        <v>17.340396373304234</v>
      </c>
      <c r="AD16" s="39"/>
      <c r="AE16" s="38">
        <v>3185.7308431264587</v>
      </c>
    </row>
    <row r="17" spans="1:31" x14ac:dyDescent="0.2">
      <c r="A17" s="43" t="s">
        <v>67</v>
      </c>
      <c r="B17" s="42" t="s">
        <v>115</v>
      </c>
      <c r="C17" s="39">
        <v>113.89643846345349</v>
      </c>
      <c r="D17" s="41">
        <v>8.1161154414179718E-2</v>
      </c>
      <c r="E17" s="41"/>
      <c r="F17" s="41"/>
      <c r="G17" s="41">
        <v>50.372958654274356</v>
      </c>
      <c r="H17" s="41">
        <v>102.48264527648132</v>
      </c>
      <c r="I17" s="41"/>
      <c r="J17" s="41">
        <v>103.24518653158091</v>
      </c>
      <c r="K17" s="41">
        <v>4.8997729401900898</v>
      </c>
      <c r="L17" s="41"/>
      <c r="M17" s="41">
        <v>95.003606610891296</v>
      </c>
      <c r="N17" s="41">
        <v>1351.9802099767803</v>
      </c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0">
        <v>9.9055482586097856</v>
      </c>
      <c r="AD17" s="39"/>
      <c r="AE17" s="38">
        <v>1831.8675278666758</v>
      </c>
    </row>
    <row r="18" spans="1:31" x14ac:dyDescent="0.2">
      <c r="A18" s="43" t="s">
        <v>68</v>
      </c>
      <c r="B18" s="42" t="s">
        <v>114</v>
      </c>
      <c r="C18" s="39">
        <v>44962.245387655195</v>
      </c>
      <c r="D18" s="41"/>
      <c r="E18" s="41"/>
      <c r="F18" s="41"/>
      <c r="G18" s="41">
        <v>16.231897411268555</v>
      </c>
      <c r="H18" s="41">
        <v>33.023428224264478</v>
      </c>
      <c r="I18" s="41"/>
      <c r="J18" s="41">
        <v>18068.566466950298</v>
      </c>
      <c r="K18" s="41">
        <v>8946.9892246678864</v>
      </c>
      <c r="L18" s="41"/>
      <c r="M18" s="41">
        <v>60.425931945231866</v>
      </c>
      <c r="N18" s="41">
        <v>32749.906446953581</v>
      </c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0">
        <v>21.885854162024959</v>
      </c>
      <c r="AD18" s="39"/>
      <c r="AE18" s="38">
        <v>104859.27463796975</v>
      </c>
    </row>
    <row r="19" spans="1:31" x14ac:dyDescent="0.2">
      <c r="A19" s="43" t="s">
        <v>69</v>
      </c>
      <c r="B19" s="42" t="s">
        <v>113</v>
      </c>
      <c r="C19" s="39"/>
      <c r="D19" s="41"/>
      <c r="E19" s="41"/>
      <c r="F19" s="41"/>
      <c r="G19" s="41">
        <v>420.1999387097199</v>
      </c>
      <c r="H19" s="41">
        <v>854.88727314081109</v>
      </c>
      <c r="I19" s="41"/>
      <c r="J19" s="41">
        <v>1205.8638815519998</v>
      </c>
      <c r="K19" s="41">
        <v>459.81008369490877</v>
      </c>
      <c r="L19" s="41"/>
      <c r="M19" s="41">
        <v>8915.4368662188208</v>
      </c>
      <c r="N19" s="41">
        <v>244.72178138209327</v>
      </c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0">
        <v>34.76685961190838</v>
      </c>
      <c r="AD19" s="39"/>
      <c r="AE19" s="38">
        <v>12135.686684310263</v>
      </c>
    </row>
    <row r="20" spans="1:31" x14ac:dyDescent="0.2">
      <c r="A20" s="43" t="s">
        <v>70</v>
      </c>
      <c r="B20" s="42" t="s">
        <v>112</v>
      </c>
      <c r="C20" s="39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0">
        <v>9.7623367004983983</v>
      </c>
      <c r="AD20" s="39"/>
      <c r="AE20" s="38">
        <v>9.7623367004983983</v>
      </c>
    </row>
    <row r="21" spans="1:31" x14ac:dyDescent="0.2">
      <c r="A21" s="43" t="s">
        <v>71</v>
      </c>
      <c r="B21" s="42" t="s">
        <v>111</v>
      </c>
      <c r="C21" s="39"/>
      <c r="D21" s="41"/>
      <c r="E21" s="41"/>
      <c r="F21" s="41"/>
      <c r="G21" s="41">
        <v>802.85783281821591</v>
      </c>
      <c r="H21" s="41">
        <v>1633.3961054950278</v>
      </c>
      <c r="I21" s="41"/>
      <c r="J21" s="41">
        <v>550.0314245355072</v>
      </c>
      <c r="K21" s="41">
        <v>132.98747594990667</v>
      </c>
      <c r="L21" s="41"/>
      <c r="M21" s="41">
        <v>334.84079780543811</v>
      </c>
      <c r="N21" s="41">
        <v>49.3776591370641</v>
      </c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0">
        <v>18.926536054450075</v>
      </c>
      <c r="AD21" s="39"/>
      <c r="AE21" s="38">
        <v>3522.4178317956098</v>
      </c>
    </row>
    <row r="22" spans="1:31" x14ac:dyDescent="0.2">
      <c r="A22" s="43" t="s">
        <v>72</v>
      </c>
      <c r="B22" s="42" t="s">
        <v>110</v>
      </c>
      <c r="C22" s="39"/>
      <c r="D22" s="41"/>
      <c r="E22" s="41"/>
      <c r="F22" s="41"/>
      <c r="G22" s="41">
        <v>538.95745191633557</v>
      </c>
      <c r="H22" s="41">
        <v>1096.4967482443333</v>
      </c>
      <c r="I22" s="41"/>
      <c r="J22" s="41">
        <v>369.23540248836292</v>
      </c>
      <c r="K22" s="41">
        <v>89.274325098320659</v>
      </c>
      <c r="L22" s="41"/>
      <c r="M22" s="41">
        <v>224.77820581182868</v>
      </c>
      <c r="N22" s="41">
        <v>33.147160384161104</v>
      </c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0">
        <v>22.08973820927385</v>
      </c>
      <c r="AD22" s="39"/>
      <c r="AE22" s="38">
        <v>2373.9790321526161</v>
      </c>
    </row>
    <row r="23" spans="1:31" x14ac:dyDescent="0.2">
      <c r="A23" s="43" t="s">
        <v>73</v>
      </c>
      <c r="B23" s="42" t="s">
        <v>109</v>
      </c>
      <c r="C23" s="39"/>
      <c r="D23" s="41"/>
      <c r="E23" s="41"/>
      <c r="F23" s="41"/>
      <c r="G23" s="41">
        <v>482.54355735973621</v>
      </c>
      <c r="H23" s="41">
        <v>981.72395548088457</v>
      </c>
      <c r="I23" s="41"/>
      <c r="J23" s="41">
        <v>417.57354692076274</v>
      </c>
      <c r="K23" s="41">
        <v>100.96159883108152</v>
      </c>
      <c r="L23" s="41"/>
      <c r="M23" s="41">
        <v>254.20485695243877</v>
      </c>
      <c r="N23" s="41">
        <v>31.635278365339794</v>
      </c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0">
        <v>11.726731763829648</v>
      </c>
      <c r="AD23" s="39"/>
      <c r="AE23" s="38">
        <v>2280.3695256740734</v>
      </c>
    </row>
    <row r="24" spans="1:31" x14ac:dyDescent="0.2">
      <c r="A24" s="43" t="s">
        <v>74</v>
      </c>
      <c r="B24" s="42" t="s">
        <v>108</v>
      </c>
      <c r="C24" s="39"/>
      <c r="D24" s="41"/>
      <c r="E24" s="41"/>
      <c r="F24" s="41"/>
      <c r="G24" s="41">
        <v>15155.040495999105</v>
      </c>
      <c r="H24" s="41"/>
      <c r="I24" s="41"/>
      <c r="J24" s="41"/>
      <c r="K24" s="41"/>
      <c r="L24" s="41"/>
      <c r="M24" s="41"/>
      <c r="N24" s="41">
        <v>18.069278396400001</v>
      </c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0">
        <v>21.738481886228612</v>
      </c>
      <c r="AD24" s="39"/>
      <c r="AE24" s="38">
        <v>15194.848256281733</v>
      </c>
    </row>
    <row r="25" spans="1:31" x14ac:dyDescent="0.2">
      <c r="A25" s="43" t="s">
        <v>75</v>
      </c>
      <c r="B25" s="42" t="s">
        <v>107</v>
      </c>
      <c r="C25" s="39"/>
      <c r="D25" s="41"/>
      <c r="E25" s="41"/>
      <c r="F25" s="41"/>
      <c r="G25" s="41"/>
      <c r="H25" s="41"/>
      <c r="I25" s="41"/>
      <c r="J25" s="41">
        <v>5942.7043071980643</v>
      </c>
      <c r="K25" s="41">
        <v>1087.463949940508</v>
      </c>
      <c r="L25" s="41"/>
      <c r="M25" s="41">
        <v>2.5440696310442079</v>
      </c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0">
        <v>1.5818149442022964</v>
      </c>
      <c r="AD25" s="39"/>
      <c r="AE25" s="38">
        <v>7034.2941417138181</v>
      </c>
    </row>
    <row r="26" spans="1:31" x14ac:dyDescent="0.2">
      <c r="A26" s="43" t="s">
        <v>76</v>
      </c>
      <c r="B26" s="42" t="s">
        <v>106</v>
      </c>
      <c r="C26" s="39"/>
      <c r="D26" s="41"/>
      <c r="E26" s="41"/>
      <c r="F26" s="41"/>
      <c r="G26" s="41"/>
      <c r="H26" s="41"/>
      <c r="I26" s="41">
        <v>214.19572247777987</v>
      </c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0">
        <v>0.63060642105201292</v>
      </c>
      <c r="AD26" s="39"/>
      <c r="AE26" s="38">
        <v>214.82632889883189</v>
      </c>
    </row>
    <row r="27" spans="1:31" x14ac:dyDescent="0.2">
      <c r="A27" s="43" t="s">
        <v>77</v>
      </c>
      <c r="B27" s="42" t="s">
        <v>105</v>
      </c>
      <c r="C27" s="39"/>
      <c r="D27" s="41"/>
      <c r="E27" s="41"/>
      <c r="F27" s="41"/>
      <c r="G27" s="41">
        <v>1892.0013537104878</v>
      </c>
      <c r="H27" s="41"/>
      <c r="I27" s="41"/>
      <c r="J27" s="41">
        <v>6.6821541353519196</v>
      </c>
      <c r="K27" s="41">
        <v>1.6156218949110288</v>
      </c>
      <c r="L27" s="41"/>
      <c r="M27" s="41">
        <v>4.0678727104176016</v>
      </c>
      <c r="N27" s="41">
        <v>3.3746882021506956</v>
      </c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0">
        <v>3.2403705694001417</v>
      </c>
      <c r="AD27" s="39"/>
      <c r="AE27" s="38">
        <v>1910.9820612227193</v>
      </c>
    </row>
    <row r="28" spans="1:31" x14ac:dyDescent="0.2">
      <c r="A28" s="43" t="s">
        <v>78</v>
      </c>
      <c r="B28" s="42" t="s">
        <v>104</v>
      </c>
      <c r="C28" s="39"/>
      <c r="D28" s="41"/>
      <c r="E28" s="41"/>
      <c r="F28" s="41"/>
      <c r="G28" s="41">
        <v>1027.0388110437352</v>
      </c>
      <c r="H28" s="41"/>
      <c r="I28" s="41"/>
      <c r="J28" s="41">
        <v>48.040798908855066</v>
      </c>
      <c r="K28" s="41">
        <v>11.615381057365825</v>
      </c>
      <c r="L28" s="41"/>
      <c r="M28" s="41">
        <v>29.245637096891418</v>
      </c>
      <c r="N28" s="41">
        <v>10.311917012681707</v>
      </c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0">
        <v>5.0633006307100379</v>
      </c>
      <c r="AD28" s="39"/>
      <c r="AE28" s="38">
        <v>1131.3158457502393</v>
      </c>
    </row>
    <row r="29" spans="1:31" x14ac:dyDescent="0.2">
      <c r="A29" s="43" t="s">
        <v>79</v>
      </c>
      <c r="B29" s="42" t="s">
        <v>103</v>
      </c>
      <c r="C29" s="39"/>
      <c r="D29" s="41"/>
      <c r="E29" s="41"/>
      <c r="F29" s="41"/>
      <c r="G29" s="41">
        <v>58.608815794553202</v>
      </c>
      <c r="H29" s="41">
        <v>119.23831038735634</v>
      </c>
      <c r="I29" s="41"/>
      <c r="J29" s="41">
        <v>30.388804999418703</v>
      </c>
      <c r="K29" s="41">
        <v>7.3474537885166082</v>
      </c>
      <c r="L29" s="41"/>
      <c r="M29" s="41">
        <v>18.49969157480815</v>
      </c>
      <c r="N29" s="41">
        <v>2.904633780524926</v>
      </c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0">
        <v>6.9322303076725245</v>
      </c>
      <c r="AD29" s="39"/>
      <c r="AE29" s="38">
        <v>243.91994063285046</v>
      </c>
    </row>
    <row r="30" spans="1:31" x14ac:dyDescent="0.2">
      <c r="A30" s="43" t="s">
        <v>80</v>
      </c>
      <c r="B30" s="42" t="s">
        <v>102</v>
      </c>
      <c r="C30" s="39"/>
      <c r="D30" s="41"/>
      <c r="E30" s="41"/>
      <c r="F30" s="41"/>
      <c r="G30" s="41">
        <v>37.476323947250165</v>
      </c>
      <c r="H30" s="41">
        <v>76.244733602254769</v>
      </c>
      <c r="I30" s="41"/>
      <c r="J30" s="41">
        <v>210.99930570319984</v>
      </c>
      <c r="K30" s="41">
        <v>51.015748993519324</v>
      </c>
      <c r="L30" s="41"/>
      <c r="M30" s="41">
        <v>128.44934435830965</v>
      </c>
      <c r="N30" s="41">
        <v>21.192711609338705</v>
      </c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0">
        <v>8.0564399007342509</v>
      </c>
      <c r="AD30" s="39"/>
      <c r="AE30" s="38">
        <v>533.4346081146067</v>
      </c>
    </row>
    <row r="31" spans="1:31" x14ac:dyDescent="0.2">
      <c r="A31" s="43" t="s">
        <v>81</v>
      </c>
      <c r="B31" s="42" t="s">
        <v>101</v>
      </c>
      <c r="C31" s="39"/>
      <c r="D31" s="41"/>
      <c r="E31" s="41"/>
      <c r="F31" s="41"/>
      <c r="G31" s="41">
        <v>46.454167105513029</v>
      </c>
      <c r="H31" s="41">
        <v>94.509952487865434</v>
      </c>
      <c r="I31" s="41"/>
      <c r="J31" s="41">
        <v>157.48337955514415</v>
      </c>
      <c r="K31" s="41">
        <v>38.076582931213544</v>
      </c>
      <c r="L31" s="41"/>
      <c r="M31" s="41">
        <v>95.870632293186389</v>
      </c>
      <c r="N31" s="41">
        <v>8.4177308928189394</v>
      </c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0">
        <v>26.122134820206433</v>
      </c>
      <c r="AD31" s="39"/>
      <c r="AE31" s="38">
        <v>466.93458008594791</v>
      </c>
    </row>
    <row r="32" spans="1:31" x14ac:dyDescent="0.2">
      <c r="A32" s="43" t="s">
        <v>82</v>
      </c>
      <c r="B32" s="42" t="s">
        <v>100</v>
      </c>
      <c r="C32" s="39"/>
      <c r="D32" s="41"/>
      <c r="E32" s="41"/>
      <c r="F32" s="41"/>
      <c r="G32" s="41">
        <v>271.08822006478607</v>
      </c>
      <c r="H32" s="41">
        <v>551.52285348589055</v>
      </c>
      <c r="I32" s="41"/>
      <c r="J32" s="41">
        <v>300.15052259524236</v>
      </c>
      <c r="K32" s="41">
        <v>72.570872543683066</v>
      </c>
      <c r="L32" s="41"/>
      <c r="M32" s="41">
        <v>182.72163364553765</v>
      </c>
      <c r="N32" s="41">
        <v>15.004542846408803</v>
      </c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0">
        <v>21.089658536551212</v>
      </c>
      <c r="AD32" s="39"/>
      <c r="AE32" s="38">
        <v>1414.1483037180997</v>
      </c>
    </row>
    <row r="33" spans="1:31" x14ac:dyDescent="0.2">
      <c r="A33" s="43" t="s">
        <v>83</v>
      </c>
      <c r="B33" s="42" t="s">
        <v>99</v>
      </c>
      <c r="C33" s="39"/>
      <c r="D33" s="41"/>
      <c r="E33" s="41"/>
      <c r="F33" s="41"/>
      <c r="G33" s="41">
        <v>390.97550322514491</v>
      </c>
      <c r="H33" s="41">
        <v>795.43082001232335</v>
      </c>
      <c r="I33" s="41"/>
      <c r="J33" s="41">
        <v>32.758685192489857</v>
      </c>
      <c r="K33" s="41">
        <v>7.9204472051134189</v>
      </c>
      <c r="L33" s="41"/>
      <c r="M33" s="41">
        <v>19.942395644346316</v>
      </c>
      <c r="N33" s="41">
        <v>4.056137486773685</v>
      </c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0">
        <v>21.094613202876523</v>
      </c>
      <c r="AD33" s="39"/>
      <c r="AE33" s="38">
        <v>1272.178601969068</v>
      </c>
    </row>
    <row r="34" spans="1:31" x14ac:dyDescent="0.2">
      <c r="A34" s="43" t="s">
        <v>84</v>
      </c>
      <c r="B34" s="42" t="s">
        <v>98</v>
      </c>
      <c r="C34" s="39"/>
      <c r="D34" s="41"/>
      <c r="E34" s="41"/>
      <c r="F34" s="41"/>
      <c r="G34" s="41">
        <v>88.998215633742603</v>
      </c>
      <c r="H34" s="41">
        <v>181.06485715146101</v>
      </c>
      <c r="I34" s="41"/>
      <c r="J34" s="41">
        <v>16.204310530738034</v>
      </c>
      <c r="K34" s="41">
        <v>3.9179040703195867</v>
      </c>
      <c r="L34" s="41"/>
      <c r="M34" s="41">
        <v>9.8646441347991036</v>
      </c>
      <c r="N34" s="41">
        <v>2.1452564999636694</v>
      </c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0">
        <v>78.412562346506036</v>
      </c>
      <c r="AD34" s="39"/>
      <c r="AE34" s="38">
        <v>380.60775036753006</v>
      </c>
    </row>
    <row r="35" spans="1:31" x14ac:dyDescent="0.2">
      <c r="A35" s="43" t="s">
        <v>85</v>
      </c>
      <c r="B35" s="42" t="s">
        <v>97</v>
      </c>
      <c r="C35" s="39"/>
      <c r="D35" s="41"/>
      <c r="E35" s="41"/>
      <c r="F35" s="41"/>
      <c r="G35" s="41">
        <v>444.26254135822455</v>
      </c>
      <c r="H35" s="41">
        <v>903.84209409108644</v>
      </c>
      <c r="I35" s="41"/>
      <c r="J35" s="41">
        <v>115.1942873222292</v>
      </c>
      <c r="K35" s="41">
        <v>27.851858696561898</v>
      </c>
      <c r="L35" s="41"/>
      <c r="M35" s="41">
        <v>70.126442506766452</v>
      </c>
      <c r="N35" s="41">
        <v>34.140361410395172</v>
      </c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0">
        <v>332.85456109286901</v>
      </c>
      <c r="AD35" s="39"/>
      <c r="AE35" s="38">
        <v>1928.2721464781328</v>
      </c>
    </row>
    <row r="36" spans="1:31" x14ac:dyDescent="0.2">
      <c r="A36" s="43" t="s">
        <v>86</v>
      </c>
      <c r="B36" s="42" t="s">
        <v>96</v>
      </c>
      <c r="C36" s="39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0"/>
      <c r="AD36" s="39"/>
      <c r="AE36" s="38"/>
    </row>
    <row r="37" spans="1:31" x14ac:dyDescent="0.2">
      <c r="A37" s="37" t="s">
        <v>87</v>
      </c>
      <c r="B37" s="36" t="s">
        <v>95</v>
      </c>
      <c r="C37" s="33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4"/>
      <c r="AD37" s="33"/>
      <c r="AE37" s="32"/>
    </row>
    <row r="38" spans="1:31" x14ac:dyDescent="0.2">
      <c r="A38" s="30" t="s">
        <v>94</v>
      </c>
      <c r="B38" s="29" t="s">
        <v>93</v>
      </c>
      <c r="C38" s="25">
        <v>111036.27425243761</v>
      </c>
      <c r="D38" s="27">
        <v>123.46315518240004</v>
      </c>
      <c r="E38" s="27"/>
      <c r="F38" s="27"/>
      <c r="G38" s="27">
        <v>26063.686629548163</v>
      </c>
      <c r="H38" s="27">
        <v>16254.672671075705</v>
      </c>
      <c r="I38" s="27">
        <v>214.19572247777987</v>
      </c>
      <c r="J38" s="27">
        <v>51326.188142267652</v>
      </c>
      <c r="K38" s="27">
        <v>16215.179424024909</v>
      </c>
      <c r="L38" s="27"/>
      <c r="M38" s="27">
        <v>13765.204344511048</v>
      </c>
      <c r="N38" s="27">
        <v>73345.488737122854</v>
      </c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6">
        <v>22858.108628326205</v>
      </c>
      <c r="AD38" s="25"/>
      <c r="AE38" s="24">
        <v>331202.46170697425</v>
      </c>
    </row>
    <row r="39" spans="1:31" x14ac:dyDescent="0.2">
      <c r="A39" s="31"/>
      <c r="B39" s="31"/>
    </row>
    <row r="40" spans="1:31" x14ac:dyDescent="0.2">
      <c r="A40" s="30" t="s">
        <v>92</v>
      </c>
      <c r="B40" s="29" t="s">
        <v>91</v>
      </c>
      <c r="C40" s="28"/>
      <c r="D40" s="27"/>
      <c r="E40" s="27"/>
      <c r="F40" s="27"/>
      <c r="G40" s="27">
        <v>2240.5559853471486</v>
      </c>
      <c r="H40" s="27">
        <v>38771.135292719329</v>
      </c>
      <c r="I40" s="27"/>
      <c r="J40" s="27"/>
      <c r="K40" s="27"/>
      <c r="L40" s="27"/>
      <c r="M40" s="27">
        <v>20417.415840887999</v>
      </c>
      <c r="N40" s="27">
        <v>41.996451023999995</v>
      </c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6">
        <v>188.63139763127921</v>
      </c>
      <c r="AD40" s="25"/>
      <c r="AE40" s="24">
        <v>61659.734967609766</v>
      </c>
    </row>
    <row r="41" spans="1:31" x14ac:dyDescent="0.2">
      <c r="A41" s="31"/>
      <c r="B41" s="31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</row>
    <row r="42" spans="1:31" x14ac:dyDescent="0.2">
      <c r="A42" s="30" t="s">
        <v>90</v>
      </c>
      <c r="B42" s="29" t="s">
        <v>89</v>
      </c>
      <c r="C42" s="28">
        <v>111036.27425243761</v>
      </c>
      <c r="D42" s="27">
        <v>123.46315518240004</v>
      </c>
      <c r="E42" s="27"/>
      <c r="F42" s="27"/>
      <c r="G42" s="27">
        <v>28304.242614895313</v>
      </c>
      <c r="H42" s="27">
        <v>55025.807963795036</v>
      </c>
      <c r="I42" s="27">
        <v>214.19572247777987</v>
      </c>
      <c r="J42" s="27">
        <v>51326.188142267652</v>
      </c>
      <c r="K42" s="27">
        <v>16215.179424024909</v>
      </c>
      <c r="L42" s="27"/>
      <c r="M42" s="27">
        <v>34182.62018539905</v>
      </c>
      <c r="N42" s="27">
        <v>73387.485188146849</v>
      </c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6">
        <v>23046.740025957482</v>
      </c>
      <c r="AD42" s="25"/>
      <c r="AE42" s="24">
        <v>392862.196674584</v>
      </c>
    </row>
    <row r="43" spans="1:31" x14ac:dyDescent="0.2">
      <c r="I43" s="23"/>
      <c r="K43" s="22"/>
    </row>
    <row r="44" spans="1:31" x14ac:dyDescent="0.2">
      <c r="I44" s="23"/>
      <c r="K44" s="22"/>
    </row>
    <row r="45" spans="1:31" x14ac:dyDescent="0.2">
      <c r="I45" s="23"/>
      <c r="K45" s="22"/>
    </row>
    <row r="46" spans="1:31" x14ac:dyDescent="0.2">
      <c r="I46" s="23"/>
      <c r="K46" s="22"/>
    </row>
    <row r="47" spans="1:31" x14ac:dyDescent="0.2">
      <c r="I47" s="23"/>
      <c r="K47" s="22"/>
    </row>
    <row r="48" spans="1:31" x14ac:dyDescent="0.2">
      <c r="I48" s="23"/>
      <c r="K48" s="22"/>
    </row>
    <row r="49" spans="9:11" x14ac:dyDescent="0.2">
      <c r="I49" s="23"/>
      <c r="K49" s="22"/>
    </row>
    <row r="50" spans="9:11" x14ac:dyDescent="0.2">
      <c r="I50" s="23"/>
      <c r="K50" s="22"/>
    </row>
    <row r="51" spans="9:11" x14ac:dyDescent="0.2">
      <c r="I51" s="23"/>
      <c r="K51" s="22"/>
    </row>
    <row r="52" spans="9:11" x14ac:dyDescent="0.2">
      <c r="I52" s="23"/>
      <c r="K52" s="22"/>
    </row>
    <row r="53" spans="9:11" x14ac:dyDescent="0.2">
      <c r="I53" s="23"/>
      <c r="K53" s="22"/>
    </row>
    <row r="54" spans="9:11" x14ac:dyDescent="0.2">
      <c r="I54" s="23"/>
      <c r="K54" s="22"/>
    </row>
    <row r="55" spans="9:11" x14ac:dyDescent="0.2">
      <c r="I55" s="23"/>
      <c r="K55" s="22"/>
    </row>
    <row r="56" spans="9:11" x14ac:dyDescent="0.2">
      <c r="I56" s="23"/>
      <c r="K56" s="22"/>
    </row>
    <row r="58" spans="9:11" x14ac:dyDescent="0.2">
      <c r="I58" s="23"/>
      <c r="K58" s="22"/>
    </row>
    <row r="59" spans="9:11" x14ac:dyDescent="0.2">
      <c r="I59" s="23"/>
      <c r="K59" s="22"/>
    </row>
    <row r="63" spans="9:11" x14ac:dyDescent="0.2">
      <c r="I63" s="23"/>
      <c r="K63" s="22"/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3"/>
  <sheetViews>
    <sheetView zoomScale="150" zoomScaleNormal="150" workbookViewId="0">
      <pane xSplit="1" ySplit="1" topLeftCell="B2" activePane="bottomRight" state="frozen"/>
      <selection sqref="A1:IV65536"/>
      <selection pane="topRight" sqref="A1:IV65536"/>
      <selection pane="bottomLeft" sqref="A1:IV65536"/>
      <selection pane="bottomRight" activeCell="N1" sqref="C1:N1"/>
    </sheetView>
  </sheetViews>
  <sheetFormatPr defaultRowHeight="12.75" x14ac:dyDescent="0.2"/>
  <cols>
    <col min="1" max="1" width="27.7109375" style="21" customWidth="1"/>
    <col min="2" max="2" width="11.42578125" style="20" customWidth="1"/>
    <col min="3" max="3" width="10" style="20" customWidth="1"/>
    <col min="4" max="4" width="9.140625" style="20"/>
    <col min="5" max="5" width="10" style="20" customWidth="1"/>
    <col min="6" max="16384" width="9.140625" style="20"/>
  </cols>
  <sheetData>
    <row r="1" spans="1:30" x14ac:dyDescent="0.2">
      <c r="C1" s="57" t="s">
        <v>159</v>
      </c>
      <c r="D1" s="56" t="s">
        <v>158</v>
      </c>
      <c r="E1" s="27" t="s">
        <v>157</v>
      </c>
      <c r="F1" s="56" t="s">
        <v>156</v>
      </c>
      <c r="G1" s="56" t="s">
        <v>155</v>
      </c>
      <c r="H1" s="56" t="s">
        <v>154</v>
      </c>
      <c r="I1" s="56" t="s">
        <v>153</v>
      </c>
      <c r="J1" s="56" t="s">
        <v>152</v>
      </c>
      <c r="K1" s="56" t="s">
        <v>151</v>
      </c>
      <c r="L1" s="56" t="s">
        <v>150</v>
      </c>
      <c r="M1" s="56" t="s">
        <v>149</v>
      </c>
      <c r="N1" s="56" t="s">
        <v>148</v>
      </c>
      <c r="O1" s="56" t="s">
        <v>147</v>
      </c>
      <c r="P1" s="56" t="s">
        <v>146</v>
      </c>
      <c r="Q1" s="56" t="s">
        <v>145</v>
      </c>
      <c r="R1" s="56" t="s">
        <v>144</v>
      </c>
      <c r="S1" s="56" t="s">
        <v>143</v>
      </c>
      <c r="T1" s="56" t="s">
        <v>142</v>
      </c>
      <c r="U1" s="56" t="s">
        <v>141</v>
      </c>
      <c r="V1" s="56" t="s">
        <v>140</v>
      </c>
      <c r="W1" s="56" t="s">
        <v>139</v>
      </c>
      <c r="X1" s="56" t="s">
        <v>138</v>
      </c>
      <c r="Y1" s="56" t="s">
        <v>137</v>
      </c>
      <c r="Z1" s="56" t="s">
        <v>136</v>
      </c>
      <c r="AA1" s="56" t="s">
        <v>135</v>
      </c>
      <c r="AB1" s="56" t="s">
        <v>134</v>
      </c>
      <c r="AC1" s="55" t="s">
        <v>160</v>
      </c>
      <c r="AD1" s="50" t="s">
        <v>131</v>
      </c>
    </row>
    <row r="2" spans="1:30" x14ac:dyDescent="0.2">
      <c r="A2" s="49" t="s">
        <v>52</v>
      </c>
      <c r="B2" s="48" t="s">
        <v>130</v>
      </c>
      <c r="C2" s="39">
        <v>0</v>
      </c>
      <c r="D2" s="47">
        <v>0</v>
      </c>
      <c r="E2" s="47">
        <v>0</v>
      </c>
      <c r="F2" s="47">
        <v>0</v>
      </c>
      <c r="G2" s="47">
        <v>44576.727450331695</v>
      </c>
      <c r="H2" s="47">
        <v>96928.304131647325</v>
      </c>
      <c r="I2" s="47">
        <v>0</v>
      </c>
      <c r="J2" s="47">
        <v>112536.704124</v>
      </c>
      <c r="K2" s="47">
        <v>0</v>
      </c>
      <c r="L2" s="47">
        <v>0</v>
      </c>
      <c r="M2" s="47">
        <v>0</v>
      </c>
      <c r="N2" s="47">
        <v>0</v>
      </c>
      <c r="O2" s="47">
        <v>0</v>
      </c>
      <c r="P2" s="47">
        <v>0</v>
      </c>
      <c r="Q2" s="47">
        <v>9.8027956475880007</v>
      </c>
      <c r="R2" s="47">
        <v>90.13513455838779</v>
      </c>
      <c r="S2" s="47">
        <v>0</v>
      </c>
      <c r="T2" s="47">
        <v>0</v>
      </c>
      <c r="U2" s="47">
        <v>1585.9635136542099</v>
      </c>
      <c r="V2" s="47">
        <v>0</v>
      </c>
      <c r="W2" s="47">
        <v>0</v>
      </c>
      <c r="X2" s="47">
        <v>0</v>
      </c>
      <c r="Y2" s="47">
        <v>0</v>
      </c>
      <c r="Z2" s="47">
        <v>0</v>
      </c>
      <c r="AA2" s="47">
        <v>0</v>
      </c>
      <c r="AB2" s="47">
        <v>0</v>
      </c>
      <c r="AC2" s="46">
        <v>0</v>
      </c>
      <c r="AD2" s="44">
        <v>255727.6371498392</v>
      </c>
    </row>
    <row r="3" spans="1:30" x14ac:dyDescent="0.2">
      <c r="A3" s="43" t="s">
        <v>53</v>
      </c>
      <c r="B3" s="42" t="s">
        <v>129</v>
      </c>
      <c r="C3" s="39">
        <v>319318.15109252307</v>
      </c>
      <c r="D3" s="41">
        <v>38.137806321391189</v>
      </c>
      <c r="E3" s="41">
        <v>0</v>
      </c>
      <c r="F3" s="41">
        <v>0</v>
      </c>
      <c r="G3" s="41">
        <v>1164.7747449348053</v>
      </c>
      <c r="H3" s="41">
        <v>2532.7036590493958</v>
      </c>
      <c r="I3" s="41">
        <v>0</v>
      </c>
      <c r="J3" s="41">
        <v>45465.005484000001</v>
      </c>
      <c r="K3" s="41">
        <v>2211.007212</v>
      </c>
      <c r="L3" s="41">
        <v>0</v>
      </c>
      <c r="M3" s="41">
        <v>610.34219778505894</v>
      </c>
      <c r="N3" s="41">
        <v>182463.20524130462</v>
      </c>
      <c r="O3" s="41">
        <v>0</v>
      </c>
      <c r="P3" s="41">
        <v>0</v>
      </c>
      <c r="Q3" s="41">
        <v>0.2561437201236802</v>
      </c>
      <c r="R3" s="41">
        <v>2.3552004458355382</v>
      </c>
      <c r="S3" s="41">
        <v>0</v>
      </c>
      <c r="T3" s="41">
        <v>0</v>
      </c>
      <c r="U3" s="41">
        <v>494.90630050251536</v>
      </c>
      <c r="V3" s="41">
        <v>0</v>
      </c>
      <c r="W3" s="41">
        <v>0</v>
      </c>
      <c r="X3" s="41">
        <v>0</v>
      </c>
      <c r="Y3" s="41">
        <v>0</v>
      </c>
      <c r="Z3" s="41">
        <v>0</v>
      </c>
      <c r="AA3" s="41">
        <v>0</v>
      </c>
      <c r="AB3" s="41">
        <v>0</v>
      </c>
      <c r="AC3" s="40">
        <v>0</v>
      </c>
      <c r="AD3" s="38">
        <v>554300.84508258675</v>
      </c>
    </row>
    <row r="4" spans="1:30" x14ac:dyDescent="0.2">
      <c r="A4" s="43" t="s">
        <v>54</v>
      </c>
      <c r="B4" s="42" t="s">
        <v>128</v>
      </c>
      <c r="C4" s="39">
        <v>39577.536533329992</v>
      </c>
      <c r="D4" s="41">
        <v>26.363159314552835</v>
      </c>
      <c r="E4" s="41">
        <v>0</v>
      </c>
      <c r="F4" s="41">
        <v>0</v>
      </c>
      <c r="G4" s="41">
        <v>2077.16468537433</v>
      </c>
      <c r="H4" s="41">
        <v>4516.6180173233515</v>
      </c>
      <c r="I4" s="41">
        <v>0</v>
      </c>
      <c r="J4" s="41">
        <v>26066.598120000002</v>
      </c>
      <c r="K4" s="41">
        <v>3055.1916959999999</v>
      </c>
      <c r="L4" s="41">
        <v>0</v>
      </c>
      <c r="M4" s="41">
        <v>8249.5641607893049</v>
      </c>
      <c r="N4" s="41">
        <v>41580.205280676382</v>
      </c>
      <c r="O4" s="41">
        <v>0</v>
      </c>
      <c r="P4" s="41">
        <v>0</v>
      </c>
      <c r="Q4" s="41">
        <v>0.45678590829258969</v>
      </c>
      <c r="R4" s="41">
        <v>4.2000732024296079</v>
      </c>
      <c r="S4" s="41">
        <v>0</v>
      </c>
      <c r="T4" s="41">
        <v>224959.72174720559</v>
      </c>
      <c r="U4" s="41">
        <v>13487.754847270786</v>
      </c>
      <c r="V4" s="41">
        <v>0</v>
      </c>
      <c r="W4" s="41">
        <v>0</v>
      </c>
      <c r="X4" s="41">
        <v>0</v>
      </c>
      <c r="Y4" s="41">
        <v>0</v>
      </c>
      <c r="Z4" s="41">
        <v>0</v>
      </c>
      <c r="AA4" s="41">
        <v>0</v>
      </c>
      <c r="AB4" s="41">
        <v>0</v>
      </c>
      <c r="AC4" s="40">
        <v>0</v>
      </c>
      <c r="AD4" s="38">
        <v>363601.37510639505</v>
      </c>
    </row>
    <row r="5" spans="1:30" x14ac:dyDescent="0.2">
      <c r="A5" s="43" t="s">
        <v>55</v>
      </c>
      <c r="B5" s="42" t="s">
        <v>127</v>
      </c>
      <c r="C5" s="39">
        <v>58383.847942592314</v>
      </c>
      <c r="D5" s="41">
        <v>38.890310502549227</v>
      </c>
      <c r="E5" s="41">
        <v>0</v>
      </c>
      <c r="F5" s="41">
        <v>0</v>
      </c>
      <c r="G5" s="41">
        <v>2586.1409647975433</v>
      </c>
      <c r="H5" s="41">
        <v>5623.3436660981897</v>
      </c>
      <c r="I5" s="41">
        <v>0</v>
      </c>
      <c r="J5" s="41">
        <v>47843.258865195348</v>
      </c>
      <c r="K5" s="41">
        <v>2986.7465656874365</v>
      </c>
      <c r="L5" s="41">
        <v>0</v>
      </c>
      <c r="M5" s="41">
        <v>1227.1615534646523</v>
      </c>
      <c r="N5" s="41">
        <v>98851.126191338655</v>
      </c>
      <c r="O5" s="41">
        <v>0</v>
      </c>
      <c r="P5" s="41">
        <v>0</v>
      </c>
      <c r="Q5" s="41">
        <v>0.56871405425652766</v>
      </c>
      <c r="R5" s="41">
        <v>5.2292345621089513</v>
      </c>
      <c r="S5" s="41">
        <v>0</v>
      </c>
      <c r="T5" s="41">
        <v>4342.2196476685695</v>
      </c>
      <c r="U5" s="41">
        <v>32065.251901606673</v>
      </c>
      <c r="V5" s="41">
        <v>0</v>
      </c>
      <c r="W5" s="41">
        <v>0</v>
      </c>
      <c r="X5" s="41">
        <v>0</v>
      </c>
      <c r="Y5" s="41">
        <v>0</v>
      </c>
      <c r="Z5" s="41">
        <v>0</v>
      </c>
      <c r="AA5" s="41">
        <v>0</v>
      </c>
      <c r="AB5" s="41">
        <v>0</v>
      </c>
      <c r="AC5" s="40">
        <v>0</v>
      </c>
      <c r="AD5" s="38">
        <v>253953.78555756831</v>
      </c>
    </row>
    <row r="6" spans="1:30" x14ac:dyDescent="0.2">
      <c r="A6" s="43" t="s">
        <v>56</v>
      </c>
      <c r="B6" s="42" t="s">
        <v>126</v>
      </c>
      <c r="C6" s="39">
        <v>25.322350126913374</v>
      </c>
      <c r="D6" s="41">
        <v>1.6867577143223868E-2</v>
      </c>
      <c r="E6" s="41">
        <v>0</v>
      </c>
      <c r="F6" s="41">
        <v>0</v>
      </c>
      <c r="G6" s="41">
        <v>595.00158069778013</v>
      </c>
      <c r="H6" s="41">
        <v>1293.7803529194734</v>
      </c>
      <c r="I6" s="41">
        <v>0</v>
      </c>
      <c r="J6" s="41">
        <v>2384.7340348046519</v>
      </c>
      <c r="K6" s="41">
        <v>148.87355831256366</v>
      </c>
      <c r="L6" s="41">
        <v>0</v>
      </c>
      <c r="M6" s="41">
        <v>61.167528971982691</v>
      </c>
      <c r="N6" s="41">
        <v>7383.4894340198089</v>
      </c>
      <c r="O6" s="41">
        <v>0</v>
      </c>
      <c r="P6" s="41">
        <v>0</v>
      </c>
      <c r="Q6" s="41">
        <v>0.13084583008187559</v>
      </c>
      <c r="R6" s="41">
        <v>1.2031064325752512</v>
      </c>
      <c r="S6" s="41">
        <v>0</v>
      </c>
      <c r="T6" s="41">
        <v>44.727667247342907</v>
      </c>
      <c r="U6" s="41">
        <v>2395.0505951387008</v>
      </c>
      <c r="V6" s="41">
        <v>0</v>
      </c>
      <c r="W6" s="41">
        <v>0</v>
      </c>
      <c r="X6" s="41">
        <v>0</v>
      </c>
      <c r="Y6" s="41">
        <v>0</v>
      </c>
      <c r="Z6" s="41">
        <v>0</v>
      </c>
      <c r="AA6" s="41">
        <v>0</v>
      </c>
      <c r="AB6" s="41">
        <v>0</v>
      </c>
      <c r="AC6" s="40">
        <v>0</v>
      </c>
      <c r="AD6" s="38">
        <v>14333.497922079019</v>
      </c>
    </row>
    <row r="7" spans="1:30" x14ac:dyDescent="0.2">
      <c r="A7" s="43" t="s">
        <v>57</v>
      </c>
      <c r="B7" s="42" t="s">
        <v>125</v>
      </c>
      <c r="C7" s="39">
        <v>77.332205147678749</v>
      </c>
      <c r="D7" s="41">
        <v>15.638647428824928</v>
      </c>
      <c r="E7" s="41">
        <v>0</v>
      </c>
      <c r="F7" s="41">
        <v>0</v>
      </c>
      <c r="G7" s="41">
        <v>2707.5521713294211</v>
      </c>
      <c r="H7" s="41">
        <v>5887.342012877335</v>
      </c>
      <c r="I7" s="41">
        <v>0</v>
      </c>
      <c r="J7" s="41">
        <v>5835.2186938108889</v>
      </c>
      <c r="K7" s="41">
        <v>265.11371355570225</v>
      </c>
      <c r="L7" s="41">
        <v>0</v>
      </c>
      <c r="M7" s="41">
        <v>859.57626508746534</v>
      </c>
      <c r="N7" s="41">
        <v>33220.98145013093</v>
      </c>
      <c r="O7" s="41">
        <v>0</v>
      </c>
      <c r="P7" s="41">
        <v>0</v>
      </c>
      <c r="Q7" s="41">
        <v>0.59541339525874037</v>
      </c>
      <c r="R7" s="41">
        <v>5.4747307226299409</v>
      </c>
      <c r="S7" s="41">
        <v>0</v>
      </c>
      <c r="T7" s="41">
        <v>12797.476821501019</v>
      </c>
      <c r="U7" s="41">
        <v>10776.196282833926</v>
      </c>
      <c r="V7" s="41">
        <v>0</v>
      </c>
      <c r="W7" s="41">
        <v>0</v>
      </c>
      <c r="X7" s="41">
        <v>0</v>
      </c>
      <c r="Y7" s="41">
        <v>0</v>
      </c>
      <c r="Z7" s="41">
        <v>0</v>
      </c>
      <c r="AA7" s="41">
        <v>0</v>
      </c>
      <c r="AB7" s="41">
        <v>0</v>
      </c>
      <c r="AC7" s="40">
        <v>0</v>
      </c>
      <c r="AD7" s="38">
        <v>72448.498407821069</v>
      </c>
    </row>
    <row r="8" spans="1:30" x14ac:dyDescent="0.2">
      <c r="A8" s="43" t="s">
        <v>58</v>
      </c>
      <c r="B8" s="42" t="s">
        <v>124</v>
      </c>
      <c r="C8" s="39">
        <v>25826.524904122183</v>
      </c>
      <c r="D8" s="41">
        <v>17.500518993077097</v>
      </c>
      <c r="E8" s="41">
        <v>0</v>
      </c>
      <c r="F8" s="41">
        <v>0</v>
      </c>
      <c r="G8" s="41">
        <v>630.10861864666094</v>
      </c>
      <c r="H8" s="41">
        <v>1370.1176222998233</v>
      </c>
      <c r="I8" s="41">
        <v>0</v>
      </c>
      <c r="J8" s="41">
        <v>8210.3447859647968</v>
      </c>
      <c r="K8" s="41">
        <v>373.02372198809098</v>
      </c>
      <c r="L8" s="41">
        <v>0</v>
      </c>
      <c r="M8" s="41">
        <v>1209.4521005160263</v>
      </c>
      <c r="N8" s="41">
        <v>47620.52501400849</v>
      </c>
      <c r="O8" s="41">
        <v>0</v>
      </c>
      <c r="P8" s="41">
        <v>0</v>
      </c>
      <c r="Q8" s="41">
        <v>0.13856616170981867</v>
      </c>
      <c r="R8" s="41">
        <v>1.2740936442990054</v>
      </c>
      <c r="S8" s="41">
        <v>0</v>
      </c>
      <c r="T8" s="41">
        <v>1428.9867429758326</v>
      </c>
      <c r="U8" s="41">
        <v>15447.109093176288</v>
      </c>
      <c r="V8" s="41">
        <v>0</v>
      </c>
      <c r="W8" s="41">
        <v>0</v>
      </c>
      <c r="X8" s="41">
        <v>0</v>
      </c>
      <c r="Y8" s="41">
        <v>0</v>
      </c>
      <c r="Z8" s="41">
        <v>0</v>
      </c>
      <c r="AA8" s="41">
        <v>0</v>
      </c>
      <c r="AB8" s="41">
        <v>0</v>
      </c>
      <c r="AC8" s="40">
        <v>0</v>
      </c>
      <c r="AD8" s="38">
        <v>102135.10578249728</v>
      </c>
    </row>
    <row r="9" spans="1:30" x14ac:dyDescent="0.2">
      <c r="A9" s="43" t="s">
        <v>59</v>
      </c>
      <c r="B9" s="42" t="s">
        <v>123</v>
      </c>
      <c r="C9" s="39">
        <v>1341.9950039999999</v>
      </c>
      <c r="D9" s="41">
        <v>0</v>
      </c>
      <c r="E9" s="41">
        <v>0</v>
      </c>
      <c r="F9" s="41">
        <v>2079288.4324680001</v>
      </c>
      <c r="G9" s="41">
        <v>103.07887949414025</v>
      </c>
      <c r="H9" s="41">
        <v>224.13626016602313</v>
      </c>
      <c r="I9" s="41">
        <v>0</v>
      </c>
      <c r="J9" s="41">
        <v>1082.4971400000002</v>
      </c>
      <c r="K9" s="41">
        <v>27134.985743999998</v>
      </c>
      <c r="L9" s="41">
        <v>0</v>
      </c>
      <c r="M9" s="41">
        <v>15205.825620436804</v>
      </c>
      <c r="N9" s="41">
        <v>25654.365792000004</v>
      </c>
      <c r="O9" s="41">
        <v>0</v>
      </c>
      <c r="P9" s="41">
        <v>0</v>
      </c>
      <c r="Q9" s="41">
        <v>2.2667908773457691E-2</v>
      </c>
      <c r="R9" s="41">
        <v>0.20842778742976198</v>
      </c>
      <c r="S9" s="41">
        <v>0</v>
      </c>
      <c r="T9" s="41">
        <v>0</v>
      </c>
      <c r="U9" s="41">
        <v>0</v>
      </c>
      <c r="V9" s="41">
        <v>0</v>
      </c>
      <c r="W9" s="41">
        <v>0</v>
      </c>
      <c r="X9" s="41">
        <v>0</v>
      </c>
      <c r="Y9" s="41">
        <v>0</v>
      </c>
      <c r="Z9" s="41">
        <v>0</v>
      </c>
      <c r="AA9" s="41">
        <v>0</v>
      </c>
      <c r="AB9" s="41">
        <v>0</v>
      </c>
      <c r="AC9" s="40">
        <v>0</v>
      </c>
      <c r="AD9" s="38">
        <v>2150035.5480037937</v>
      </c>
    </row>
    <row r="10" spans="1:30" x14ac:dyDescent="0.2">
      <c r="A10" s="43" t="s">
        <v>60</v>
      </c>
      <c r="B10" s="42" t="s">
        <v>122</v>
      </c>
      <c r="C10" s="39">
        <v>24964.495971296743</v>
      </c>
      <c r="D10" s="41">
        <v>16.629205406570904</v>
      </c>
      <c r="E10" s="41">
        <v>0</v>
      </c>
      <c r="F10" s="41">
        <v>0</v>
      </c>
      <c r="G10" s="41">
        <v>344.17667173622465</v>
      </c>
      <c r="H10" s="41">
        <v>748.38291236694818</v>
      </c>
      <c r="I10" s="41">
        <v>0</v>
      </c>
      <c r="J10" s="41">
        <v>20740.695444000001</v>
      </c>
      <c r="K10" s="41">
        <v>7798.7942279999997</v>
      </c>
      <c r="L10" s="41">
        <v>109304.99694</v>
      </c>
      <c r="M10" s="41">
        <v>5180.1027575232065</v>
      </c>
      <c r="N10" s="41">
        <v>193711.02032592022</v>
      </c>
      <c r="O10" s="41">
        <v>0</v>
      </c>
      <c r="P10" s="41">
        <v>0</v>
      </c>
      <c r="Q10" s="41">
        <v>7.5687332217387382E-2</v>
      </c>
      <c r="R10" s="41">
        <v>0.69593288680440879</v>
      </c>
      <c r="S10" s="41">
        <v>0</v>
      </c>
      <c r="T10" s="41">
        <v>54709.011595196745</v>
      </c>
      <c r="U10" s="41">
        <v>9745.3998996434657</v>
      </c>
      <c r="V10" s="41">
        <v>0</v>
      </c>
      <c r="W10" s="41">
        <v>0</v>
      </c>
      <c r="X10" s="41">
        <v>0</v>
      </c>
      <c r="Y10" s="41">
        <v>0</v>
      </c>
      <c r="Z10" s="41">
        <v>0</v>
      </c>
      <c r="AA10" s="41">
        <v>0</v>
      </c>
      <c r="AB10" s="41">
        <v>0</v>
      </c>
      <c r="AC10" s="40">
        <v>0</v>
      </c>
      <c r="AD10" s="38">
        <v>427264.47757130919</v>
      </c>
    </row>
    <row r="11" spans="1:30" x14ac:dyDescent="0.2">
      <c r="A11" s="43" t="s">
        <v>61</v>
      </c>
      <c r="B11" s="42" t="s">
        <v>121</v>
      </c>
      <c r="C11" s="39">
        <v>415.21896402635531</v>
      </c>
      <c r="D11" s="41">
        <v>0.27658325044642107</v>
      </c>
      <c r="E11" s="41">
        <v>0</v>
      </c>
      <c r="F11" s="41">
        <v>0</v>
      </c>
      <c r="G11" s="41">
        <v>1237.0644490519458</v>
      </c>
      <c r="H11" s="41">
        <v>2689.8914749127352</v>
      </c>
      <c r="I11" s="41">
        <v>0</v>
      </c>
      <c r="J11" s="41">
        <v>3548.1438254689988</v>
      </c>
      <c r="K11" s="41">
        <v>161.20416991355137</v>
      </c>
      <c r="L11" s="41">
        <v>0</v>
      </c>
      <c r="M11" s="41">
        <v>3541.0674020904844</v>
      </c>
      <c r="N11" s="41">
        <v>18385.971469487708</v>
      </c>
      <c r="O11" s="41">
        <v>0</v>
      </c>
      <c r="P11" s="41">
        <v>0</v>
      </c>
      <c r="Q11" s="41">
        <v>0.2720408314061204</v>
      </c>
      <c r="R11" s="41">
        <v>2.5013718357170536</v>
      </c>
      <c r="S11" s="41">
        <v>0</v>
      </c>
      <c r="T11" s="41">
        <v>65.929838630269202</v>
      </c>
      <c r="U11" s="41">
        <v>5964.0272128385041</v>
      </c>
      <c r="V11" s="41">
        <v>0</v>
      </c>
      <c r="W11" s="41">
        <v>0</v>
      </c>
      <c r="X11" s="41">
        <v>0</v>
      </c>
      <c r="Y11" s="41">
        <v>0</v>
      </c>
      <c r="Z11" s="41">
        <v>0</v>
      </c>
      <c r="AA11" s="41">
        <v>0</v>
      </c>
      <c r="AB11" s="41">
        <v>0</v>
      </c>
      <c r="AC11" s="40">
        <v>0</v>
      </c>
      <c r="AD11" s="38">
        <v>36011.568802338115</v>
      </c>
    </row>
    <row r="12" spans="1:30" x14ac:dyDescent="0.2">
      <c r="A12" s="43" t="s">
        <v>62</v>
      </c>
      <c r="B12" s="42" t="s">
        <v>120</v>
      </c>
      <c r="C12" s="39">
        <v>156861.17416243569</v>
      </c>
      <c r="D12" s="41">
        <v>1023.5028058273747</v>
      </c>
      <c r="E12" s="41">
        <v>0</v>
      </c>
      <c r="F12" s="41">
        <v>0</v>
      </c>
      <c r="G12" s="41">
        <v>1045.1788014991787</v>
      </c>
      <c r="H12" s="41">
        <v>2272.6524475476986</v>
      </c>
      <c r="I12" s="41">
        <v>0</v>
      </c>
      <c r="J12" s="41">
        <v>30439.92006</v>
      </c>
      <c r="K12" s="41">
        <v>9768.5998920000002</v>
      </c>
      <c r="L12" s="41">
        <v>0</v>
      </c>
      <c r="M12" s="41">
        <v>6405.1647249248963</v>
      </c>
      <c r="N12" s="41">
        <v>60731.497188728848</v>
      </c>
      <c r="O12" s="41">
        <v>0</v>
      </c>
      <c r="P12" s="41">
        <v>0</v>
      </c>
      <c r="Q12" s="41">
        <v>0.22984357067717301</v>
      </c>
      <c r="R12" s="41">
        <v>2.1133747876775093</v>
      </c>
      <c r="S12" s="41">
        <v>0</v>
      </c>
      <c r="T12" s="41">
        <v>66.892294074781901</v>
      </c>
      <c r="U12" s="41">
        <v>19700.036112374983</v>
      </c>
      <c r="V12" s="41">
        <v>0</v>
      </c>
      <c r="W12" s="41">
        <v>0</v>
      </c>
      <c r="X12" s="41">
        <v>0</v>
      </c>
      <c r="Y12" s="41">
        <v>0</v>
      </c>
      <c r="Z12" s="41">
        <v>0</v>
      </c>
      <c r="AA12" s="41">
        <v>0</v>
      </c>
      <c r="AB12" s="41">
        <v>0</v>
      </c>
      <c r="AC12" s="40">
        <v>0</v>
      </c>
      <c r="AD12" s="38">
        <v>288316.96170777181</v>
      </c>
    </row>
    <row r="13" spans="1:30" x14ac:dyDescent="0.2">
      <c r="A13" s="43" t="s">
        <v>63</v>
      </c>
      <c r="B13" s="42" t="s">
        <v>119</v>
      </c>
      <c r="C13" s="39">
        <v>62868.287999592656</v>
      </c>
      <c r="D13" s="41">
        <v>36.281967073266884</v>
      </c>
      <c r="E13" s="41">
        <v>0</v>
      </c>
      <c r="F13" s="41">
        <v>0</v>
      </c>
      <c r="G13" s="41">
        <v>545.09716663935251</v>
      </c>
      <c r="H13" s="41">
        <v>1185.2674471940234</v>
      </c>
      <c r="I13" s="41">
        <v>0</v>
      </c>
      <c r="J13" s="41">
        <v>10397.202390041901</v>
      </c>
      <c r="K13" s="41">
        <v>12646.028141826908</v>
      </c>
      <c r="L13" s="41">
        <v>0</v>
      </c>
      <c r="M13" s="41">
        <v>3009.279856785673</v>
      </c>
      <c r="N13" s="41">
        <v>29661.620954904985</v>
      </c>
      <c r="O13" s="41">
        <v>0</v>
      </c>
      <c r="P13" s="41">
        <v>0</v>
      </c>
      <c r="Q13" s="41">
        <v>0.11987143153562826</v>
      </c>
      <c r="R13" s="41">
        <v>1.1021985971755845</v>
      </c>
      <c r="S13" s="41">
        <v>0</v>
      </c>
      <c r="T13" s="41">
        <v>0.33146243545969051</v>
      </c>
      <c r="U13" s="41">
        <v>9621.6136767932912</v>
      </c>
      <c r="V13" s="41">
        <v>0</v>
      </c>
      <c r="W13" s="41">
        <v>0</v>
      </c>
      <c r="X13" s="41">
        <v>0</v>
      </c>
      <c r="Y13" s="41">
        <v>0</v>
      </c>
      <c r="Z13" s="41">
        <v>0</v>
      </c>
      <c r="AA13" s="41">
        <v>0</v>
      </c>
      <c r="AB13" s="41">
        <v>0</v>
      </c>
      <c r="AC13" s="40">
        <v>0</v>
      </c>
      <c r="AD13" s="38">
        <v>129972.23313331623</v>
      </c>
    </row>
    <row r="14" spans="1:30" x14ac:dyDescent="0.2">
      <c r="A14" s="43" t="s">
        <v>64</v>
      </c>
      <c r="B14" s="42" t="s">
        <v>118</v>
      </c>
      <c r="C14" s="39">
        <v>742.10514695610789</v>
      </c>
      <c r="D14" s="41">
        <v>0.49432678056850793</v>
      </c>
      <c r="E14" s="41">
        <v>0</v>
      </c>
      <c r="F14" s="41">
        <v>0</v>
      </c>
      <c r="G14" s="41">
        <v>97.444311050721694</v>
      </c>
      <c r="H14" s="41">
        <v>211.88437011099862</v>
      </c>
      <c r="I14" s="41">
        <v>0</v>
      </c>
      <c r="J14" s="41">
        <v>188.71105467436337</v>
      </c>
      <c r="K14" s="41">
        <v>9.1098041468549305</v>
      </c>
      <c r="L14" s="41">
        <v>0</v>
      </c>
      <c r="M14" s="41">
        <v>200.10915673680068</v>
      </c>
      <c r="N14" s="41">
        <v>6860.0386587454896</v>
      </c>
      <c r="O14" s="41">
        <v>0</v>
      </c>
      <c r="P14" s="41">
        <v>0</v>
      </c>
      <c r="Q14" s="41">
        <v>2.1428819989411717E-2</v>
      </c>
      <c r="R14" s="41">
        <v>0.19703456469056785</v>
      </c>
      <c r="S14" s="41">
        <v>0</v>
      </c>
      <c r="T14" s="41">
        <v>0.51280310489785164</v>
      </c>
      <c r="U14" s="41">
        <v>2225.2540372848866</v>
      </c>
      <c r="V14" s="41">
        <v>0</v>
      </c>
      <c r="W14" s="41">
        <v>0</v>
      </c>
      <c r="X14" s="41">
        <v>0</v>
      </c>
      <c r="Y14" s="41">
        <v>0</v>
      </c>
      <c r="Z14" s="41">
        <v>0</v>
      </c>
      <c r="AA14" s="41">
        <v>0</v>
      </c>
      <c r="AB14" s="41">
        <v>0</v>
      </c>
      <c r="AC14" s="40">
        <v>0</v>
      </c>
      <c r="AD14" s="38">
        <v>10535.88213297637</v>
      </c>
    </row>
    <row r="15" spans="1:30" x14ac:dyDescent="0.2">
      <c r="A15" s="43" t="s">
        <v>65</v>
      </c>
      <c r="B15" s="42" t="s">
        <v>117</v>
      </c>
      <c r="C15" s="39">
        <v>6103.7953190532844</v>
      </c>
      <c r="D15" s="41">
        <v>4.0658247711832622</v>
      </c>
      <c r="E15" s="41">
        <v>0</v>
      </c>
      <c r="F15" s="41">
        <v>0</v>
      </c>
      <c r="G15" s="41">
        <v>335.83159933589809</v>
      </c>
      <c r="H15" s="41">
        <v>730.23726189225306</v>
      </c>
      <c r="I15" s="41">
        <v>0</v>
      </c>
      <c r="J15" s="41">
        <v>3255.4002835606316</v>
      </c>
      <c r="K15" s="41">
        <v>155.47045363812919</v>
      </c>
      <c r="L15" s="41">
        <v>0</v>
      </c>
      <c r="M15" s="41">
        <v>3415.1185770283205</v>
      </c>
      <c r="N15" s="41">
        <v>61805.97005773944</v>
      </c>
      <c r="O15" s="41">
        <v>0</v>
      </c>
      <c r="P15" s="41">
        <v>0</v>
      </c>
      <c r="Q15" s="41">
        <v>7.3852180915715965E-2</v>
      </c>
      <c r="R15" s="41">
        <v>0.67905896476647931</v>
      </c>
      <c r="S15" s="41">
        <v>0</v>
      </c>
      <c r="T15" s="41">
        <v>115.64545691798196</v>
      </c>
      <c r="U15" s="41">
        <v>20048.572791052557</v>
      </c>
      <c r="V15" s="41">
        <v>0</v>
      </c>
      <c r="W15" s="41">
        <v>0</v>
      </c>
      <c r="X15" s="41">
        <v>0</v>
      </c>
      <c r="Y15" s="41">
        <v>0</v>
      </c>
      <c r="Z15" s="41">
        <v>0</v>
      </c>
      <c r="AA15" s="41">
        <v>0</v>
      </c>
      <c r="AB15" s="41">
        <v>0</v>
      </c>
      <c r="AC15" s="40">
        <v>0</v>
      </c>
      <c r="AD15" s="38">
        <v>95970.860536135355</v>
      </c>
    </row>
    <row r="16" spans="1:30" x14ac:dyDescent="0.2">
      <c r="A16" s="43" t="s">
        <v>66</v>
      </c>
      <c r="B16" s="42" t="s">
        <v>116</v>
      </c>
      <c r="C16" s="39">
        <v>2089.1928878556382</v>
      </c>
      <c r="D16" s="41">
        <v>1.3916410612112129</v>
      </c>
      <c r="E16" s="41">
        <v>0</v>
      </c>
      <c r="F16" s="41">
        <v>0</v>
      </c>
      <c r="G16" s="41">
        <v>558.32862689950423</v>
      </c>
      <c r="H16" s="41">
        <v>1214.038132651604</v>
      </c>
      <c r="I16" s="41">
        <v>0</v>
      </c>
      <c r="J16" s="41">
        <v>2677.0194813607691</v>
      </c>
      <c r="K16" s="41">
        <v>121.62604577567427</v>
      </c>
      <c r="L16" s="41">
        <v>0</v>
      </c>
      <c r="M16" s="41">
        <v>394.34724353949787</v>
      </c>
      <c r="N16" s="41">
        <v>46737.825181078981</v>
      </c>
      <c r="O16" s="41">
        <v>0</v>
      </c>
      <c r="P16" s="41">
        <v>0</v>
      </c>
      <c r="Q16" s="41">
        <v>0.12278114044582067</v>
      </c>
      <c r="R16" s="41">
        <v>1.1289529041686579</v>
      </c>
      <c r="S16" s="41">
        <v>0</v>
      </c>
      <c r="T16" s="41">
        <v>0</v>
      </c>
      <c r="U16" s="41">
        <v>15160.779603701323</v>
      </c>
      <c r="V16" s="41">
        <v>0</v>
      </c>
      <c r="W16" s="41">
        <v>0</v>
      </c>
      <c r="X16" s="41">
        <v>0</v>
      </c>
      <c r="Y16" s="41">
        <v>0</v>
      </c>
      <c r="Z16" s="41">
        <v>0</v>
      </c>
      <c r="AA16" s="41">
        <v>0</v>
      </c>
      <c r="AB16" s="41">
        <v>0</v>
      </c>
      <c r="AC16" s="40">
        <v>0</v>
      </c>
      <c r="AD16" s="38">
        <v>68955.80057796881</v>
      </c>
    </row>
    <row r="17" spans="1:30" x14ac:dyDescent="0.2">
      <c r="A17" s="43" t="s">
        <v>67</v>
      </c>
      <c r="B17" s="42" t="s">
        <v>115</v>
      </c>
      <c r="C17" s="39">
        <v>1203.9792649413689</v>
      </c>
      <c r="D17" s="41">
        <v>0.80198769183972041</v>
      </c>
      <c r="E17" s="41">
        <v>0</v>
      </c>
      <c r="F17" s="41">
        <v>0</v>
      </c>
      <c r="G17" s="41">
        <v>680.10295212791664</v>
      </c>
      <c r="H17" s="41">
        <v>1478.8260501656757</v>
      </c>
      <c r="I17" s="41">
        <v>0</v>
      </c>
      <c r="J17" s="41">
        <v>1393.9494131176543</v>
      </c>
      <c r="K17" s="41">
        <v>63.331834642698269</v>
      </c>
      <c r="L17" s="41">
        <v>0</v>
      </c>
      <c r="M17" s="41">
        <v>1391.1693183129717</v>
      </c>
      <c r="N17" s="41">
        <v>24099.468983543324</v>
      </c>
      <c r="O17" s="41">
        <v>0</v>
      </c>
      <c r="P17" s="41">
        <v>0</v>
      </c>
      <c r="Q17" s="41">
        <v>0.14956033429012255</v>
      </c>
      <c r="R17" s="41">
        <v>1.3751832987719783</v>
      </c>
      <c r="S17" s="41">
        <v>0</v>
      </c>
      <c r="T17" s="41">
        <v>4201.2138853659735</v>
      </c>
      <c r="U17" s="41">
        <v>7817.3671198900556</v>
      </c>
      <c r="V17" s="41">
        <v>0</v>
      </c>
      <c r="W17" s="41">
        <v>0</v>
      </c>
      <c r="X17" s="41">
        <v>0</v>
      </c>
      <c r="Y17" s="41">
        <v>0</v>
      </c>
      <c r="Z17" s="41">
        <v>0</v>
      </c>
      <c r="AA17" s="41">
        <v>0</v>
      </c>
      <c r="AB17" s="41">
        <v>0</v>
      </c>
      <c r="AC17" s="40">
        <v>0</v>
      </c>
      <c r="AD17" s="38">
        <v>42331.735553432532</v>
      </c>
    </row>
    <row r="18" spans="1:30" x14ac:dyDescent="0.2">
      <c r="A18" s="43" t="s">
        <v>68</v>
      </c>
      <c r="B18" s="42" t="s">
        <v>114</v>
      </c>
      <c r="C18" s="39">
        <v>475288.00621199998</v>
      </c>
      <c r="D18" s="41">
        <v>0</v>
      </c>
      <c r="E18" s="41">
        <v>0</v>
      </c>
      <c r="F18" s="41">
        <v>0</v>
      </c>
      <c r="G18" s="41">
        <v>219.15253030515606</v>
      </c>
      <c r="H18" s="41">
        <v>476.52854580468221</v>
      </c>
      <c r="I18" s="41">
        <v>0</v>
      </c>
      <c r="J18" s="41">
        <v>243950.04230805987</v>
      </c>
      <c r="K18" s="41">
        <v>115643.9796381028</v>
      </c>
      <c r="L18" s="41">
        <v>0</v>
      </c>
      <c r="M18" s="41">
        <v>3866.0657004309401</v>
      </c>
      <c r="N18" s="41">
        <v>583777.29851967166</v>
      </c>
      <c r="O18" s="41">
        <v>0</v>
      </c>
      <c r="P18" s="41">
        <v>0</v>
      </c>
      <c r="Q18" s="41">
        <v>4.8193476576470759E-2</v>
      </c>
      <c r="R18" s="41">
        <v>0.44313129154391107</v>
      </c>
      <c r="S18" s="41">
        <v>0</v>
      </c>
      <c r="T18" s="41">
        <v>1.7461922416336221E-4</v>
      </c>
      <c r="U18" s="41">
        <v>30018.339907010595</v>
      </c>
      <c r="V18" s="41">
        <v>0</v>
      </c>
      <c r="W18" s="41">
        <v>0</v>
      </c>
      <c r="X18" s="41">
        <v>40978.974888000004</v>
      </c>
      <c r="Y18" s="41">
        <v>669111.39046800009</v>
      </c>
      <c r="Z18" s="41">
        <v>0</v>
      </c>
      <c r="AA18" s="41">
        <v>0</v>
      </c>
      <c r="AB18" s="41">
        <v>0</v>
      </c>
      <c r="AC18" s="40">
        <v>55302.352632000002</v>
      </c>
      <c r="AD18" s="38">
        <v>2218632.6228487734</v>
      </c>
    </row>
    <row r="19" spans="1:30" x14ac:dyDescent="0.2">
      <c r="A19" s="43" t="s">
        <v>69</v>
      </c>
      <c r="B19" s="42" t="s">
        <v>113</v>
      </c>
      <c r="C19" s="39">
        <v>0</v>
      </c>
      <c r="D19" s="41">
        <v>0</v>
      </c>
      <c r="E19" s="41">
        <v>0</v>
      </c>
      <c r="F19" s="41">
        <v>0</v>
      </c>
      <c r="G19" s="41">
        <v>5673.2664992311429</v>
      </c>
      <c r="H19" s="41">
        <v>12336.035687457592</v>
      </c>
      <c r="I19" s="41">
        <v>0</v>
      </c>
      <c r="J19" s="41">
        <v>16280.79048</v>
      </c>
      <c r="K19" s="41">
        <v>5943.2582985123927</v>
      </c>
      <c r="L19" s="41">
        <v>0</v>
      </c>
      <c r="M19" s="41">
        <v>150948.69975264726</v>
      </c>
      <c r="N19" s="41">
        <v>4362.2420923724294</v>
      </c>
      <c r="O19" s="41">
        <v>0</v>
      </c>
      <c r="P19" s="41">
        <v>0</v>
      </c>
      <c r="Q19" s="41">
        <v>1.2475988105729829</v>
      </c>
      <c r="R19" s="41">
        <v>11.47147106892405</v>
      </c>
      <c r="S19" s="41">
        <v>0</v>
      </c>
      <c r="T19" s="41">
        <v>20187.259117675523</v>
      </c>
      <c r="U19" s="41">
        <v>1415.0207178921316</v>
      </c>
      <c r="V19" s="41">
        <v>0</v>
      </c>
      <c r="W19" s="41">
        <v>0</v>
      </c>
      <c r="X19" s="41">
        <v>0</v>
      </c>
      <c r="Y19" s="41">
        <v>0</v>
      </c>
      <c r="Z19" s="41">
        <v>0</v>
      </c>
      <c r="AA19" s="41">
        <v>0</v>
      </c>
      <c r="AB19" s="41">
        <v>0</v>
      </c>
      <c r="AC19" s="40">
        <v>0</v>
      </c>
      <c r="AD19" s="38">
        <v>217159.29171566796</v>
      </c>
    </row>
    <row r="20" spans="1:30" x14ac:dyDescent="0.2">
      <c r="A20" s="43" t="s">
        <v>70</v>
      </c>
      <c r="B20" s="42" t="s">
        <v>112</v>
      </c>
      <c r="C20" s="39">
        <v>0</v>
      </c>
      <c r="D20" s="41">
        <v>0</v>
      </c>
      <c r="E20" s="41">
        <v>0</v>
      </c>
      <c r="F20" s="41">
        <v>0</v>
      </c>
      <c r="G20" s="41">
        <v>0</v>
      </c>
      <c r="H20" s="41">
        <v>0</v>
      </c>
      <c r="I20" s="41">
        <v>0</v>
      </c>
      <c r="J20" s="41">
        <v>0</v>
      </c>
      <c r="K20" s="41">
        <v>0</v>
      </c>
      <c r="L20" s="41">
        <v>0</v>
      </c>
      <c r="M20" s="41">
        <v>0</v>
      </c>
      <c r="N20" s="41">
        <v>0</v>
      </c>
      <c r="O20" s="41">
        <v>0</v>
      </c>
      <c r="P20" s="41">
        <v>0</v>
      </c>
      <c r="Q20" s="41">
        <v>0</v>
      </c>
      <c r="R20" s="41">
        <v>0</v>
      </c>
      <c r="S20" s="41">
        <v>0</v>
      </c>
      <c r="T20" s="41">
        <v>0</v>
      </c>
      <c r="U20" s="41">
        <v>0</v>
      </c>
      <c r="V20" s="41">
        <v>0</v>
      </c>
      <c r="W20" s="41">
        <v>0</v>
      </c>
      <c r="X20" s="41">
        <v>0</v>
      </c>
      <c r="Y20" s="41">
        <v>0</v>
      </c>
      <c r="Z20" s="41">
        <v>0</v>
      </c>
      <c r="AA20" s="41">
        <v>0</v>
      </c>
      <c r="AB20" s="41">
        <v>0</v>
      </c>
      <c r="AC20" s="40">
        <v>0</v>
      </c>
      <c r="AD20" s="38"/>
    </row>
    <row r="21" spans="1:30" x14ac:dyDescent="0.2">
      <c r="A21" s="43" t="s">
        <v>71</v>
      </c>
      <c r="B21" s="42" t="s">
        <v>111</v>
      </c>
      <c r="C21" s="39">
        <v>0</v>
      </c>
      <c r="D21" s="41">
        <v>0</v>
      </c>
      <c r="E21" s="41">
        <v>0</v>
      </c>
      <c r="F21" s="41">
        <v>0</v>
      </c>
      <c r="G21" s="41">
        <v>10839.664709516868</v>
      </c>
      <c r="H21" s="41">
        <v>23569.929372222621</v>
      </c>
      <c r="I21" s="41">
        <v>0</v>
      </c>
      <c r="J21" s="41">
        <v>7426.166847914139</v>
      </c>
      <c r="K21" s="41">
        <v>1718.9247214550626</v>
      </c>
      <c r="L21" s="41">
        <v>0</v>
      </c>
      <c r="M21" s="41">
        <v>4566.0108791650655</v>
      </c>
      <c r="N21" s="41">
        <v>880.1721771312674</v>
      </c>
      <c r="O21" s="41">
        <v>0</v>
      </c>
      <c r="P21" s="41">
        <v>0</v>
      </c>
      <c r="Q21" s="41">
        <v>2.3837330399402066</v>
      </c>
      <c r="R21" s="41">
        <v>21.918043181809217</v>
      </c>
      <c r="S21" s="41">
        <v>0</v>
      </c>
      <c r="T21" s="41">
        <v>2278.802649225112</v>
      </c>
      <c r="U21" s="41">
        <v>24883.793978795926</v>
      </c>
      <c r="V21" s="41">
        <v>0</v>
      </c>
      <c r="W21" s="41">
        <v>0</v>
      </c>
      <c r="X21" s="41">
        <v>0</v>
      </c>
      <c r="Y21" s="41">
        <v>0</v>
      </c>
      <c r="Z21" s="41">
        <v>0</v>
      </c>
      <c r="AA21" s="41">
        <v>0</v>
      </c>
      <c r="AB21" s="41">
        <v>0</v>
      </c>
      <c r="AC21" s="40">
        <v>0</v>
      </c>
      <c r="AD21" s="38">
        <v>76187.767111647801</v>
      </c>
    </row>
    <row r="22" spans="1:30" x14ac:dyDescent="0.2">
      <c r="A22" s="43" t="s">
        <v>72</v>
      </c>
      <c r="B22" s="42" t="s">
        <v>110</v>
      </c>
      <c r="C22" s="39">
        <v>0</v>
      </c>
      <c r="D22" s="41">
        <v>0</v>
      </c>
      <c r="E22" s="41">
        <v>0</v>
      </c>
      <c r="F22" s="41">
        <v>0</v>
      </c>
      <c r="G22" s="41">
        <v>7276.6532661971514</v>
      </c>
      <c r="H22" s="41">
        <v>15822.463899629627</v>
      </c>
      <c r="I22" s="41">
        <v>0</v>
      </c>
      <c r="J22" s="41">
        <v>4985.1764512380241</v>
      </c>
      <c r="K22" s="41">
        <v>1153.9120004091426</v>
      </c>
      <c r="L22" s="41">
        <v>0</v>
      </c>
      <c r="M22" s="41">
        <v>3065.157351979482</v>
      </c>
      <c r="N22" s="41">
        <v>590.85847387096442</v>
      </c>
      <c r="O22" s="41">
        <v>0</v>
      </c>
      <c r="P22" s="41">
        <v>0</v>
      </c>
      <c r="Q22" s="41">
        <v>1.6001969872365243</v>
      </c>
      <c r="R22" s="41">
        <v>14.713554780669119</v>
      </c>
      <c r="S22" s="41">
        <v>0</v>
      </c>
      <c r="T22" s="41">
        <v>1529.7573481165116</v>
      </c>
      <c r="U22" s="41">
        <v>16704.459555119636</v>
      </c>
      <c r="V22" s="41">
        <v>0</v>
      </c>
      <c r="W22" s="41">
        <v>0</v>
      </c>
      <c r="X22" s="41">
        <v>0</v>
      </c>
      <c r="Y22" s="41">
        <v>0</v>
      </c>
      <c r="Z22" s="41">
        <v>0</v>
      </c>
      <c r="AA22" s="41">
        <v>0</v>
      </c>
      <c r="AB22" s="41">
        <v>0</v>
      </c>
      <c r="AC22" s="40">
        <v>0</v>
      </c>
      <c r="AD22" s="38">
        <v>51144.752098328448</v>
      </c>
    </row>
    <row r="23" spans="1:30" x14ac:dyDescent="0.2">
      <c r="A23" s="43" t="s">
        <v>73</v>
      </c>
      <c r="B23" s="42" t="s">
        <v>109</v>
      </c>
      <c r="C23" s="39">
        <v>0</v>
      </c>
      <c r="D23" s="41">
        <v>0</v>
      </c>
      <c r="E23" s="41">
        <v>0</v>
      </c>
      <c r="F23" s="41">
        <v>0</v>
      </c>
      <c r="G23" s="41">
        <v>6514.9895233087709</v>
      </c>
      <c r="H23" s="41">
        <v>14166.290843880008</v>
      </c>
      <c r="I23" s="41">
        <v>0</v>
      </c>
      <c r="J23" s="41">
        <v>5637.8066640967072</v>
      </c>
      <c r="K23" s="41">
        <v>1304.9754265111785</v>
      </c>
      <c r="L23" s="41">
        <v>0</v>
      </c>
      <c r="M23" s="41">
        <v>3466.4298675332561</v>
      </c>
      <c r="N23" s="41">
        <v>563.90870526452397</v>
      </c>
      <c r="O23" s="41">
        <v>0</v>
      </c>
      <c r="P23" s="41">
        <v>0</v>
      </c>
      <c r="Q23" s="41">
        <v>1.4327007520759003</v>
      </c>
      <c r="R23" s="41">
        <v>13.173453748578243</v>
      </c>
      <c r="S23" s="41">
        <v>0</v>
      </c>
      <c r="T23" s="41">
        <v>1721.3063459945179</v>
      </c>
      <c r="U23" s="41">
        <v>15942.548979890367</v>
      </c>
      <c r="V23" s="41">
        <v>0</v>
      </c>
      <c r="W23" s="41">
        <v>0</v>
      </c>
      <c r="X23" s="41">
        <v>0</v>
      </c>
      <c r="Y23" s="41">
        <v>0</v>
      </c>
      <c r="Z23" s="41">
        <v>0</v>
      </c>
      <c r="AA23" s="41">
        <v>0</v>
      </c>
      <c r="AB23" s="41">
        <v>0</v>
      </c>
      <c r="AC23" s="40">
        <v>0</v>
      </c>
      <c r="AD23" s="38">
        <v>49332.862510979976</v>
      </c>
    </row>
    <row r="24" spans="1:30" x14ac:dyDescent="0.2">
      <c r="A24" s="43" t="s">
        <v>74</v>
      </c>
      <c r="B24" s="42" t="s">
        <v>108</v>
      </c>
      <c r="C24" s="39">
        <v>0</v>
      </c>
      <c r="D24" s="41">
        <v>0</v>
      </c>
      <c r="E24" s="41">
        <v>0</v>
      </c>
      <c r="F24" s="41">
        <v>0</v>
      </c>
      <c r="G24" s="41">
        <v>204613.50804679262</v>
      </c>
      <c r="H24" s="41">
        <v>0</v>
      </c>
      <c r="I24" s="41">
        <v>0</v>
      </c>
      <c r="J24" s="41">
        <v>0</v>
      </c>
      <c r="K24" s="41">
        <v>0</v>
      </c>
      <c r="L24" s="41">
        <v>0</v>
      </c>
      <c r="M24" s="41">
        <v>0</v>
      </c>
      <c r="N24" s="41">
        <v>322.09052400000002</v>
      </c>
      <c r="O24" s="41">
        <v>0</v>
      </c>
      <c r="P24" s="41">
        <v>0</v>
      </c>
      <c r="Q24" s="41">
        <v>0</v>
      </c>
      <c r="R24" s="41">
        <v>413.73306510243111</v>
      </c>
      <c r="S24" s="41">
        <v>0</v>
      </c>
      <c r="T24" s="41">
        <v>0</v>
      </c>
      <c r="U24" s="41">
        <v>0</v>
      </c>
      <c r="V24" s="41">
        <v>0</v>
      </c>
      <c r="W24" s="41">
        <v>0</v>
      </c>
      <c r="X24" s="41">
        <v>0</v>
      </c>
      <c r="Y24" s="41">
        <v>0</v>
      </c>
      <c r="Z24" s="41">
        <v>0</v>
      </c>
      <c r="AA24" s="41">
        <v>0</v>
      </c>
      <c r="AB24" s="41">
        <v>0</v>
      </c>
      <c r="AC24" s="40">
        <v>0</v>
      </c>
      <c r="AD24" s="38">
        <v>205349.33163589504</v>
      </c>
    </row>
    <row r="25" spans="1:30" x14ac:dyDescent="0.2">
      <c r="A25" s="43" t="s">
        <v>75</v>
      </c>
      <c r="B25" s="42" t="s">
        <v>107</v>
      </c>
      <c r="C25" s="39">
        <v>0</v>
      </c>
      <c r="D25" s="41">
        <v>0</v>
      </c>
      <c r="E25" s="41">
        <v>0</v>
      </c>
      <c r="F25" s="41">
        <v>0</v>
      </c>
      <c r="G25" s="41">
        <v>0</v>
      </c>
      <c r="H25" s="41">
        <v>0</v>
      </c>
      <c r="I25" s="41">
        <v>0</v>
      </c>
      <c r="J25" s="41">
        <v>80234.53160033391</v>
      </c>
      <c r="K25" s="41">
        <v>14055.975225426644</v>
      </c>
      <c r="L25" s="41">
        <v>0</v>
      </c>
      <c r="M25" s="41">
        <v>34.69185860514829</v>
      </c>
      <c r="N25" s="41">
        <v>0</v>
      </c>
      <c r="O25" s="41">
        <v>0</v>
      </c>
      <c r="P25" s="41">
        <v>0</v>
      </c>
      <c r="Q25" s="41">
        <v>0</v>
      </c>
      <c r="R25" s="41">
        <v>0</v>
      </c>
      <c r="S25" s="41">
        <v>0</v>
      </c>
      <c r="T25" s="41">
        <v>0</v>
      </c>
      <c r="U25" s="41">
        <v>0</v>
      </c>
      <c r="V25" s="41">
        <v>0</v>
      </c>
      <c r="W25" s="41">
        <v>0</v>
      </c>
      <c r="X25" s="41">
        <v>0</v>
      </c>
      <c r="Y25" s="41">
        <v>0</v>
      </c>
      <c r="Z25" s="41">
        <v>0</v>
      </c>
      <c r="AA25" s="41">
        <v>0</v>
      </c>
      <c r="AB25" s="41">
        <v>0</v>
      </c>
      <c r="AC25" s="40">
        <v>0</v>
      </c>
      <c r="AD25" s="38">
        <v>94325.198684365721</v>
      </c>
    </row>
    <row r="26" spans="1:30" x14ac:dyDescent="0.2">
      <c r="A26" s="43" t="s">
        <v>76</v>
      </c>
      <c r="B26" s="42" t="s">
        <v>106</v>
      </c>
      <c r="C26" s="39">
        <v>0</v>
      </c>
      <c r="D26" s="41">
        <v>0</v>
      </c>
      <c r="E26" s="41">
        <v>0</v>
      </c>
      <c r="F26" s="41">
        <v>0</v>
      </c>
      <c r="G26" s="41">
        <v>0</v>
      </c>
      <c r="H26" s="41">
        <v>0</v>
      </c>
      <c r="I26" s="41">
        <v>2995.7443703186</v>
      </c>
      <c r="J26" s="41">
        <v>0</v>
      </c>
      <c r="K26" s="41">
        <v>0</v>
      </c>
      <c r="L26" s="41">
        <v>0</v>
      </c>
      <c r="M26" s="41">
        <v>0</v>
      </c>
      <c r="N26" s="41">
        <v>0</v>
      </c>
      <c r="O26" s="41">
        <v>0</v>
      </c>
      <c r="P26" s="41">
        <v>0</v>
      </c>
      <c r="Q26" s="41">
        <v>0</v>
      </c>
      <c r="R26" s="41">
        <v>0</v>
      </c>
      <c r="S26" s="41">
        <v>0</v>
      </c>
      <c r="T26" s="41">
        <v>0</v>
      </c>
      <c r="U26" s="41">
        <v>0</v>
      </c>
      <c r="V26" s="41">
        <v>0</v>
      </c>
      <c r="W26" s="41">
        <v>0</v>
      </c>
      <c r="X26" s="41">
        <v>0</v>
      </c>
      <c r="Y26" s="41">
        <v>0</v>
      </c>
      <c r="Z26" s="41">
        <v>0</v>
      </c>
      <c r="AA26" s="41">
        <v>0</v>
      </c>
      <c r="AB26" s="41">
        <v>0</v>
      </c>
      <c r="AC26" s="40">
        <v>0</v>
      </c>
      <c r="AD26" s="38">
        <v>2995.7443703186</v>
      </c>
    </row>
    <row r="27" spans="1:30" x14ac:dyDescent="0.2">
      <c r="A27" s="43" t="s">
        <v>77</v>
      </c>
      <c r="B27" s="42" t="s">
        <v>105</v>
      </c>
      <c r="C27" s="39">
        <v>0</v>
      </c>
      <c r="D27" s="41">
        <v>0</v>
      </c>
      <c r="E27" s="41">
        <v>0</v>
      </c>
      <c r="F27" s="41">
        <v>0</v>
      </c>
      <c r="G27" s="41">
        <v>25544.572732364824</v>
      </c>
      <c r="H27" s="41">
        <v>0</v>
      </c>
      <c r="I27" s="41">
        <v>0</v>
      </c>
      <c r="J27" s="41">
        <v>90.218102637514676</v>
      </c>
      <c r="K27" s="41">
        <v>20.882661287087835</v>
      </c>
      <c r="L27" s="41">
        <v>0</v>
      </c>
      <c r="M27" s="41">
        <v>55.47099150569457</v>
      </c>
      <c r="N27" s="41">
        <v>60.154869913559644</v>
      </c>
      <c r="O27" s="41">
        <v>0</v>
      </c>
      <c r="P27" s="41">
        <v>0</v>
      </c>
      <c r="Q27" s="41">
        <v>0</v>
      </c>
      <c r="R27" s="41">
        <v>51.651694329371281</v>
      </c>
      <c r="S27" s="41">
        <v>0</v>
      </c>
      <c r="T27" s="41">
        <v>0</v>
      </c>
      <c r="U27" s="41">
        <v>1700.6688334878431</v>
      </c>
      <c r="V27" s="41">
        <v>0</v>
      </c>
      <c r="W27" s="41">
        <v>0</v>
      </c>
      <c r="X27" s="41">
        <v>0</v>
      </c>
      <c r="Y27" s="41">
        <v>0</v>
      </c>
      <c r="Z27" s="41">
        <v>0</v>
      </c>
      <c r="AA27" s="41">
        <v>0</v>
      </c>
      <c r="AB27" s="41">
        <v>0</v>
      </c>
      <c r="AC27" s="40">
        <v>0</v>
      </c>
      <c r="AD27" s="38">
        <v>27523.619885525895</v>
      </c>
    </row>
    <row r="28" spans="1:30" x14ac:dyDescent="0.2">
      <c r="A28" s="43" t="s">
        <v>78</v>
      </c>
      <c r="B28" s="42" t="s">
        <v>104</v>
      </c>
      <c r="C28" s="39">
        <v>0</v>
      </c>
      <c r="D28" s="41">
        <v>0</v>
      </c>
      <c r="E28" s="41">
        <v>0</v>
      </c>
      <c r="F28" s="41">
        <v>0</v>
      </c>
      <c r="G28" s="41">
        <v>13866.410590149444</v>
      </c>
      <c r="H28" s="41">
        <v>0</v>
      </c>
      <c r="I28" s="41">
        <v>0</v>
      </c>
      <c r="J28" s="41">
        <v>648.61564683422694</v>
      </c>
      <c r="K28" s="41">
        <v>150.13417997456904</v>
      </c>
      <c r="L28" s="41">
        <v>0</v>
      </c>
      <c r="M28" s="41">
        <v>398.8041422303375</v>
      </c>
      <c r="N28" s="41">
        <v>183.81313748095735</v>
      </c>
      <c r="O28" s="41">
        <v>0</v>
      </c>
      <c r="P28" s="41">
        <v>0</v>
      </c>
      <c r="Q28" s="41">
        <v>0</v>
      </c>
      <c r="R28" s="41">
        <v>28.038190685432948</v>
      </c>
      <c r="S28" s="41">
        <v>0</v>
      </c>
      <c r="T28" s="41">
        <v>0</v>
      </c>
      <c r="U28" s="41">
        <v>5196.6744263379287</v>
      </c>
      <c r="V28" s="41">
        <v>0</v>
      </c>
      <c r="W28" s="41">
        <v>0</v>
      </c>
      <c r="X28" s="41">
        <v>0</v>
      </c>
      <c r="Y28" s="41">
        <v>0</v>
      </c>
      <c r="Z28" s="41">
        <v>0</v>
      </c>
      <c r="AA28" s="41">
        <v>0</v>
      </c>
      <c r="AB28" s="41">
        <v>0</v>
      </c>
      <c r="AC28" s="40">
        <v>0</v>
      </c>
      <c r="AD28" s="38">
        <v>20472.490313692895</v>
      </c>
    </row>
    <row r="29" spans="1:30" x14ac:dyDescent="0.2">
      <c r="A29" s="43" t="s">
        <v>79</v>
      </c>
      <c r="B29" s="42" t="s">
        <v>103</v>
      </c>
      <c r="C29" s="39">
        <v>0</v>
      </c>
      <c r="D29" s="41">
        <v>0</v>
      </c>
      <c r="E29" s="41">
        <v>0</v>
      </c>
      <c r="F29" s="41">
        <v>0</v>
      </c>
      <c r="G29" s="41">
        <v>791.2981430407724</v>
      </c>
      <c r="H29" s="41">
        <v>1720.6105395000914</v>
      </c>
      <c r="I29" s="41">
        <v>0</v>
      </c>
      <c r="J29" s="41">
        <v>410.28989648180072</v>
      </c>
      <c r="K29" s="41">
        <v>94.969243281128058</v>
      </c>
      <c r="L29" s="41">
        <v>0</v>
      </c>
      <c r="M29" s="41">
        <v>252.26852147465658</v>
      </c>
      <c r="N29" s="41">
        <v>51.776003217913122</v>
      </c>
      <c r="O29" s="41">
        <v>0</v>
      </c>
      <c r="P29" s="41">
        <v>0</v>
      </c>
      <c r="Q29" s="41">
        <v>0.1740130879097728</v>
      </c>
      <c r="R29" s="41">
        <v>1.6000224484458354</v>
      </c>
      <c r="S29" s="41">
        <v>0</v>
      </c>
      <c r="T29" s="41">
        <v>2.593254793421736E-3</v>
      </c>
      <c r="U29" s="41">
        <v>1463.7856439852878</v>
      </c>
      <c r="V29" s="41">
        <v>0</v>
      </c>
      <c r="W29" s="41">
        <v>0</v>
      </c>
      <c r="X29" s="41">
        <v>0</v>
      </c>
      <c r="Y29" s="41">
        <v>0</v>
      </c>
      <c r="Z29" s="41">
        <v>0</v>
      </c>
      <c r="AA29" s="41">
        <v>0</v>
      </c>
      <c r="AB29" s="41">
        <v>0</v>
      </c>
      <c r="AC29" s="40">
        <v>0</v>
      </c>
      <c r="AD29" s="38">
        <v>4786.7746197727984</v>
      </c>
    </row>
    <row r="30" spans="1:30" x14ac:dyDescent="0.2">
      <c r="A30" s="43" t="s">
        <v>80</v>
      </c>
      <c r="B30" s="42" t="s">
        <v>102</v>
      </c>
      <c r="C30" s="39">
        <v>0</v>
      </c>
      <c r="D30" s="41">
        <v>0</v>
      </c>
      <c r="E30" s="41">
        <v>0</v>
      </c>
      <c r="F30" s="41">
        <v>0</v>
      </c>
      <c r="G30" s="41">
        <v>505.98097138501578</v>
      </c>
      <c r="H30" s="41">
        <v>1100.2126060931423</v>
      </c>
      <c r="I30" s="41">
        <v>0</v>
      </c>
      <c r="J30" s="41">
        <v>2848.7755045436525</v>
      </c>
      <c r="K30" s="41">
        <v>659.40218431950871</v>
      </c>
      <c r="L30" s="41">
        <v>0</v>
      </c>
      <c r="M30" s="41">
        <v>1751.5819685224042</v>
      </c>
      <c r="N30" s="41">
        <v>377.76669535363112</v>
      </c>
      <c r="O30" s="41">
        <v>0</v>
      </c>
      <c r="P30" s="41">
        <v>0</v>
      </c>
      <c r="Q30" s="41">
        <v>0.11126945264391486</v>
      </c>
      <c r="R30" s="41">
        <v>1.0231047801924902</v>
      </c>
      <c r="S30" s="41">
        <v>0</v>
      </c>
      <c r="T30" s="41">
        <v>21.36062808004661</v>
      </c>
      <c r="U30" s="41">
        <v>10680.033820051529</v>
      </c>
      <c r="V30" s="41">
        <v>0</v>
      </c>
      <c r="W30" s="41">
        <v>0</v>
      </c>
      <c r="X30" s="41">
        <v>0</v>
      </c>
      <c r="Y30" s="41">
        <v>0</v>
      </c>
      <c r="Z30" s="41">
        <v>0</v>
      </c>
      <c r="AA30" s="41">
        <v>0</v>
      </c>
      <c r="AB30" s="41">
        <v>0</v>
      </c>
      <c r="AC30" s="40">
        <v>0</v>
      </c>
      <c r="AD30" s="38">
        <v>17946.248752581767</v>
      </c>
    </row>
    <row r="31" spans="1:30" x14ac:dyDescent="0.2">
      <c r="A31" s="43" t="s">
        <v>81</v>
      </c>
      <c r="B31" s="42" t="s">
        <v>101</v>
      </c>
      <c r="C31" s="39">
        <v>0</v>
      </c>
      <c r="D31" s="41">
        <v>0</v>
      </c>
      <c r="E31" s="41">
        <v>0</v>
      </c>
      <c r="F31" s="41">
        <v>0</v>
      </c>
      <c r="G31" s="41">
        <v>627.19397532195819</v>
      </c>
      <c r="H31" s="41">
        <v>1363.7799781798765</v>
      </c>
      <c r="I31" s="41">
        <v>0</v>
      </c>
      <c r="J31" s="41">
        <v>2126.2382478192285</v>
      </c>
      <c r="K31" s="41">
        <v>492.1574700286111</v>
      </c>
      <c r="L31" s="41">
        <v>0</v>
      </c>
      <c r="M31" s="41">
        <v>1307.3268039979962</v>
      </c>
      <c r="N31" s="41">
        <v>150.04867901638039</v>
      </c>
      <c r="O31" s="41">
        <v>0</v>
      </c>
      <c r="P31" s="41">
        <v>0</v>
      </c>
      <c r="Q31" s="41">
        <v>0.13792520723577159</v>
      </c>
      <c r="R31" s="41">
        <v>1.2682001706573054</v>
      </c>
      <c r="S31" s="41">
        <v>0</v>
      </c>
      <c r="T31" s="41">
        <v>0.78605086474858832</v>
      </c>
      <c r="U31" s="41">
        <v>4242.1022982157265</v>
      </c>
      <c r="V31" s="41">
        <v>0</v>
      </c>
      <c r="W31" s="41">
        <v>0</v>
      </c>
      <c r="X31" s="41">
        <v>0</v>
      </c>
      <c r="Y31" s="41">
        <v>0</v>
      </c>
      <c r="Z31" s="41">
        <v>0</v>
      </c>
      <c r="AA31" s="41">
        <v>0</v>
      </c>
      <c r="AB31" s="41">
        <v>0</v>
      </c>
      <c r="AC31" s="40">
        <v>0</v>
      </c>
      <c r="AD31" s="38">
        <v>10311.03962882242</v>
      </c>
    </row>
    <row r="32" spans="1:30" x14ac:dyDescent="0.2">
      <c r="A32" s="43" t="s">
        <v>82</v>
      </c>
      <c r="B32" s="42" t="s">
        <v>100</v>
      </c>
      <c r="C32" s="39">
        <v>0</v>
      </c>
      <c r="D32" s="41">
        <v>0</v>
      </c>
      <c r="E32" s="41">
        <v>0</v>
      </c>
      <c r="F32" s="41">
        <v>0</v>
      </c>
      <c r="G32" s="41">
        <v>3660.0569765722694</v>
      </c>
      <c r="H32" s="41">
        <v>7958.4827342841345</v>
      </c>
      <c r="I32" s="41">
        <v>0</v>
      </c>
      <c r="J32" s="41">
        <v>4052.4372987656488</v>
      </c>
      <c r="K32" s="41">
        <v>938.01213972877724</v>
      </c>
      <c r="L32" s="41">
        <v>0</v>
      </c>
      <c r="M32" s="41">
        <v>2491.6586406209681</v>
      </c>
      <c r="N32" s="41">
        <v>267.46065679873089</v>
      </c>
      <c r="O32" s="41">
        <v>0</v>
      </c>
      <c r="P32" s="41">
        <v>0</v>
      </c>
      <c r="Q32" s="41">
        <v>0.80487717811594905</v>
      </c>
      <c r="R32" s="41">
        <v>7.4007166282515575</v>
      </c>
      <c r="S32" s="41">
        <v>0</v>
      </c>
      <c r="T32" s="41">
        <v>106.90993736652226</v>
      </c>
      <c r="U32" s="41">
        <v>7561.5158648902443</v>
      </c>
      <c r="V32" s="41">
        <v>0</v>
      </c>
      <c r="W32" s="41">
        <v>0</v>
      </c>
      <c r="X32" s="41">
        <v>0</v>
      </c>
      <c r="Y32" s="41">
        <v>0</v>
      </c>
      <c r="Z32" s="41">
        <v>0</v>
      </c>
      <c r="AA32" s="41">
        <v>0</v>
      </c>
      <c r="AB32" s="41">
        <v>0</v>
      </c>
      <c r="AC32" s="40">
        <v>0</v>
      </c>
      <c r="AD32" s="38">
        <v>27044.739842833664</v>
      </c>
    </row>
    <row r="33" spans="1:30" x14ac:dyDescent="0.2">
      <c r="A33" s="43" t="s">
        <v>83</v>
      </c>
      <c r="B33" s="42" t="s">
        <v>99</v>
      </c>
      <c r="C33" s="39">
        <v>0</v>
      </c>
      <c r="D33" s="41">
        <v>0</v>
      </c>
      <c r="E33" s="41">
        <v>0</v>
      </c>
      <c r="F33" s="41">
        <v>0</v>
      </c>
      <c r="G33" s="41">
        <v>5278.6971632557825</v>
      </c>
      <c r="H33" s="41">
        <v>11478.078210856036</v>
      </c>
      <c r="I33" s="41">
        <v>0</v>
      </c>
      <c r="J33" s="41">
        <v>442.28647874648777</v>
      </c>
      <c r="K33" s="41">
        <v>102.37544857966505</v>
      </c>
      <c r="L33" s="41">
        <v>0</v>
      </c>
      <c r="M33" s="41">
        <v>271.94175878654067</v>
      </c>
      <c r="N33" s="41">
        <v>72.301915985270682</v>
      </c>
      <c r="O33" s="41">
        <v>0</v>
      </c>
      <c r="P33" s="41">
        <v>0</v>
      </c>
      <c r="Q33" s="41">
        <v>1.1608297095060502</v>
      </c>
      <c r="R33" s="41">
        <v>10.673643093992972</v>
      </c>
      <c r="S33" s="41">
        <v>0</v>
      </c>
      <c r="T33" s="41">
        <v>2413.8931697628068</v>
      </c>
      <c r="U33" s="41">
        <v>2044.0841330768014</v>
      </c>
      <c r="V33" s="41">
        <v>0</v>
      </c>
      <c r="W33" s="41">
        <v>0</v>
      </c>
      <c r="X33" s="41">
        <v>0</v>
      </c>
      <c r="Y33" s="41">
        <v>0</v>
      </c>
      <c r="Z33" s="41">
        <v>0</v>
      </c>
      <c r="AA33" s="41">
        <v>0</v>
      </c>
      <c r="AB33" s="41">
        <v>0</v>
      </c>
      <c r="AC33" s="40">
        <v>0</v>
      </c>
      <c r="AD33" s="38">
        <v>22115.492751852893</v>
      </c>
    </row>
    <row r="34" spans="1:30" x14ac:dyDescent="0.2">
      <c r="A34" s="43" t="s">
        <v>84</v>
      </c>
      <c r="B34" s="42" t="s">
        <v>98</v>
      </c>
      <c r="C34" s="39">
        <v>0</v>
      </c>
      <c r="D34" s="41">
        <v>0</v>
      </c>
      <c r="E34" s="41">
        <v>0</v>
      </c>
      <c r="F34" s="41">
        <v>0</v>
      </c>
      <c r="G34" s="41">
        <v>1201.5960706625915</v>
      </c>
      <c r="H34" s="41">
        <v>2612.7685014640838</v>
      </c>
      <c r="I34" s="41">
        <v>0</v>
      </c>
      <c r="J34" s="41">
        <v>218.7800701719807</v>
      </c>
      <c r="K34" s="41">
        <v>50.640724734850323</v>
      </c>
      <c r="L34" s="41">
        <v>0</v>
      </c>
      <c r="M34" s="41">
        <v>134.51787456544233</v>
      </c>
      <c r="N34" s="41">
        <v>38.239866309512827</v>
      </c>
      <c r="O34" s="41">
        <v>0</v>
      </c>
      <c r="P34" s="41">
        <v>0</v>
      </c>
      <c r="Q34" s="41">
        <v>0.26424103798948678</v>
      </c>
      <c r="R34" s="41">
        <v>2.4296539855842827</v>
      </c>
      <c r="S34" s="41">
        <v>0</v>
      </c>
      <c r="T34" s="41">
        <v>229.05798709316036</v>
      </c>
      <c r="U34" s="41">
        <v>1081.098652906752</v>
      </c>
      <c r="V34" s="41">
        <v>0</v>
      </c>
      <c r="W34" s="41">
        <v>0</v>
      </c>
      <c r="X34" s="41">
        <v>0</v>
      </c>
      <c r="Y34" s="41">
        <v>0</v>
      </c>
      <c r="Z34" s="41">
        <v>0</v>
      </c>
      <c r="AA34" s="41">
        <v>0</v>
      </c>
      <c r="AB34" s="41">
        <v>0</v>
      </c>
      <c r="AC34" s="40">
        <v>0</v>
      </c>
      <c r="AD34" s="38">
        <v>5569.3936429319474</v>
      </c>
    </row>
    <row r="35" spans="1:30" x14ac:dyDescent="0.2">
      <c r="A35" s="43" t="s">
        <v>85</v>
      </c>
      <c r="B35" s="42" t="s">
        <v>97</v>
      </c>
      <c r="C35" s="39">
        <v>0</v>
      </c>
      <c r="D35" s="41">
        <v>0</v>
      </c>
      <c r="E35" s="41">
        <v>0</v>
      </c>
      <c r="F35" s="41">
        <v>0</v>
      </c>
      <c r="G35" s="41">
        <v>5998.1441227483083</v>
      </c>
      <c r="H35" s="41">
        <v>13042.454460188837</v>
      </c>
      <c r="I35" s="41">
        <v>0</v>
      </c>
      <c r="J35" s="41">
        <v>1555.2784066907634</v>
      </c>
      <c r="K35" s="41">
        <v>359.99817358761612</v>
      </c>
      <c r="L35" s="41">
        <v>0</v>
      </c>
      <c r="M35" s="41">
        <v>956.26967054681529</v>
      </c>
      <c r="N35" s="41">
        <v>608.56259198565363</v>
      </c>
      <c r="O35" s="41">
        <v>0</v>
      </c>
      <c r="P35" s="41">
        <v>0</v>
      </c>
      <c r="Q35" s="41">
        <v>1.3190421204786118</v>
      </c>
      <c r="R35" s="41">
        <v>12.128380850902921</v>
      </c>
      <c r="S35" s="41">
        <v>0</v>
      </c>
      <c r="T35" s="41">
        <v>191.50746362255464</v>
      </c>
      <c r="U35" s="41">
        <v>17204.981656577173</v>
      </c>
      <c r="V35" s="41">
        <v>0</v>
      </c>
      <c r="W35" s="41">
        <v>0</v>
      </c>
      <c r="X35" s="41">
        <v>0</v>
      </c>
      <c r="Y35" s="41">
        <v>0</v>
      </c>
      <c r="Z35" s="41">
        <v>0</v>
      </c>
      <c r="AA35" s="41">
        <v>0</v>
      </c>
      <c r="AB35" s="41">
        <v>0</v>
      </c>
      <c r="AC35" s="40">
        <v>0</v>
      </c>
      <c r="AD35" s="38">
        <v>39930.643968919103</v>
      </c>
    </row>
    <row r="36" spans="1:30" x14ac:dyDescent="0.2">
      <c r="A36" s="43" t="s">
        <v>86</v>
      </c>
      <c r="B36" s="42" t="s">
        <v>96</v>
      </c>
      <c r="C36" s="39">
        <v>0</v>
      </c>
      <c r="D36" s="41">
        <v>0</v>
      </c>
      <c r="E36" s="41">
        <v>0</v>
      </c>
      <c r="F36" s="41">
        <v>0</v>
      </c>
      <c r="G36" s="41">
        <v>0</v>
      </c>
      <c r="H36" s="41">
        <v>0</v>
      </c>
      <c r="I36" s="41">
        <v>0</v>
      </c>
      <c r="J36" s="41">
        <v>0</v>
      </c>
      <c r="K36" s="41">
        <v>0</v>
      </c>
      <c r="L36" s="41">
        <v>0</v>
      </c>
      <c r="M36" s="41">
        <v>0</v>
      </c>
      <c r="N36" s="41">
        <v>0</v>
      </c>
      <c r="O36" s="41">
        <v>0</v>
      </c>
      <c r="P36" s="41">
        <v>0</v>
      </c>
      <c r="Q36" s="41">
        <v>0</v>
      </c>
      <c r="R36" s="41">
        <v>0</v>
      </c>
      <c r="S36" s="41">
        <v>0</v>
      </c>
      <c r="T36" s="41">
        <v>0</v>
      </c>
      <c r="U36" s="41">
        <v>0</v>
      </c>
      <c r="V36" s="41">
        <v>0</v>
      </c>
      <c r="W36" s="41">
        <v>0</v>
      </c>
      <c r="X36" s="41">
        <v>0</v>
      </c>
      <c r="Y36" s="41">
        <v>0</v>
      </c>
      <c r="Z36" s="41">
        <v>0</v>
      </c>
      <c r="AA36" s="41">
        <v>0</v>
      </c>
      <c r="AB36" s="41">
        <v>0</v>
      </c>
      <c r="AC36" s="40">
        <v>0</v>
      </c>
      <c r="AD36" s="38"/>
    </row>
    <row r="37" spans="1:30" x14ac:dyDescent="0.2">
      <c r="A37" s="37" t="s">
        <v>87</v>
      </c>
      <c r="B37" s="36" t="s">
        <v>95</v>
      </c>
      <c r="C37" s="33">
        <v>0</v>
      </c>
      <c r="D37" s="35">
        <v>0</v>
      </c>
      <c r="E37" s="35">
        <v>0</v>
      </c>
      <c r="F37" s="35">
        <v>0</v>
      </c>
      <c r="G37" s="35">
        <v>0</v>
      </c>
      <c r="H37" s="35">
        <v>0</v>
      </c>
      <c r="I37" s="35">
        <v>0</v>
      </c>
      <c r="J37" s="35">
        <v>0</v>
      </c>
      <c r="K37" s="35">
        <v>0</v>
      </c>
      <c r="L37" s="35">
        <v>0</v>
      </c>
      <c r="M37" s="35">
        <v>0</v>
      </c>
      <c r="N37" s="35">
        <v>0</v>
      </c>
      <c r="O37" s="35">
        <v>0</v>
      </c>
      <c r="P37" s="35">
        <v>0</v>
      </c>
      <c r="Q37" s="35">
        <v>0</v>
      </c>
      <c r="R37" s="35">
        <v>0</v>
      </c>
      <c r="S37" s="35">
        <v>0</v>
      </c>
      <c r="T37" s="35">
        <v>0</v>
      </c>
      <c r="U37" s="35">
        <v>0</v>
      </c>
      <c r="V37" s="35">
        <v>0</v>
      </c>
      <c r="W37" s="35">
        <v>0</v>
      </c>
      <c r="X37" s="35">
        <v>0</v>
      </c>
      <c r="Y37" s="35">
        <v>0</v>
      </c>
      <c r="Z37" s="35">
        <v>0</v>
      </c>
      <c r="AA37" s="35">
        <v>0</v>
      </c>
      <c r="AB37" s="35">
        <v>0</v>
      </c>
      <c r="AC37" s="34">
        <v>0</v>
      </c>
      <c r="AD37" s="32"/>
    </row>
    <row r="38" spans="1:30" x14ac:dyDescent="0.2">
      <c r="A38" s="30" t="s">
        <v>94</v>
      </c>
      <c r="B38" s="29" t="s">
        <v>93</v>
      </c>
      <c r="C38" s="25">
        <v>1175086.9659599999</v>
      </c>
      <c r="D38" s="27">
        <v>1219.9916520000004</v>
      </c>
      <c r="E38" s="27">
        <v>0</v>
      </c>
      <c r="F38" s="27">
        <v>2079288.4324680001</v>
      </c>
      <c r="G38" s="27">
        <v>351894.95899479976</v>
      </c>
      <c r="H38" s="27">
        <v>234555.16119878361</v>
      </c>
      <c r="I38" s="27">
        <v>2995.7443703186</v>
      </c>
      <c r="J38" s="27">
        <v>692972.83720433386</v>
      </c>
      <c r="K38" s="27">
        <v>209588.70431742666</v>
      </c>
      <c r="L38" s="27">
        <v>109304.99694</v>
      </c>
      <c r="M38" s="27">
        <v>224526.34424660515</v>
      </c>
      <c r="N38" s="27">
        <v>1471074.0061320004</v>
      </c>
      <c r="O38" s="27">
        <v>0</v>
      </c>
      <c r="P38" s="27">
        <v>0</v>
      </c>
      <c r="Q38" s="27">
        <v>23.721619127843717</v>
      </c>
      <c r="R38" s="27">
        <v>711.53943534225527</v>
      </c>
      <c r="S38" s="27">
        <v>0</v>
      </c>
      <c r="T38" s="27">
        <v>331413.31342800008</v>
      </c>
      <c r="U38" s="27">
        <v>306674.39145600004</v>
      </c>
      <c r="V38" s="27">
        <v>0</v>
      </c>
      <c r="W38" s="27">
        <v>0</v>
      </c>
      <c r="X38" s="27">
        <v>40978.974888000004</v>
      </c>
      <c r="Y38" s="27">
        <v>669111.39046800009</v>
      </c>
      <c r="Z38" s="27">
        <v>0</v>
      </c>
      <c r="AA38" s="27">
        <v>0</v>
      </c>
      <c r="AB38" s="27">
        <v>0</v>
      </c>
      <c r="AC38" s="26">
        <v>55302.352632000002</v>
      </c>
      <c r="AD38" s="24">
        <v>7956723.8274107389</v>
      </c>
    </row>
    <row r="39" spans="1:30" x14ac:dyDescent="0.2">
      <c r="A39" s="31"/>
      <c r="B39" s="31"/>
    </row>
    <row r="40" spans="1:30" x14ac:dyDescent="0.2">
      <c r="A40" s="30" t="s">
        <v>92</v>
      </c>
      <c r="B40" s="29" t="s">
        <v>91</v>
      </c>
      <c r="C40" s="28"/>
      <c r="D40" s="27"/>
      <c r="E40" s="27"/>
      <c r="F40" s="27"/>
      <c r="G40" s="27">
        <v>30250.530855272038</v>
      </c>
      <c r="H40" s="27">
        <v>559468.04174198164</v>
      </c>
      <c r="I40" s="27"/>
      <c r="J40" s="27"/>
      <c r="K40" s="27"/>
      <c r="L40" s="27"/>
      <c r="M40" s="27">
        <v>275662.68012000003</v>
      </c>
      <c r="N40" s="27">
        <v>748.59983999999997</v>
      </c>
      <c r="O40" s="27"/>
      <c r="P40" s="27"/>
      <c r="Q40" s="27">
        <v>56.581521091136338</v>
      </c>
      <c r="R40" s="27">
        <v>61.16724634262755</v>
      </c>
      <c r="S40" s="27"/>
      <c r="T40" s="27">
        <v>1889595.0752039999</v>
      </c>
      <c r="U40" s="27">
        <v>197837.60436000003</v>
      </c>
      <c r="V40" s="27"/>
      <c r="W40" s="27"/>
      <c r="X40" s="27"/>
      <c r="Y40" s="27"/>
      <c r="Z40" s="27"/>
      <c r="AA40" s="27"/>
      <c r="AB40" s="27"/>
      <c r="AC40" s="26"/>
      <c r="AD40" s="24">
        <v>2953680.2808886874</v>
      </c>
    </row>
    <row r="41" spans="1:30" x14ac:dyDescent="0.2">
      <c r="A41" s="31"/>
      <c r="B41" s="31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</row>
    <row r="42" spans="1:30" x14ac:dyDescent="0.2">
      <c r="A42" s="30" t="s">
        <v>90</v>
      </c>
      <c r="B42" s="29" t="s">
        <v>89</v>
      </c>
      <c r="C42" s="28">
        <v>1175086.9659599999</v>
      </c>
      <c r="D42" s="27">
        <v>1219.9916520000004</v>
      </c>
      <c r="E42" s="27"/>
      <c r="F42" s="27">
        <v>2079288.4324680001</v>
      </c>
      <c r="G42" s="27">
        <v>382145.48985007178</v>
      </c>
      <c r="H42" s="27">
        <v>794023.2029407653</v>
      </c>
      <c r="I42" s="27">
        <v>2995.7443703186</v>
      </c>
      <c r="J42" s="27">
        <v>692972.83720433386</v>
      </c>
      <c r="K42" s="27">
        <v>209588.70431742666</v>
      </c>
      <c r="L42" s="27">
        <v>109304.99694</v>
      </c>
      <c r="M42" s="27">
        <v>500189.02436660521</v>
      </c>
      <c r="N42" s="27">
        <v>1471822.6059720004</v>
      </c>
      <c r="O42" s="27"/>
      <c r="P42" s="27"/>
      <c r="Q42" s="27">
        <v>80.303140218980047</v>
      </c>
      <c r="R42" s="27">
        <v>772.70668168488282</v>
      </c>
      <c r="S42" s="27"/>
      <c r="T42" s="27">
        <v>2221008.388632</v>
      </c>
      <c r="U42" s="27">
        <v>504511.99581600004</v>
      </c>
      <c r="V42" s="27"/>
      <c r="W42" s="27"/>
      <c r="X42" s="27">
        <v>40978.974888000004</v>
      </c>
      <c r="Y42" s="27">
        <v>669111.39046800009</v>
      </c>
      <c r="Z42" s="27"/>
      <c r="AA42" s="27"/>
      <c r="AB42" s="27"/>
      <c r="AC42" s="26">
        <v>55302.352632000002</v>
      </c>
      <c r="AD42" s="24">
        <v>10910404.108299427</v>
      </c>
    </row>
    <row r="43" spans="1:30" x14ac:dyDescent="0.2">
      <c r="I43" s="23"/>
      <c r="K43" s="22"/>
    </row>
    <row r="44" spans="1:30" x14ac:dyDescent="0.2">
      <c r="I44" s="23"/>
      <c r="K44" s="22"/>
    </row>
    <row r="45" spans="1:30" x14ac:dyDescent="0.2">
      <c r="I45" s="23"/>
      <c r="K45" s="22"/>
    </row>
    <row r="46" spans="1:30" x14ac:dyDescent="0.2">
      <c r="I46" s="23"/>
      <c r="K46" s="22"/>
    </row>
    <row r="47" spans="1:30" x14ac:dyDescent="0.2">
      <c r="I47" s="23"/>
      <c r="K47" s="22"/>
    </row>
    <row r="48" spans="1:30" x14ac:dyDescent="0.2">
      <c r="I48" s="23"/>
      <c r="K48" s="22"/>
    </row>
    <row r="49" spans="9:11" x14ac:dyDescent="0.2">
      <c r="I49" s="23"/>
      <c r="K49" s="22"/>
    </row>
    <row r="50" spans="9:11" x14ac:dyDescent="0.2">
      <c r="I50" s="23"/>
      <c r="K50" s="22"/>
    </row>
    <row r="51" spans="9:11" x14ac:dyDescent="0.2">
      <c r="I51" s="23"/>
      <c r="K51" s="22"/>
    </row>
    <row r="52" spans="9:11" x14ac:dyDescent="0.2">
      <c r="I52" s="23"/>
      <c r="K52" s="22"/>
    </row>
    <row r="53" spans="9:11" x14ac:dyDescent="0.2">
      <c r="I53" s="23"/>
      <c r="K53" s="22"/>
    </row>
    <row r="54" spans="9:11" x14ac:dyDescent="0.2">
      <c r="I54" s="23"/>
      <c r="K54" s="22"/>
    </row>
    <row r="55" spans="9:11" x14ac:dyDescent="0.2">
      <c r="I55" s="23"/>
      <c r="K55" s="22"/>
    </row>
    <row r="56" spans="9:11" x14ac:dyDescent="0.2">
      <c r="I56" s="23"/>
      <c r="K56" s="22"/>
    </row>
    <row r="58" spans="9:11" x14ac:dyDescent="0.2">
      <c r="I58" s="23"/>
      <c r="K58" s="22"/>
    </row>
    <row r="59" spans="9:11" x14ac:dyDescent="0.2">
      <c r="I59" s="23"/>
      <c r="K59" s="22"/>
    </row>
    <row r="63" spans="9:11" x14ac:dyDescent="0.2">
      <c r="I63" s="23"/>
      <c r="K63" s="22"/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49"/>
  <sheetViews>
    <sheetView tabSelected="1" topLeftCell="AN1" workbookViewId="0">
      <selection activeCell="BI5" sqref="BI5"/>
    </sheetView>
  </sheetViews>
  <sheetFormatPr defaultRowHeight="15" x14ac:dyDescent="0.25"/>
  <cols>
    <col min="1" max="1" width="13.42578125" style="59" bestFit="1" customWidth="1"/>
    <col min="2" max="2" width="40.140625" bestFit="1" customWidth="1"/>
    <col min="3" max="3" width="77.28515625" bestFit="1" customWidth="1"/>
    <col min="4" max="4" width="8.5703125" bestFit="1" customWidth="1"/>
    <col min="5" max="5" width="6.85546875" bestFit="1" customWidth="1"/>
    <col min="6" max="6" width="8.5703125" bestFit="1" customWidth="1"/>
    <col min="7" max="7" width="10" bestFit="1" customWidth="1"/>
    <col min="8" max="8" width="8" bestFit="1" customWidth="1"/>
    <col min="9" max="10" width="8.5703125" bestFit="1" customWidth="1"/>
    <col min="11" max="11" width="10.42578125" bestFit="1" customWidth="1"/>
    <col min="12" max="12" width="8.5703125" bestFit="1" customWidth="1"/>
    <col min="13" max="13" width="7.5703125" bestFit="1" customWidth="1"/>
    <col min="14" max="14" width="6.85546875" bestFit="1" customWidth="1"/>
    <col min="15" max="15" width="7.5703125" bestFit="1" customWidth="1"/>
    <col min="16" max="16" width="10" bestFit="1" customWidth="1"/>
    <col min="17" max="17" width="8" bestFit="1" customWidth="1"/>
    <col min="18" max="18" width="7.5703125" bestFit="1" customWidth="1"/>
    <col min="19" max="19" width="6.5703125" bestFit="1" customWidth="1"/>
    <col min="20" max="20" width="10.42578125" bestFit="1" customWidth="1"/>
    <col min="21" max="21" width="8.42578125" bestFit="1" customWidth="1"/>
    <col min="22" max="22" width="12.85546875" style="69" bestFit="1" customWidth="1"/>
    <col min="23" max="23" width="12.7109375" style="69" bestFit="1" customWidth="1"/>
    <col min="24" max="24" width="8.5703125" bestFit="1" customWidth="1"/>
    <col min="25" max="25" width="6.85546875" bestFit="1" customWidth="1"/>
    <col min="26" max="26" width="8.5703125" bestFit="1" customWidth="1"/>
    <col min="27" max="27" width="10" bestFit="1" customWidth="1"/>
    <col min="28" max="28" width="8" bestFit="1" customWidth="1"/>
    <col min="29" max="30" width="8.5703125" bestFit="1" customWidth="1"/>
    <col min="31" max="31" width="10.42578125" bestFit="1" customWidth="1"/>
    <col min="32" max="32" width="12" bestFit="1" customWidth="1"/>
    <col min="33" max="33" width="7" bestFit="1" customWidth="1"/>
    <col min="34" max="34" width="6.85546875" bestFit="1" customWidth="1"/>
    <col min="35" max="35" width="6.7109375" bestFit="1" customWidth="1"/>
    <col min="36" max="36" width="10" bestFit="1" customWidth="1"/>
    <col min="37" max="37" width="8" bestFit="1" customWidth="1"/>
    <col min="38" max="39" width="12" bestFit="1" customWidth="1"/>
    <col min="40" max="40" width="10.42578125" bestFit="1" customWidth="1"/>
    <col min="41" max="41" width="8.42578125" bestFit="1" customWidth="1"/>
    <col min="42" max="43" width="19.85546875" customWidth="1"/>
    <col min="46" max="46" width="40.140625" bestFit="1" customWidth="1"/>
    <col min="47" max="47" width="9.5703125" bestFit="1" customWidth="1"/>
    <col min="48" max="48" width="9.28515625" bestFit="1" customWidth="1"/>
    <col min="49" max="49" width="10" bestFit="1" customWidth="1"/>
    <col min="50" max="66" width="9.28515625" bestFit="1" customWidth="1"/>
  </cols>
  <sheetData>
    <row r="1" spans="1:66" ht="21" customHeight="1" thickBot="1" x14ac:dyDescent="0.4">
      <c r="D1" s="61" t="s">
        <v>165</v>
      </c>
      <c r="E1" s="61"/>
      <c r="F1" s="61"/>
      <c r="G1" s="61"/>
      <c r="H1" s="61"/>
      <c r="I1" s="61"/>
      <c r="J1" s="61"/>
      <c r="K1" s="61"/>
      <c r="L1" s="61"/>
      <c r="M1" s="63" t="s">
        <v>166</v>
      </c>
      <c r="N1" s="63"/>
      <c r="O1" s="63"/>
      <c r="P1" s="63"/>
      <c r="Q1" s="63"/>
      <c r="R1" s="63"/>
      <c r="S1" s="63"/>
      <c r="T1" s="63"/>
      <c r="U1" s="63"/>
      <c r="V1" s="66" t="s">
        <v>169</v>
      </c>
      <c r="W1" s="66" t="s">
        <v>170</v>
      </c>
      <c r="X1" s="71" t="s">
        <v>167</v>
      </c>
      <c r="Y1" s="72"/>
      <c r="Z1" s="72"/>
      <c r="AA1" s="72"/>
      <c r="AB1" s="72"/>
      <c r="AC1" s="72"/>
      <c r="AD1" s="72"/>
      <c r="AE1" s="72"/>
      <c r="AF1" s="73"/>
      <c r="AG1" s="86" t="s">
        <v>168</v>
      </c>
      <c r="AH1" s="87"/>
      <c r="AI1" s="87"/>
      <c r="AJ1" s="87"/>
      <c r="AK1" s="87"/>
      <c r="AL1" s="87"/>
      <c r="AM1" s="87"/>
      <c r="AN1" s="87"/>
      <c r="AO1" s="88"/>
      <c r="AP1" s="96" t="s">
        <v>172</v>
      </c>
      <c r="AQ1" s="100" t="s">
        <v>173</v>
      </c>
      <c r="AT1" s="104" t="s">
        <v>176</v>
      </c>
    </row>
    <row r="2" spans="1:66" ht="15" customHeight="1" x14ac:dyDescent="0.25">
      <c r="A2" s="99" t="s">
        <v>164</v>
      </c>
      <c r="B2" s="99" t="s">
        <v>162</v>
      </c>
      <c r="C2" s="99" t="s">
        <v>163</v>
      </c>
      <c r="D2" s="62" t="s">
        <v>159</v>
      </c>
      <c r="E2" s="62" t="s">
        <v>158</v>
      </c>
      <c r="F2" s="62" t="s">
        <v>155</v>
      </c>
      <c r="G2" s="62" t="s">
        <v>154</v>
      </c>
      <c r="H2" s="62" t="s">
        <v>153</v>
      </c>
      <c r="I2" s="62" t="s">
        <v>152</v>
      </c>
      <c r="J2" s="62" t="s">
        <v>151</v>
      </c>
      <c r="K2" s="62" t="s">
        <v>149</v>
      </c>
      <c r="L2" s="62" t="s">
        <v>148</v>
      </c>
      <c r="M2" s="64" t="s">
        <v>159</v>
      </c>
      <c r="N2" s="64" t="s">
        <v>158</v>
      </c>
      <c r="O2" s="64" t="s">
        <v>155</v>
      </c>
      <c r="P2" s="64" t="s">
        <v>154</v>
      </c>
      <c r="Q2" s="64" t="s">
        <v>153</v>
      </c>
      <c r="R2" s="64" t="s">
        <v>152</v>
      </c>
      <c r="S2" s="64" t="s">
        <v>151</v>
      </c>
      <c r="T2" s="64" t="s">
        <v>149</v>
      </c>
      <c r="U2" s="64" t="s">
        <v>148</v>
      </c>
      <c r="V2" s="67"/>
      <c r="W2" s="67"/>
      <c r="X2" s="74" t="s">
        <v>159</v>
      </c>
      <c r="Y2" s="75" t="s">
        <v>158</v>
      </c>
      <c r="Z2" s="75" t="s">
        <v>155</v>
      </c>
      <c r="AA2" s="75" t="s">
        <v>154</v>
      </c>
      <c r="AB2" s="75" t="s">
        <v>153</v>
      </c>
      <c r="AC2" s="75" t="s">
        <v>152</v>
      </c>
      <c r="AD2" s="75" t="s">
        <v>151</v>
      </c>
      <c r="AE2" s="75" t="s">
        <v>149</v>
      </c>
      <c r="AF2" s="76" t="s">
        <v>148</v>
      </c>
      <c r="AG2" s="89" t="s">
        <v>159</v>
      </c>
      <c r="AH2" s="90" t="s">
        <v>158</v>
      </c>
      <c r="AI2" s="90" t="s">
        <v>155</v>
      </c>
      <c r="AJ2" s="90" t="s">
        <v>154</v>
      </c>
      <c r="AK2" s="90" t="s">
        <v>153</v>
      </c>
      <c r="AL2" s="90" t="s">
        <v>152</v>
      </c>
      <c r="AM2" s="90" t="s">
        <v>151</v>
      </c>
      <c r="AN2" s="90" t="s">
        <v>149</v>
      </c>
      <c r="AO2" s="91" t="s">
        <v>148</v>
      </c>
      <c r="AP2" s="96"/>
      <c r="AQ2" s="100"/>
      <c r="AS2" s="101" t="s">
        <v>161</v>
      </c>
      <c r="AT2" s="102" t="s">
        <v>171</v>
      </c>
      <c r="AU2" s="102" t="s">
        <v>174</v>
      </c>
      <c r="AV2" s="103" t="s">
        <v>175</v>
      </c>
      <c r="AW2" s="101" t="str">
        <f>CONCATENATE("EC-",X2)</f>
        <v>EC-HCOAL</v>
      </c>
      <c r="AX2" s="102" t="str">
        <f t="shared" ref="AX2:BJ2" si="0">CONCATENATE("EC-",Y2)</f>
        <v>EC-BCOAL</v>
      </c>
      <c r="AY2" s="102" t="str">
        <f t="shared" si="0"/>
        <v>EC-DIESEL</v>
      </c>
      <c r="AZ2" s="102" t="str">
        <f t="shared" si="0"/>
        <v>EC-GASOLINE</v>
      </c>
      <c r="BA2" s="102" t="str">
        <f t="shared" si="0"/>
        <v>EC-JETFUEL</v>
      </c>
      <c r="BB2" s="102" t="str">
        <f t="shared" si="0"/>
        <v>EC-LFO</v>
      </c>
      <c r="BC2" s="102" t="str">
        <f t="shared" si="0"/>
        <v>EC-HFO</v>
      </c>
      <c r="BD2" s="102" t="str">
        <f t="shared" si="0"/>
        <v>EC-OTHPETRO</v>
      </c>
      <c r="BE2" s="103" t="str">
        <f t="shared" si="0"/>
        <v>EC-NATGAS</v>
      </c>
      <c r="BF2" s="101" t="str">
        <f>CONCATENATE("EE-",AG2)</f>
        <v>EE-HCOAL</v>
      </c>
      <c r="BG2" s="102" t="str">
        <f t="shared" ref="BG2:BM2" si="1">CONCATENATE("EE-",AH2)</f>
        <v>EE-BCOAL</v>
      </c>
      <c r="BH2" s="102" t="str">
        <f t="shared" si="1"/>
        <v>EE-DIESEL</v>
      </c>
      <c r="BI2" s="102" t="str">
        <f t="shared" si="1"/>
        <v>EE-GASOLINE</v>
      </c>
      <c r="BJ2" s="102" t="str">
        <f t="shared" si="1"/>
        <v>EE-JETFUEL</v>
      </c>
      <c r="BK2" s="102" t="str">
        <f t="shared" si="1"/>
        <v>EE-LFO</v>
      </c>
      <c r="BL2" s="102" t="str">
        <f t="shared" si="1"/>
        <v>EE-HFO</v>
      </c>
      <c r="BM2" s="102" t="str">
        <f t="shared" si="1"/>
        <v>EE-OTHPETRO</v>
      </c>
      <c r="BN2" s="103" t="str">
        <f>CONCATENATE("EE-",AO2)</f>
        <v>EE-NATGAS</v>
      </c>
    </row>
    <row r="3" spans="1:66" x14ac:dyDescent="0.25">
      <c r="A3" s="59">
        <v>1</v>
      </c>
      <c r="B3" t="s">
        <v>0</v>
      </c>
      <c r="C3" t="s">
        <v>52</v>
      </c>
      <c r="D3" s="60">
        <f>VLOOKUP(C3,IDN_JOULE_2009!$A$2:$N$37,3,FALSE)</f>
        <v>0</v>
      </c>
      <c r="E3" s="60">
        <f>VLOOKUP(C3,IDN_JOULE_2009!$A$2:$N$37,4,FALSE)</f>
        <v>0</v>
      </c>
      <c r="F3" s="60">
        <f>VLOOKUP(C3,IDN_JOULE_2009!$A$2:$N$37,7,FALSE)</f>
        <v>44576.727450331695</v>
      </c>
      <c r="G3" s="60">
        <f>VLOOKUP(C3,IDN_JOULE_2009!$A$2:$N$37,8,FALSE)</f>
        <v>96928.304131647325</v>
      </c>
      <c r="H3" s="60">
        <f>VLOOKUP(C3,IDN_JOULE_2009!$A$2:$N$37,9,FALSE)</f>
        <v>0</v>
      </c>
      <c r="I3" s="60">
        <f>VLOOKUP(C3,IDN_JOULE_2009!$A$2:$N$37,10,FALSE)</f>
        <v>112536.704124</v>
      </c>
      <c r="J3" s="60">
        <f>VLOOKUP(C3,IDN_JOULE_2009!$A$2:$N$37,11,FALSE)</f>
        <v>0</v>
      </c>
      <c r="K3" s="60">
        <f>VLOOKUP(C3,IDN_JOULE_2009!$A$2:$N$37,13,FALSE)</f>
        <v>0</v>
      </c>
      <c r="L3" s="60">
        <f>VLOOKUP(C3,IDN_JOULE_2009!$A$2:$N$37,14,FALSE)</f>
        <v>0</v>
      </c>
      <c r="M3" s="65">
        <f>VLOOKUP(C3,IDN_CO2_2009!$A$2:$N$37,3,FALSE)</f>
        <v>0</v>
      </c>
      <c r="N3" s="65">
        <f>VLOOKUP(C3,IDN_CO2_2009!$A$2:$N$37,4,FALSE)</f>
        <v>0</v>
      </c>
      <c r="O3" s="65">
        <f>VLOOKUP(C3,IDN_CO2_2009!$A$2:$N$37,7,FALSE)</f>
        <v>3301.6496131545673</v>
      </c>
      <c r="P3" s="65">
        <f>VLOOKUP(C3,IDN_CO2_2009!$A$2:$N$37,8,FALSE)</f>
        <v>6717.1314763231603</v>
      </c>
      <c r="Q3" s="65">
        <f>VLOOKUP(C3,IDN_CO2_2009!$A$2:$N$37,9,FALSE)</f>
        <v>0</v>
      </c>
      <c r="R3" s="65">
        <f>VLOOKUP(C3,IDN_CO2_2009!$A$2:$N$37,10,FALSE)</f>
        <v>8335.2185521175979</v>
      </c>
      <c r="S3" s="65">
        <f>VLOOKUP(C3,IDN_CO2_2009!$A$2:$N$37,11,FALSE)</f>
        <v>0</v>
      </c>
      <c r="T3" s="65">
        <f>VLOOKUP(C3,IDN_CO2_2009!$A$2:$N$37,13,FALSE)</f>
        <v>0</v>
      </c>
      <c r="U3" s="65">
        <f>VLOOKUP(C3,IDN_CO2_2009!$A$2:$N$37,14,FALSE)</f>
        <v>0</v>
      </c>
      <c r="V3" s="68">
        <f>COUNTIF($C$3:$C$49,C3)</f>
        <v>8</v>
      </c>
      <c r="W3" s="68">
        <f>COUNTIF($B$3:$B$49,B3)</f>
        <v>1</v>
      </c>
      <c r="X3" s="77">
        <f>IF($W3=1,D3/$V3, "NR")</f>
        <v>0</v>
      </c>
      <c r="Y3" s="78">
        <f>IF($W3=1,E3/$V3, "NR")</f>
        <v>0</v>
      </c>
      <c r="Z3" s="78">
        <f>IF($W3=1,F3/$V3, "NR")</f>
        <v>5572.0909312914619</v>
      </c>
      <c r="AA3" s="78">
        <f>IF($W3=1,G3/$V3, "NR")</f>
        <v>12116.038016455916</v>
      </c>
      <c r="AB3" s="78">
        <f>IF($W3=1,H3/$V3, "NR")</f>
        <v>0</v>
      </c>
      <c r="AC3" s="78">
        <f>IF($W3=1,I3/$V3, "NR")</f>
        <v>14067.0880155</v>
      </c>
      <c r="AD3" s="78">
        <f>IF($W3=1,J3/$V3, "NR")</f>
        <v>0</v>
      </c>
      <c r="AE3" s="78">
        <f>IF($W3=1,K3/$V3, "NR")</f>
        <v>0</v>
      </c>
      <c r="AF3" s="79">
        <f>IF($W3=1,L3/$V3, "NR")</f>
        <v>0</v>
      </c>
      <c r="AG3" s="92">
        <f t="shared" ref="AG3:AO3" si="2">IF($W3=1,M3/$V3, "NR")</f>
        <v>0</v>
      </c>
      <c r="AH3" s="93">
        <f t="shared" si="2"/>
        <v>0</v>
      </c>
      <c r="AI3" s="93">
        <f t="shared" si="2"/>
        <v>412.70620164432091</v>
      </c>
      <c r="AJ3" s="93">
        <f t="shared" si="2"/>
        <v>839.64143454039504</v>
      </c>
      <c r="AK3" s="93">
        <f t="shared" si="2"/>
        <v>0</v>
      </c>
      <c r="AL3" s="93">
        <f>IF($W3=1,R3/$V3, "NR")</f>
        <v>1041.9023190146997</v>
      </c>
      <c r="AM3" s="93">
        <f t="shared" si="2"/>
        <v>0</v>
      </c>
      <c r="AN3" s="93">
        <f t="shared" si="2"/>
        <v>0</v>
      </c>
      <c r="AO3" s="79">
        <f t="shared" si="2"/>
        <v>0</v>
      </c>
      <c r="AP3" s="77">
        <f>SUM(X3:AF3)</f>
        <v>31755.216963247374</v>
      </c>
      <c r="AQ3" s="97">
        <f>SUM(AG3:AO3)</f>
        <v>2294.249955199416</v>
      </c>
      <c r="AS3" s="92">
        <v>1</v>
      </c>
      <c r="AT3" s="93" t="s">
        <v>0</v>
      </c>
      <c r="AU3" s="78">
        <f>AVERAGEIF($B$3:$B$49,AT3,$AP$3:$AP$49)</f>
        <v>31755.216963247374</v>
      </c>
      <c r="AV3" s="105">
        <f>AVERAGEIF($B$3:$B$49,AT3,$AQ$3:$AQ$49)</f>
        <v>2294.249955199416</v>
      </c>
      <c r="AW3" s="77">
        <f>AVERAGEIF($B$3:$B$49,$AT3,X$3:X$49)</f>
        <v>0</v>
      </c>
      <c r="AX3" s="78">
        <f>AVERAGEIF($B$3:$B$49,$AT3,Y$3:Y$49)</f>
        <v>0</v>
      </c>
      <c r="AY3" s="78">
        <f t="shared" ref="AY3:BE3" si="3">AVERAGEIF($B$3:$B$49,$AT3,Z$3:Z$49)</f>
        <v>5572.0909312914619</v>
      </c>
      <c r="AZ3" s="78">
        <f t="shared" si="3"/>
        <v>12116.038016455916</v>
      </c>
      <c r="BA3" s="78">
        <f t="shared" si="3"/>
        <v>0</v>
      </c>
      <c r="BB3" s="78">
        <f t="shared" si="3"/>
        <v>14067.0880155</v>
      </c>
      <c r="BC3" s="78">
        <f t="shared" si="3"/>
        <v>0</v>
      </c>
      <c r="BD3" s="78">
        <f t="shared" si="3"/>
        <v>0</v>
      </c>
      <c r="BE3" s="105">
        <f t="shared" si="3"/>
        <v>0</v>
      </c>
      <c r="BF3" s="77">
        <f t="shared" ref="BF3" si="4">AVERAGEIF($B$3:$B$49,$AT3,AG$3:AG$49)</f>
        <v>0</v>
      </c>
      <c r="BG3" s="78">
        <f t="shared" ref="BG3" si="5">AVERAGEIF($B$3:$B$49,$AT3,AH$3:AH$49)</f>
        <v>0</v>
      </c>
      <c r="BH3" s="78">
        <f t="shared" ref="BH3" si="6">AVERAGEIF($B$3:$B$49,$AT3,AI$3:AI$49)</f>
        <v>412.70620164432091</v>
      </c>
      <c r="BI3" s="78">
        <f t="shared" ref="BI3" si="7">AVERAGEIF($B$3:$B$49,$AT3,AJ$3:AJ$49)</f>
        <v>839.64143454039504</v>
      </c>
      <c r="BJ3" s="78">
        <f t="shared" ref="BJ3" si="8">AVERAGEIF($B$3:$B$49,$AT3,AK$3:AK$49)</f>
        <v>0</v>
      </c>
      <c r="BK3" s="78">
        <f t="shared" ref="BK3" si="9">AVERAGEIF($B$3:$B$49,$AT3,AL$3:AL$49)</f>
        <v>1041.9023190146997</v>
      </c>
      <c r="BL3" s="78">
        <f t="shared" ref="BL3" si="10">AVERAGEIF($B$3:$B$49,$AT3,AM$3:AM$49)</f>
        <v>0</v>
      </c>
      <c r="BM3" s="78">
        <f t="shared" ref="BM3" si="11">AVERAGEIF($B$3:$B$49,$AT3,AN$3:AN$49)</f>
        <v>0</v>
      </c>
      <c r="BN3" s="105">
        <f t="shared" ref="BN3" si="12">AVERAGEIF($B$3:$B$49,$AT3,AO$3:AO$49)</f>
        <v>0</v>
      </c>
    </row>
    <row r="4" spans="1:66" x14ac:dyDescent="0.25">
      <c r="A4" s="59">
        <v>2</v>
      </c>
      <c r="B4" t="s">
        <v>1</v>
      </c>
      <c r="C4" t="s">
        <v>52</v>
      </c>
      <c r="D4" s="60">
        <f>VLOOKUP(C4,IDN_JOULE_2009!$A$2:$N$37,3,FALSE)</f>
        <v>0</v>
      </c>
      <c r="E4" s="60">
        <f>VLOOKUP(C4,IDN_JOULE_2009!$A$2:$N$37,4,FALSE)</f>
        <v>0</v>
      </c>
      <c r="F4" s="60">
        <f>VLOOKUP(C4,IDN_JOULE_2009!$A$2:$N$37,7,FALSE)</f>
        <v>44576.727450331695</v>
      </c>
      <c r="G4" s="60">
        <f>VLOOKUP(C4,IDN_JOULE_2009!$A$2:$N$37,8,FALSE)</f>
        <v>96928.304131647325</v>
      </c>
      <c r="H4" s="60">
        <f>VLOOKUP(C4,IDN_JOULE_2009!$A$2:$N$37,9,FALSE)</f>
        <v>0</v>
      </c>
      <c r="I4" s="60">
        <f>VLOOKUP(C4,IDN_JOULE_2009!$A$2:$N$37,10,FALSE)</f>
        <v>112536.704124</v>
      </c>
      <c r="J4" s="60">
        <f>VLOOKUP(C4,IDN_JOULE_2009!$A$2:$N$37,11,FALSE)</f>
        <v>0</v>
      </c>
      <c r="K4" s="60">
        <f>VLOOKUP(C4,IDN_JOULE_2009!$A$2:$N$37,13,FALSE)</f>
        <v>0</v>
      </c>
      <c r="L4" s="60">
        <f>VLOOKUP(C4,IDN_JOULE_2009!$A$2:$N$37,14,FALSE)</f>
        <v>0</v>
      </c>
      <c r="M4" s="65">
        <f>VLOOKUP(C4,IDN_CO2_2009!$A$2:$N$37,3,FALSE)</f>
        <v>0</v>
      </c>
      <c r="N4" s="65">
        <f>VLOOKUP(C4,IDN_CO2_2009!$A$2:$N$37,4,FALSE)</f>
        <v>0</v>
      </c>
      <c r="O4" s="65">
        <f>VLOOKUP(C4,IDN_CO2_2009!$A$2:$N$37,7,FALSE)</f>
        <v>3301.6496131545673</v>
      </c>
      <c r="P4" s="65">
        <f>VLOOKUP(C4,IDN_CO2_2009!$A$2:$N$37,8,FALSE)</f>
        <v>6717.1314763231603</v>
      </c>
      <c r="Q4" s="65">
        <f>VLOOKUP(C4,IDN_CO2_2009!$A$2:$N$37,9,FALSE)</f>
        <v>0</v>
      </c>
      <c r="R4" s="65">
        <f>VLOOKUP(C4,IDN_CO2_2009!$A$2:$N$37,10,FALSE)</f>
        <v>8335.2185521175979</v>
      </c>
      <c r="S4" s="65">
        <f>VLOOKUP(C4,IDN_CO2_2009!$A$2:$N$37,11,FALSE)</f>
        <v>0</v>
      </c>
      <c r="T4" s="65">
        <f>VLOOKUP(C4,IDN_CO2_2009!$A$2:$N$37,13,FALSE)</f>
        <v>0</v>
      </c>
      <c r="U4" s="65">
        <f>VLOOKUP(C4,IDN_CO2_2009!$A$2:$N$37,14,FALSE)</f>
        <v>0</v>
      </c>
      <c r="V4" s="68">
        <f t="shared" ref="V4:V49" si="13">COUNTIF($C$3:$C$49,C4)</f>
        <v>8</v>
      </c>
      <c r="W4" s="68">
        <f t="shared" ref="W4:W49" si="14">COUNTIF($B$3:$B$49,B4)</f>
        <v>1</v>
      </c>
      <c r="X4" s="77">
        <f>IF($W4=1,D4/$V4, "NR")</f>
        <v>0</v>
      </c>
      <c r="Y4" s="78">
        <f>IF($W4=1,E4/$V4, "NR")</f>
        <v>0</v>
      </c>
      <c r="Z4" s="78">
        <f>IF($W4=1,F4/$V4, "NR")</f>
        <v>5572.0909312914619</v>
      </c>
      <c r="AA4" s="78">
        <f>IF($W4=1,G4/$V4, "NR")</f>
        <v>12116.038016455916</v>
      </c>
      <c r="AB4" s="78">
        <f>IF($W4=1,H4/$V4, "NR")</f>
        <v>0</v>
      </c>
      <c r="AC4" s="78">
        <f>IF($W4=1,I4/$V4, "NR")</f>
        <v>14067.0880155</v>
      </c>
      <c r="AD4" s="78">
        <f>IF($W4=1,J4/$V4, "NR")</f>
        <v>0</v>
      </c>
      <c r="AE4" s="78">
        <f>IF($W4=1,K4/$V4, "NR")</f>
        <v>0</v>
      </c>
      <c r="AF4" s="79">
        <f>IF($W4=1,L4/$V4, "NR")</f>
        <v>0</v>
      </c>
      <c r="AG4" s="92">
        <f t="shared" ref="AG4:AG49" si="15">IF($W4=1,M4/$V4, "NR")</f>
        <v>0</v>
      </c>
      <c r="AH4" s="93">
        <f t="shared" ref="AH4:AH49" si="16">IF($W4=1,N4/$V4, "NR")</f>
        <v>0</v>
      </c>
      <c r="AI4" s="93">
        <f t="shared" ref="AI4:AI49" si="17">IF($W4=1,O4/$V4, "NR")</f>
        <v>412.70620164432091</v>
      </c>
      <c r="AJ4" s="93">
        <f t="shared" ref="AJ4:AJ49" si="18">IF($W4=1,P4/$V4, "NR")</f>
        <v>839.64143454039504</v>
      </c>
      <c r="AK4" s="93">
        <f t="shared" ref="AK4:AK49" si="19">IF($W4=1,Q4/$V4, "NR")</f>
        <v>0</v>
      </c>
      <c r="AL4" s="93">
        <f t="shared" ref="AL4:AL49" si="20">IF($W4=1,R4/$V4, "NR")</f>
        <v>1041.9023190146997</v>
      </c>
      <c r="AM4" s="93">
        <f t="shared" ref="AM4:AM49" si="21">IF($W4=1,S4/$V4, "NR")</f>
        <v>0</v>
      </c>
      <c r="AN4" s="93">
        <f t="shared" ref="AN4:AN49" si="22">IF($W4=1,T4/$V4, "NR")</f>
        <v>0</v>
      </c>
      <c r="AO4" s="79">
        <f t="shared" ref="AO4:AO49" si="23">IF($W4=1,U4/$V4, "NR")</f>
        <v>0</v>
      </c>
      <c r="AP4" s="77">
        <f t="shared" ref="AP4:AP49" si="24">SUM(X4:AF4)</f>
        <v>31755.216963247374</v>
      </c>
      <c r="AQ4" s="97">
        <f t="shared" ref="AQ4:AQ49" si="25">SUM(AG4:AO4)</f>
        <v>2294.249955199416</v>
      </c>
      <c r="AS4" s="92">
        <v>2</v>
      </c>
      <c r="AT4" s="93" t="s">
        <v>1</v>
      </c>
      <c r="AU4" s="78">
        <f t="shared" ref="AU4:AU39" si="26">AVERAGEIF($B$3:$B$49,AT4,$AP$3:$AP$49)</f>
        <v>31755.216963247374</v>
      </c>
      <c r="AV4" s="105">
        <f t="shared" ref="AV4:AV39" si="27">AVERAGEIF($B$3:$B$49,AT4,$AQ$3:$AQ$49)</f>
        <v>2294.249955199416</v>
      </c>
      <c r="AW4" s="77">
        <f t="shared" ref="AW4:AW39" si="28">AVERAGEIF($B$3:$B$49,$AT4,X$3:X$49)</f>
        <v>0</v>
      </c>
      <c r="AX4" s="78">
        <f t="shared" ref="AX4:AX39" si="29">AVERAGEIF($B$3:$B$49,$AT4,Y$3:Y$49)</f>
        <v>0</v>
      </c>
      <c r="AY4" s="78">
        <f t="shared" ref="AY4:AY39" si="30">AVERAGEIF($B$3:$B$49,$AT4,Z$3:Z$49)</f>
        <v>5572.0909312914619</v>
      </c>
      <c r="AZ4" s="78">
        <f t="shared" ref="AZ4:AZ39" si="31">AVERAGEIF($B$3:$B$49,$AT4,AA$3:AA$49)</f>
        <v>12116.038016455916</v>
      </c>
      <c r="BA4" s="78">
        <f t="shared" ref="BA4:BA39" si="32">AVERAGEIF($B$3:$B$49,$AT4,AB$3:AB$49)</f>
        <v>0</v>
      </c>
      <c r="BB4" s="78">
        <f t="shared" ref="BB4:BB39" si="33">AVERAGEIF($B$3:$B$49,$AT4,AC$3:AC$49)</f>
        <v>14067.0880155</v>
      </c>
      <c r="BC4" s="78">
        <f t="shared" ref="BC4:BC39" si="34">AVERAGEIF($B$3:$B$49,$AT4,AD$3:AD$49)</f>
        <v>0</v>
      </c>
      <c r="BD4" s="78">
        <f t="shared" ref="BD4:BD39" si="35">AVERAGEIF($B$3:$B$49,$AT4,AE$3:AE$49)</f>
        <v>0</v>
      </c>
      <c r="BE4" s="105">
        <f t="shared" ref="BE4:BE39" si="36">AVERAGEIF($B$3:$B$49,$AT4,AF$3:AF$49)</f>
        <v>0</v>
      </c>
      <c r="BF4" s="77">
        <f t="shared" ref="BF4:BF39" si="37">AVERAGEIF($B$3:$B$49,$AT4,AG$3:AG$49)</f>
        <v>0</v>
      </c>
      <c r="BG4" s="78">
        <f t="shared" ref="BG4:BG39" si="38">AVERAGEIF($B$3:$B$49,$AT4,AH$3:AH$49)</f>
        <v>0</v>
      </c>
      <c r="BH4" s="78">
        <f t="shared" ref="BH4:BH39" si="39">AVERAGEIF($B$3:$B$49,$AT4,AI$3:AI$49)</f>
        <v>412.70620164432091</v>
      </c>
      <c r="BI4" s="78">
        <f t="shared" ref="BI4:BI39" si="40">AVERAGEIF($B$3:$B$49,$AT4,AJ$3:AJ$49)</f>
        <v>839.64143454039504</v>
      </c>
      <c r="BJ4" s="78">
        <f t="shared" ref="BJ4:BJ39" si="41">AVERAGEIF($B$3:$B$49,$AT4,AK$3:AK$49)</f>
        <v>0</v>
      </c>
      <c r="BK4" s="78">
        <f t="shared" ref="BK4:BK39" si="42">AVERAGEIF($B$3:$B$49,$AT4,AL$3:AL$49)</f>
        <v>1041.9023190146997</v>
      </c>
      <c r="BL4" s="78">
        <f t="shared" ref="BL4:BL39" si="43">AVERAGEIF($B$3:$B$49,$AT4,AM$3:AM$49)</f>
        <v>0</v>
      </c>
      <c r="BM4" s="78">
        <f t="shared" ref="BM4:BM39" si="44">AVERAGEIF($B$3:$B$49,$AT4,AN$3:AN$49)</f>
        <v>0</v>
      </c>
      <c r="BN4" s="105">
        <f t="shared" ref="BN4:BN39" si="45">AVERAGEIF($B$3:$B$49,$AT4,AO$3:AO$49)</f>
        <v>0</v>
      </c>
    </row>
    <row r="5" spans="1:66" x14ac:dyDescent="0.25">
      <c r="A5" s="59">
        <v>3</v>
      </c>
      <c r="B5" t="s">
        <v>2</v>
      </c>
      <c r="C5" t="s">
        <v>52</v>
      </c>
      <c r="D5" s="60">
        <f>VLOOKUP(C5,IDN_JOULE_2009!$A$2:$N$37,3,FALSE)</f>
        <v>0</v>
      </c>
      <c r="E5" s="60">
        <f>VLOOKUP(C5,IDN_JOULE_2009!$A$2:$N$37,4,FALSE)</f>
        <v>0</v>
      </c>
      <c r="F5" s="60">
        <f>VLOOKUP(C5,IDN_JOULE_2009!$A$2:$N$37,7,FALSE)</f>
        <v>44576.727450331695</v>
      </c>
      <c r="G5" s="60">
        <f>VLOOKUP(C5,IDN_JOULE_2009!$A$2:$N$37,8,FALSE)</f>
        <v>96928.304131647325</v>
      </c>
      <c r="H5" s="60">
        <f>VLOOKUP(C5,IDN_JOULE_2009!$A$2:$N$37,9,FALSE)</f>
        <v>0</v>
      </c>
      <c r="I5" s="60">
        <f>VLOOKUP(C5,IDN_JOULE_2009!$A$2:$N$37,10,FALSE)</f>
        <v>112536.704124</v>
      </c>
      <c r="J5" s="60">
        <f>VLOOKUP(C5,IDN_JOULE_2009!$A$2:$N$37,11,FALSE)</f>
        <v>0</v>
      </c>
      <c r="K5" s="60">
        <f>VLOOKUP(C5,IDN_JOULE_2009!$A$2:$N$37,13,FALSE)</f>
        <v>0</v>
      </c>
      <c r="L5" s="60">
        <f>VLOOKUP(C5,IDN_JOULE_2009!$A$2:$N$37,14,FALSE)</f>
        <v>0</v>
      </c>
      <c r="M5" s="65">
        <f>VLOOKUP(C5,IDN_CO2_2009!$A$2:$N$37,3,FALSE)</f>
        <v>0</v>
      </c>
      <c r="N5" s="65">
        <f>VLOOKUP(C5,IDN_CO2_2009!$A$2:$N$37,4,FALSE)</f>
        <v>0</v>
      </c>
      <c r="O5" s="65">
        <f>VLOOKUP(C5,IDN_CO2_2009!$A$2:$N$37,7,FALSE)</f>
        <v>3301.6496131545673</v>
      </c>
      <c r="P5" s="65">
        <f>VLOOKUP(C5,IDN_CO2_2009!$A$2:$N$37,8,FALSE)</f>
        <v>6717.1314763231603</v>
      </c>
      <c r="Q5" s="65">
        <f>VLOOKUP(C5,IDN_CO2_2009!$A$2:$N$37,9,FALSE)</f>
        <v>0</v>
      </c>
      <c r="R5" s="65">
        <f>VLOOKUP(C5,IDN_CO2_2009!$A$2:$N$37,10,FALSE)</f>
        <v>8335.2185521175979</v>
      </c>
      <c r="S5" s="65">
        <f>VLOOKUP(C5,IDN_CO2_2009!$A$2:$N$37,11,FALSE)</f>
        <v>0</v>
      </c>
      <c r="T5" s="65">
        <f>VLOOKUP(C5,IDN_CO2_2009!$A$2:$N$37,13,FALSE)</f>
        <v>0</v>
      </c>
      <c r="U5" s="65">
        <f>VLOOKUP(C5,IDN_CO2_2009!$A$2:$N$37,14,FALSE)</f>
        <v>0</v>
      </c>
      <c r="V5" s="68">
        <f t="shared" si="13"/>
        <v>8</v>
      </c>
      <c r="W5" s="68">
        <f t="shared" si="14"/>
        <v>1</v>
      </c>
      <c r="X5" s="77">
        <f>IF($W5=1,D5/$V5, "NR")</f>
        <v>0</v>
      </c>
      <c r="Y5" s="78">
        <f>IF($W5=1,E5/$V5, "NR")</f>
        <v>0</v>
      </c>
      <c r="Z5" s="78">
        <f>IF($W5=1,F5/$V5, "NR")</f>
        <v>5572.0909312914619</v>
      </c>
      <c r="AA5" s="78">
        <f>IF($W5=1,G5/$V5, "NR")</f>
        <v>12116.038016455916</v>
      </c>
      <c r="AB5" s="78">
        <f>IF($W5=1,H5/$V5, "NR")</f>
        <v>0</v>
      </c>
      <c r="AC5" s="78">
        <f>IF($W5=1,I5/$V5, "NR")</f>
        <v>14067.0880155</v>
      </c>
      <c r="AD5" s="78">
        <f>IF($W5=1,J5/$V5, "NR")</f>
        <v>0</v>
      </c>
      <c r="AE5" s="78">
        <f>IF($W5=1,K5/$V5, "NR")</f>
        <v>0</v>
      </c>
      <c r="AF5" s="79">
        <f>IF($W5=1,L5/$V5, "NR")</f>
        <v>0</v>
      </c>
      <c r="AG5" s="92">
        <f t="shared" si="15"/>
        <v>0</v>
      </c>
      <c r="AH5" s="93">
        <f t="shared" si="16"/>
        <v>0</v>
      </c>
      <c r="AI5" s="93">
        <f t="shared" si="17"/>
        <v>412.70620164432091</v>
      </c>
      <c r="AJ5" s="93">
        <f t="shared" si="18"/>
        <v>839.64143454039504</v>
      </c>
      <c r="AK5" s="93">
        <f t="shared" si="19"/>
        <v>0</v>
      </c>
      <c r="AL5" s="93">
        <f t="shared" si="20"/>
        <v>1041.9023190146997</v>
      </c>
      <c r="AM5" s="93">
        <f t="shared" si="21"/>
        <v>0</v>
      </c>
      <c r="AN5" s="93">
        <f t="shared" si="22"/>
        <v>0</v>
      </c>
      <c r="AO5" s="79">
        <f t="shared" si="23"/>
        <v>0</v>
      </c>
      <c r="AP5" s="77">
        <f t="shared" si="24"/>
        <v>31755.216963247374</v>
      </c>
      <c r="AQ5" s="97">
        <f t="shared" si="25"/>
        <v>2294.249955199416</v>
      </c>
      <c r="AS5" s="92">
        <v>3</v>
      </c>
      <c r="AT5" s="93" t="s">
        <v>2</v>
      </c>
      <c r="AU5" s="78">
        <f t="shared" si="26"/>
        <v>31755.216963247374</v>
      </c>
      <c r="AV5" s="105">
        <f t="shared" si="27"/>
        <v>2294.249955199416</v>
      </c>
      <c r="AW5" s="77">
        <f t="shared" si="28"/>
        <v>0</v>
      </c>
      <c r="AX5" s="78">
        <f t="shared" si="29"/>
        <v>0</v>
      </c>
      <c r="AY5" s="78">
        <f t="shared" si="30"/>
        <v>5572.0909312914619</v>
      </c>
      <c r="AZ5" s="78">
        <f t="shared" si="31"/>
        <v>12116.038016455916</v>
      </c>
      <c r="BA5" s="78">
        <f t="shared" si="32"/>
        <v>0</v>
      </c>
      <c r="BB5" s="78">
        <f t="shared" si="33"/>
        <v>14067.0880155</v>
      </c>
      <c r="BC5" s="78">
        <f t="shared" si="34"/>
        <v>0</v>
      </c>
      <c r="BD5" s="78">
        <f t="shared" si="35"/>
        <v>0</v>
      </c>
      <c r="BE5" s="105">
        <f t="shared" si="36"/>
        <v>0</v>
      </c>
      <c r="BF5" s="77">
        <f t="shared" si="37"/>
        <v>0</v>
      </c>
      <c r="BG5" s="78">
        <f t="shared" si="38"/>
        <v>0</v>
      </c>
      <c r="BH5" s="78">
        <f t="shared" si="39"/>
        <v>412.70620164432091</v>
      </c>
      <c r="BI5" s="78">
        <f t="shared" si="40"/>
        <v>839.64143454039504</v>
      </c>
      <c r="BJ5" s="78">
        <f t="shared" si="41"/>
        <v>0</v>
      </c>
      <c r="BK5" s="78">
        <f t="shared" si="42"/>
        <v>1041.9023190146997</v>
      </c>
      <c r="BL5" s="78">
        <f t="shared" si="43"/>
        <v>0</v>
      </c>
      <c r="BM5" s="78">
        <f t="shared" si="44"/>
        <v>0</v>
      </c>
      <c r="BN5" s="105">
        <f t="shared" si="45"/>
        <v>0</v>
      </c>
    </row>
    <row r="6" spans="1:66" x14ac:dyDescent="0.25">
      <c r="A6" s="59">
        <v>4</v>
      </c>
      <c r="B6" t="s">
        <v>3</v>
      </c>
      <c r="C6" t="s">
        <v>52</v>
      </c>
      <c r="D6" s="60">
        <f>VLOOKUP(C6,IDN_JOULE_2009!$A$2:$N$37,3,FALSE)</f>
        <v>0</v>
      </c>
      <c r="E6" s="60">
        <f>VLOOKUP(C6,IDN_JOULE_2009!$A$2:$N$37,4,FALSE)</f>
        <v>0</v>
      </c>
      <c r="F6" s="60">
        <f>VLOOKUP(C6,IDN_JOULE_2009!$A$2:$N$37,7,FALSE)</f>
        <v>44576.727450331695</v>
      </c>
      <c r="G6" s="60">
        <f>VLOOKUP(C6,IDN_JOULE_2009!$A$2:$N$37,8,FALSE)</f>
        <v>96928.304131647325</v>
      </c>
      <c r="H6" s="60">
        <f>VLOOKUP(C6,IDN_JOULE_2009!$A$2:$N$37,9,FALSE)</f>
        <v>0</v>
      </c>
      <c r="I6" s="60">
        <f>VLOOKUP(C6,IDN_JOULE_2009!$A$2:$N$37,10,FALSE)</f>
        <v>112536.704124</v>
      </c>
      <c r="J6" s="60">
        <f>VLOOKUP(C6,IDN_JOULE_2009!$A$2:$N$37,11,FALSE)</f>
        <v>0</v>
      </c>
      <c r="K6" s="60">
        <f>VLOOKUP(C6,IDN_JOULE_2009!$A$2:$N$37,13,FALSE)</f>
        <v>0</v>
      </c>
      <c r="L6" s="60">
        <f>VLOOKUP(C6,IDN_JOULE_2009!$A$2:$N$37,14,FALSE)</f>
        <v>0</v>
      </c>
      <c r="M6" s="65">
        <f>VLOOKUP(C6,IDN_CO2_2009!$A$2:$N$37,3,FALSE)</f>
        <v>0</v>
      </c>
      <c r="N6" s="65">
        <f>VLOOKUP(C6,IDN_CO2_2009!$A$2:$N$37,4,FALSE)</f>
        <v>0</v>
      </c>
      <c r="O6" s="65">
        <f>VLOOKUP(C6,IDN_CO2_2009!$A$2:$N$37,7,FALSE)</f>
        <v>3301.6496131545673</v>
      </c>
      <c r="P6" s="65">
        <f>VLOOKUP(C6,IDN_CO2_2009!$A$2:$N$37,8,FALSE)</f>
        <v>6717.1314763231603</v>
      </c>
      <c r="Q6" s="65">
        <f>VLOOKUP(C6,IDN_CO2_2009!$A$2:$N$37,9,FALSE)</f>
        <v>0</v>
      </c>
      <c r="R6" s="65">
        <f>VLOOKUP(C6,IDN_CO2_2009!$A$2:$N$37,10,FALSE)</f>
        <v>8335.2185521175979</v>
      </c>
      <c r="S6" s="65">
        <f>VLOOKUP(C6,IDN_CO2_2009!$A$2:$N$37,11,FALSE)</f>
        <v>0</v>
      </c>
      <c r="T6" s="65">
        <f>VLOOKUP(C6,IDN_CO2_2009!$A$2:$N$37,13,FALSE)</f>
        <v>0</v>
      </c>
      <c r="U6" s="65">
        <f>VLOOKUP(C6,IDN_CO2_2009!$A$2:$N$37,14,FALSE)</f>
        <v>0</v>
      </c>
      <c r="V6" s="68">
        <f t="shared" si="13"/>
        <v>8</v>
      </c>
      <c r="W6" s="68">
        <f t="shared" si="14"/>
        <v>1</v>
      </c>
      <c r="X6" s="77">
        <f>IF($W6=1,D6/$V6, "NR")</f>
        <v>0</v>
      </c>
      <c r="Y6" s="78">
        <f>IF($W6=1,E6/$V6, "NR")</f>
        <v>0</v>
      </c>
      <c r="Z6" s="78">
        <f>IF($W6=1,F6/$V6, "NR")</f>
        <v>5572.0909312914619</v>
      </c>
      <c r="AA6" s="78">
        <f>IF($W6=1,G6/$V6, "NR")</f>
        <v>12116.038016455916</v>
      </c>
      <c r="AB6" s="78">
        <f>IF($W6=1,H6/$V6, "NR")</f>
        <v>0</v>
      </c>
      <c r="AC6" s="78">
        <f>IF($W6=1,I6/$V6, "NR")</f>
        <v>14067.0880155</v>
      </c>
      <c r="AD6" s="78">
        <f>IF($W6=1,J6/$V6, "NR")</f>
        <v>0</v>
      </c>
      <c r="AE6" s="78">
        <f>IF($W6=1,K6/$V6, "NR")</f>
        <v>0</v>
      </c>
      <c r="AF6" s="79">
        <f>IF($W6=1,L6/$V6, "NR")</f>
        <v>0</v>
      </c>
      <c r="AG6" s="92">
        <f t="shared" si="15"/>
        <v>0</v>
      </c>
      <c r="AH6" s="93">
        <f t="shared" si="16"/>
        <v>0</v>
      </c>
      <c r="AI6" s="93">
        <f t="shared" si="17"/>
        <v>412.70620164432091</v>
      </c>
      <c r="AJ6" s="93">
        <f t="shared" si="18"/>
        <v>839.64143454039504</v>
      </c>
      <c r="AK6" s="93">
        <f t="shared" si="19"/>
        <v>0</v>
      </c>
      <c r="AL6" s="93">
        <f t="shared" si="20"/>
        <v>1041.9023190146997</v>
      </c>
      <c r="AM6" s="93">
        <f t="shared" si="21"/>
        <v>0</v>
      </c>
      <c r="AN6" s="93">
        <f t="shared" si="22"/>
        <v>0</v>
      </c>
      <c r="AO6" s="79">
        <f t="shared" si="23"/>
        <v>0</v>
      </c>
      <c r="AP6" s="77">
        <f t="shared" si="24"/>
        <v>31755.216963247374</v>
      </c>
      <c r="AQ6" s="97">
        <f t="shared" si="25"/>
        <v>2294.249955199416</v>
      </c>
      <c r="AS6" s="92">
        <v>4</v>
      </c>
      <c r="AT6" s="93" t="s">
        <v>3</v>
      </c>
      <c r="AU6" s="78">
        <f t="shared" si="26"/>
        <v>31755.216963247374</v>
      </c>
      <c r="AV6" s="105">
        <f t="shared" si="27"/>
        <v>2294.249955199416</v>
      </c>
      <c r="AW6" s="77">
        <f t="shared" si="28"/>
        <v>0</v>
      </c>
      <c r="AX6" s="78">
        <f t="shared" si="29"/>
        <v>0</v>
      </c>
      <c r="AY6" s="78">
        <f t="shared" si="30"/>
        <v>5572.0909312914619</v>
      </c>
      <c r="AZ6" s="78">
        <f t="shared" si="31"/>
        <v>12116.038016455916</v>
      </c>
      <c r="BA6" s="78">
        <f t="shared" si="32"/>
        <v>0</v>
      </c>
      <c r="BB6" s="78">
        <f t="shared" si="33"/>
        <v>14067.0880155</v>
      </c>
      <c r="BC6" s="78">
        <f t="shared" si="34"/>
        <v>0</v>
      </c>
      <c r="BD6" s="78">
        <f t="shared" si="35"/>
        <v>0</v>
      </c>
      <c r="BE6" s="105">
        <f t="shared" si="36"/>
        <v>0</v>
      </c>
      <c r="BF6" s="77">
        <f t="shared" si="37"/>
        <v>0</v>
      </c>
      <c r="BG6" s="78">
        <f t="shared" si="38"/>
        <v>0</v>
      </c>
      <c r="BH6" s="78">
        <f t="shared" si="39"/>
        <v>412.70620164432091</v>
      </c>
      <c r="BI6" s="78">
        <f t="shared" si="40"/>
        <v>839.64143454039504</v>
      </c>
      <c r="BJ6" s="78">
        <f t="shared" si="41"/>
        <v>0</v>
      </c>
      <c r="BK6" s="78">
        <f t="shared" si="42"/>
        <v>1041.9023190146997</v>
      </c>
      <c r="BL6" s="78">
        <f t="shared" si="43"/>
        <v>0</v>
      </c>
      <c r="BM6" s="78">
        <f t="shared" si="44"/>
        <v>0</v>
      </c>
      <c r="BN6" s="105">
        <f t="shared" si="45"/>
        <v>0</v>
      </c>
    </row>
    <row r="7" spans="1:66" x14ac:dyDescent="0.25">
      <c r="A7" s="59">
        <v>5</v>
      </c>
      <c r="B7" t="s">
        <v>4</v>
      </c>
      <c r="C7" t="s">
        <v>52</v>
      </c>
      <c r="D7" s="60">
        <f>VLOOKUP(C7,IDN_JOULE_2009!$A$2:$N$37,3,FALSE)</f>
        <v>0</v>
      </c>
      <c r="E7" s="60">
        <f>VLOOKUP(C7,IDN_JOULE_2009!$A$2:$N$37,4,FALSE)</f>
        <v>0</v>
      </c>
      <c r="F7" s="60">
        <f>VLOOKUP(C7,IDN_JOULE_2009!$A$2:$N$37,7,FALSE)</f>
        <v>44576.727450331695</v>
      </c>
      <c r="G7" s="60">
        <f>VLOOKUP(C7,IDN_JOULE_2009!$A$2:$N$37,8,FALSE)</f>
        <v>96928.304131647325</v>
      </c>
      <c r="H7" s="60">
        <f>VLOOKUP(C7,IDN_JOULE_2009!$A$2:$N$37,9,FALSE)</f>
        <v>0</v>
      </c>
      <c r="I7" s="60">
        <f>VLOOKUP(C7,IDN_JOULE_2009!$A$2:$N$37,10,FALSE)</f>
        <v>112536.704124</v>
      </c>
      <c r="J7" s="60">
        <f>VLOOKUP(C7,IDN_JOULE_2009!$A$2:$N$37,11,FALSE)</f>
        <v>0</v>
      </c>
      <c r="K7" s="60">
        <f>VLOOKUP(C7,IDN_JOULE_2009!$A$2:$N$37,13,FALSE)</f>
        <v>0</v>
      </c>
      <c r="L7" s="60">
        <f>VLOOKUP(C7,IDN_JOULE_2009!$A$2:$N$37,14,FALSE)</f>
        <v>0</v>
      </c>
      <c r="M7" s="65">
        <f>VLOOKUP(C7,IDN_CO2_2009!$A$2:$N$37,3,FALSE)</f>
        <v>0</v>
      </c>
      <c r="N7" s="65">
        <f>VLOOKUP(C7,IDN_CO2_2009!$A$2:$N$37,4,FALSE)</f>
        <v>0</v>
      </c>
      <c r="O7" s="65">
        <f>VLOOKUP(C7,IDN_CO2_2009!$A$2:$N$37,7,FALSE)</f>
        <v>3301.6496131545673</v>
      </c>
      <c r="P7" s="65">
        <f>VLOOKUP(C7,IDN_CO2_2009!$A$2:$N$37,8,FALSE)</f>
        <v>6717.1314763231603</v>
      </c>
      <c r="Q7" s="65">
        <f>VLOOKUP(C7,IDN_CO2_2009!$A$2:$N$37,9,FALSE)</f>
        <v>0</v>
      </c>
      <c r="R7" s="65">
        <f>VLOOKUP(C7,IDN_CO2_2009!$A$2:$N$37,10,FALSE)</f>
        <v>8335.2185521175979</v>
      </c>
      <c r="S7" s="65">
        <f>VLOOKUP(C7,IDN_CO2_2009!$A$2:$N$37,11,FALSE)</f>
        <v>0</v>
      </c>
      <c r="T7" s="65">
        <f>VLOOKUP(C7,IDN_CO2_2009!$A$2:$N$37,13,FALSE)</f>
        <v>0</v>
      </c>
      <c r="U7" s="65">
        <f>VLOOKUP(C7,IDN_CO2_2009!$A$2:$N$37,14,FALSE)</f>
        <v>0</v>
      </c>
      <c r="V7" s="68">
        <f t="shared" si="13"/>
        <v>8</v>
      </c>
      <c r="W7" s="68">
        <f t="shared" si="14"/>
        <v>1</v>
      </c>
      <c r="X7" s="77">
        <f>IF($W7=1,D7/$V7, "NR")</f>
        <v>0</v>
      </c>
      <c r="Y7" s="78">
        <f>IF($W7=1,E7/$V7, "NR")</f>
        <v>0</v>
      </c>
      <c r="Z7" s="78">
        <f>IF($W7=1,F7/$V7, "NR")</f>
        <v>5572.0909312914619</v>
      </c>
      <c r="AA7" s="78">
        <f>IF($W7=1,G7/$V7, "NR")</f>
        <v>12116.038016455916</v>
      </c>
      <c r="AB7" s="78">
        <f>IF($W7=1,H7/$V7, "NR")</f>
        <v>0</v>
      </c>
      <c r="AC7" s="78">
        <f>IF($W7=1,I7/$V7, "NR")</f>
        <v>14067.0880155</v>
      </c>
      <c r="AD7" s="78">
        <f>IF($W7=1,J7/$V7, "NR")</f>
        <v>0</v>
      </c>
      <c r="AE7" s="78">
        <f>IF($W7=1,K7/$V7, "NR")</f>
        <v>0</v>
      </c>
      <c r="AF7" s="79">
        <f>IF($W7=1,L7/$V7, "NR")</f>
        <v>0</v>
      </c>
      <c r="AG7" s="92">
        <f t="shared" si="15"/>
        <v>0</v>
      </c>
      <c r="AH7" s="93">
        <f t="shared" si="16"/>
        <v>0</v>
      </c>
      <c r="AI7" s="93">
        <f t="shared" si="17"/>
        <v>412.70620164432091</v>
      </c>
      <c r="AJ7" s="93">
        <f t="shared" si="18"/>
        <v>839.64143454039504</v>
      </c>
      <c r="AK7" s="93">
        <f t="shared" si="19"/>
        <v>0</v>
      </c>
      <c r="AL7" s="93">
        <f t="shared" si="20"/>
        <v>1041.9023190146997</v>
      </c>
      <c r="AM7" s="93">
        <f t="shared" si="21"/>
        <v>0</v>
      </c>
      <c r="AN7" s="93">
        <f t="shared" si="22"/>
        <v>0</v>
      </c>
      <c r="AO7" s="79">
        <f t="shared" si="23"/>
        <v>0</v>
      </c>
      <c r="AP7" s="77">
        <f t="shared" si="24"/>
        <v>31755.216963247374</v>
      </c>
      <c r="AQ7" s="97">
        <f t="shared" si="25"/>
        <v>2294.249955199416</v>
      </c>
      <c r="AS7" s="92">
        <v>5</v>
      </c>
      <c r="AT7" s="93" t="s">
        <v>4</v>
      </c>
      <c r="AU7" s="78">
        <f t="shared" si="26"/>
        <v>31755.216963247374</v>
      </c>
      <c r="AV7" s="105">
        <f t="shared" si="27"/>
        <v>2294.249955199416</v>
      </c>
      <c r="AW7" s="77">
        <f t="shared" si="28"/>
        <v>0</v>
      </c>
      <c r="AX7" s="78">
        <f t="shared" si="29"/>
        <v>0</v>
      </c>
      <c r="AY7" s="78">
        <f t="shared" si="30"/>
        <v>5572.0909312914619</v>
      </c>
      <c r="AZ7" s="78">
        <f t="shared" si="31"/>
        <v>12116.038016455916</v>
      </c>
      <c r="BA7" s="78">
        <f t="shared" si="32"/>
        <v>0</v>
      </c>
      <c r="BB7" s="78">
        <f t="shared" si="33"/>
        <v>14067.0880155</v>
      </c>
      <c r="BC7" s="78">
        <f t="shared" si="34"/>
        <v>0</v>
      </c>
      <c r="BD7" s="78">
        <f t="shared" si="35"/>
        <v>0</v>
      </c>
      <c r="BE7" s="105">
        <f t="shared" si="36"/>
        <v>0</v>
      </c>
      <c r="BF7" s="77">
        <f t="shared" si="37"/>
        <v>0</v>
      </c>
      <c r="BG7" s="78">
        <f t="shared" si="38"/>
        <v>0</v>
      </c>
      <c r="BH7" s="78">
        <f t="shared" si="39"/>
        <v>412.70620164432091</v>
      </c>
      <c r="BI7" s="78">
        <f t="shared" si="40"/>
        <v>839.64143454039504</v>
      </c>
      <c r="BJ7" s="78">
        <f t="shared" si="41"/>
        <v>0</v>
      </c>
      <c r="BK7" s="78">
        <f t="shared" si="42"/>
        <v>1041.9023190146997</v>
      </c>
      <c r="BL7" s="78">
        <f t="shared" si="43"/>
        <v>0</v>
      </c>
      <c r="BM7" s="78">
        <f t="shared" si="44"/>
        <v>0</v>
      </c>
      <c r="BN7" s="105">
        <f t="shared" si="45"/>
        <v>0</v>
      </c>
    </row>
    <row r="8" spans="1:66" x14ac:dyDescent="0.25">
      <c r="A8" s="59">
        <v>6</v>
      </c>
      <c r="B8" t="s">
        <v>5</v>
      </c>
      <c r="C8" t="s">
        <v>52</v>
      </c>
      <c r="D8" s="60">
        <f>VLOOKUP(C8,IDN_JOULE_2009!$A$2:$N$37,3,FALSE)</f>
        <v>0</v>
      </c>
      <c r="E8" s="60">
        <f>VLOOKUP(C8,IDN_JOULE_2009!$A$2:$N$37,4,FALSE)</f>
        <v>0</v>
      </c>
      <c r="F8" s="60">
        <f>VLOOKUP(C8,IDN_JOULE_2009!$A$2:$N$37,7,FALSE)</f>
        <v>44576.727450331695</v>
      </c>
      <c r="G8" s="60">
        <f>VLOOKUP(C8,IDN_JOULE_2009!$A$2:$N$37,8,FALSE)</f>
        <v>96928.304131647325</v>
      </c>
      <c r="H8" s="60">
        <f>VLOOKUP(C8,IDN_JOULE_2009!$A$2:$N$37,9,FALSE)</f>
        <v>0</v>
      </c>
      <c r="I8" s="60">
        <f>VLOOKUP(C8,IDN_JOULE_2009!$A$2:$N$37,10,FALSE)</f>
        <v>112536.704124</v>
      </c>
      <c r="J8" s="60">
        <f>VLOOKUP(C8,IDN_JOULE_2009!$A$2:$N$37,11,FALSE)</f>
        <v>0</v>
      </c>
      <c r="K8" s="60">
        <f>VLOOKUP(C8,IDN_JOULE_2009!$A$2:$N$37,13,FALSE)</f>
        <v>0</v>
      </c>
      <c r="L8" s="60">
        <f>VLOOKUP(C8,IDN_JOULE_2009!$A$2:$N$37,14,FALSE)</f>
        <v>0</v>
      </c>
      <c r="M8" s="65">
        <f>VLOOKUP(C8,IDN_CO2_2009!$A$2:$N$37,3,FALSE)</f>
        <v>0</v>
      </c>
      <c r="N8" s="65">
        <f>VLOOKUP(C8,IDN_CO2_2009!$A$2:$N$37,4,FALSE)</f>
        <v>0</v>
      </c>
      <c r="O8" s="65">
        <f>VLOOKUP(C8,IDN_CO2_2009!$A$2:$N$37,7,FALSE)</f>
        <v>3301.6496131545673</v>
      </c>
      <c r="P8" s="65">
        <f>VLOOKUP(C8,IDN_CO2_2009!$A$2:$N$37,8,FALSE)</f>
        <v>6717.1314763231603</v>
      </c>
      <c r="Q8" s="65">
        <f>VLOOKUP(C8,IDN_CO2_2009!$A$2:$N$37,9,FALSE)</f>
        <v>0</v>
      </c>
      <c r="R8" s="65">
        <f>VLOOKUP(C8,IDN_CO2_2009!$A$2:$N$37,10,FALSE)</f>
        <v>8335.2185521175979</v>
      </c>
      <c r="S8" s="65">
        <f>VLOOKUP(C8,IDN_CO2_2009!$A$2:$N$37,11,FALSE)</f>
        <v>0</v>
      </c>
      <c r="T8" s="65">
        <f>VLOOKUP(C8,IDN_CO2_2009!$A$2:$N$37,13,FALSE)</f>
        <v>0</v>
      </c>
      <c r="U8" s="65">
        <f>VLOOKUP(C8,IDN_CO2_2009!$A$2:$N$37,14,FALSE)</f>
        <v>0</v>
      </c>
      <c r="V8" s="68">
        <f t="shared" si="13"/>
        <v>8</v>
      </c>
      <c r="W8" s="68">
        <f t="shared" si="14"/>
        <v>1</v>
      </c>
      <c r="X8" s="77">
        <f>IF($W8=1,D8/$V8, "NR")</f>
        <v>0</v>
      </c>
      <c r="Y8" s="78">
        <f>IF($W8=1,E8/$V8, "NR")</f>
        <v>0</v>
      </c>
      <c r="Z8" s="78">
        <f>IF($W8=1,F8/$V8, "NR")</f>
        <v>5572.0909312914619</v>
      </c>
      <c r="AA8" s="78">
        <f>IF($W8=1,G8/$V8, "NR")</f>
        <v>12116.038016455916</v>
      </c>
      <c r="AB8" s="78">
        <f>IF($W8=1,H8/$V8, "NR")</f>
        <v>0</v>
      </c>
      <c r="AC8" s="78">
        <f>IF($W8=1,I8/$V8, "NR")</f>
        <v>14067.0880155</v>
      </c>
      <c r="AD8" s="78">
        <f>IF($W8=1,J8/$V8, "NR")</f>
        <v>0</v>
      </c>
      <c r="AE8" s="78">
        <f>IF($W8=1,K8/$V8, "NR")</f>
        <v>0</v>
      </c>
      <c r="AF8" s="79">
        <f>IF($W8=1,L8/$V8, "NR")</f>
        <v>0</v>
      </c>
      <c r="AG8" s="92">
        <f t="shared" si="15"/>
        <v>0</v>
      </c>
      <c r="AH8" s="93">
        <f t="shared" si="16"/>
        <v>0</v>
      </c>
      <c r="AI8" s="93">
        <f t="shared" si="17"/>
        <v>412.70620164432091</v>
      </c>
      <c r="AJ8" s="93">
        <f t="shared" si="18"/>
        <v>839.64143454039504</v>
      </c>
      <c r="AK8" s="93">
        <f t="shared" si="19"/>
        <v>0</v>
      </c>
      <c r="AL8" s="93">
        <f t="shared" si="20"/>
        <v>1041.9023190146997</v>
      </c>
      <c r="AM8" s="93">
        <f t="shared" si="21"/>
        <v>0</v>
      </c>
      <c r="AN8" s="93">
        <f t="shared" si="22"/>
        <v>0</v>
      </c>
      <c r="AO8" s="79">
        <f t="shared" si="23"/>
        <v>0</v>
      </c>
      <c r="AP8" s="77">
        <f t="shared" si="24"/>
        <v>31755.216963247374</v>
      </c>
      <c r="AQ8" s="97">
        <f t="shared" si="25"/>
        <v>2294.249955199416</v>
      </c>
      <c r="AS8" s="92">
        <v>6</v>
      </c>
      <c r="AT8" s="93" t="s">
        <v>5</v>
      </c>
      <c r="AU8" s="78">
        <f t="shared" si="26"/>
        <v>31755.216963247374</v>
      </c>
      <c r="AV8" s="105">
        <f t="shared" si="27"/>
        <v>2294.249955199416</v>
      </c>
      <c r="AW8" s="77">
        <f t="shared" si="28"/>
        <v>0</v>
      </c>
      <c r="AX8" s="78">
        <f t="shared" si="29"/>
        <v>0</v>
      </c>
      <c r="AY8" s="78">
        <f t="shared" si="30"/>
        <v>5572.0909312914619</v>
      </c>
      <c r="AZ8" s="78">
        <f t="shared" si="31"/>
        <v>12116.038016455916</v>
      </c>
      <c r="BA8" s="78">
        <f t="shared" si="32"/>
        <v>0</v>
      </c>
      <c r="BB8" s="78">
        <f t="shared" si="33"/>
        <v>14067.0880155</v>
      </c>
      <c r="BC8" s="78">
        <f t="shared" si="34"/>
        <v>0</v>
      </c>
      <c r="BD8" s="78">
        <f t="shared" si="35"/>
        <v>0</v>
      </c>
      <c r="BE8" s="105">
        <f t="shared" si="36"/>
        <v>0</v>
      </c>
      <c r="BF8" s="77">
        <f t="shared" si="37"/>
        <v>0</v>
      </c>
      <c r="BG8" s="78">
        <f t="shared" si="38"/>
        <v>0</v>
      </c>
      <c r="BH8" s="78">
        <f t="shared" si="39"/>
        <v>412.70620164432091</v>
      </c>
      <c r="BI8" s="78">
        <f t="shared" si="40"/>
        <v>839.64143454039504</v>
      </c>
      <c r="BJ8" s="78">
        <f t="shared" si="41"/>
        <v>0</v>
      </c>
      <c r="BK8" s="78">
        <f t="shared" si="42"/>
        <v>1041.9023190146997</v>
      </c>
      <c r="BL8" s="78">
        <f t="shared" si="43"/>
        <v>0</v>
      </c>
      <c r="BM8" s="78">
        <f t="shared" si="44"/>
        <v>0</v>
      </c>
      <c r="BN8" s="105">
        <f t="shared" si="45"/>
        <v>0</v>
      </c>
    </row>
    <row r="9" spans="1:66" x14ac:dyDescent="0.25">
      <c r="A9" s="59">
        <v>7</v>
      </c>
      <c r="B9" t="s">
        <v>6</v>
      </c>
      <c r="C9" t="s">
        <v>52</v>
      </c>
      <c r="D9" s="60">
        <f>VLOOKUP(C9,IDN_JOULE_2009!$A$2:$N$37,3,FALSE)</f>
        <v>0</v>
      </c>
      <c r="E9" s="60">
        <f>VLOOKUP(C9,IDN_JOULE_2009!$A$2:$N$37,4,FALSE)</f>
        <v>0</v>
      </c>
      <c r="F9" s="60">
        <f>VLOOKUP(C9,IDN_JOULE_2009!$A$2:$N$37,7,FALSE)</f>
        <v>44576.727450331695</v>
      </c>
      <c r="G9" s="60">
        <f>VLOOKUP(C9,IDN_JOULE_2009!$A$2:$N$37,8,FALSE)</f>
        <v>96928.304131647325</v>
      </c>
      <c r="H9" s="60">
        <f>VLOOKUP(C9,IDN_JOULE_2009!$A$2:$N$37,9,FALSE)</f>
        <v>0</v>
      </c>
      <c r="I9" s="60">
        <f>VLOOKUP(C9,IDN_JOULE_2009!$A$2:$N$37,10,FALSE)</f>
        <v>112536.704124</v>
      </c>
      <c r="J9" s="60">
        <f>VLOOKUP(C9,IDN_JOULE_2009!$A$2:$N$37,11,FALSE)</f>
        <v>0</v>
      </c>
      <c r="K9" s="60">
        <f>VLOOKUP(C9,IDN_JOULE_2009!$A$2:$N$37,13,FALSE)</f>
        <v>0</v>
      </c>
      <c r="L9" s="60">
        <f>VLOOKUP(C9,IDN_JOULE_2009!$A$2:$N$37,14,FALSE)</f>
        <v>0</v>
      </c>
      <c r="M9" s="65">
        <f>VLOOKUP(C9,IDN_CO2_2009!$A$2:$N$37,3,FALSE)</f>
        <v>0</v>
      </c>
      <c r="N9" s="65">
        <f>VLOOKUP(C9,IDN_CO2_2009!$A$2:$N$37,4,FALSE)</f>
        <v>0</v>
      </c>
      <c r="O9" s="65">
        <f>VLOOKUP(C9,IDN_CO2_2009!$A$2:$N$37,7,FALSE)</f>
        <v>3301.6496131545673</v>
      </c>
      <c r="P9" s="65">
        <f>VLOOKUP(C9,IDN_CO2_2009!$A$2:$N$37,8,FALSE)</f>
        <v>6717.1314763231603</v>
      </c>
      <c r="Q9" s="65">
        <f>VLOOKUP(C9,IDN_CO2_2009!$A$2:$N$37,9,FALSE)</f>
        <v>0</v>
      </c>
      <c r="R9" s="65">
        <f>VLOOKUP(C9,IDN_CO2_2009!$A$2:$N$37,10,FALSE)</f>
        <v>8335.2185521175979</v>
      </c>
      <c r="S9" s="65">
        <f>VLOOKUP(C9,IDN_CO2_2009!$A$2:$N$37,11,FALSE)</f>
        <v>0</v>
      </c>
      <c r="T9" s="65">
        <f>VLOOKUP(C9,IDN_CO2_2009!$A$2:$N$37,13,FALSE)</f>
        <v>0</v>
      </c>
      <c r="U9" s="65">
        <f>VLOOKUP(C9,IDN_CO2_2009!$A$2:$N$37,14,FALSE)</f>
        <v>0</v>
      </c>
      <c r="V9" s="68">
        <f t="shared" si="13"/>
        <v>8</v>
      </c>
      <c r="W9" s="68">
        <f t="shared" si="14"/>
        <v>1</v>
      </c>
      <c r="X9" s="77">
        <f>IF($W9=1,D9/$V9, "NR")</f>
        <v>0</v>
      </c>
      <c r="Y9" s="78">
        <f>IF($W9=1,E9/$V9, "NR")</f>
        <v>0</v>
      </c>
      <c r="Z9" s="78">
        <f>IF($W9=1,F9/$V9, "NR")</f>
        <v>5572.0909312914619</v>
      </c>
      <c r="AA9" s="78">
        <f>IF($W9=1,G9/$V9, "NR")</f>
        <v>12116.038016455916</v>
      </c>
      <c r="AB9" s="78">
        <f>IF($W9=1,H9/$V9, "NR")</f>
        <v>0</v>
      </c>
      <c r="AC9" s="78">
        <f>IF($W9=1,I9/$V9, "NR")</f>
        <v>14067.0880155</v>
      </c>
      <c r="AD9" s="78">
        <f>IF($W9=1,J9/$V9, "NR")</f>
        <v>0</v>
      </c>
      <c r="AE9" s="78">
        <f>IF($W9=1,K9/$V9, "NR")</f>
        <v>0</v>
      </c>
      <c r="AF9" s="79">
        <f>IF($W9=1,L9/$V9, "NR")</f>
        <v>0</v>
      </c>
      <c r="AG9" s="92">
        <f t="shared" si="15"/>
        <v>0</v>
      </c>
      <c r="AH9" s="93">
        <f t="shared" si="16"/>
        <v>0</v>
      </c>
      <c r="AI9" s="93">
        <f t="shared" si="17"/>
        <v>412.70620164432091</v>
      </c>
      <c r="AJ9" s="93">
        <f t="shared" si="18"/>
        <v>839.64143454039504</v>
      </c>
      <c r="AK9" s="93">
        <f t="shared" si="19"/>
        <v>0</v>
      </c>
      <c r="AL9" s="93">
        <f t="shared" si="20"/>
        <v>1041.9023190146997</v>
      </c>
      <c r="AM9" s="93">
        <f t="shared" si="21"/>
        <v>0</v>
      </c>
      <c r="AN9" s="93">
        <f t="shared" si="22"/>
        <v>0</v>
      </c>
      <c r="AO9" s="79">
        <f t="shared" si="23"/>
        <v>0</v>
      </c>
      <c r="AP9" s="77">
        <f t="shared" si="24"/>
        <v>31755.216963247374</v>
      </c>
      <c r="AQ9" s="97">
        <f t="shared" si="25"/>
        <v>2294.249955199416</v>
      </c>
      <c r="AS9" s="92">
        <v>7</v>
      </c>
      <c r="AT9" s="93" t="s">
        <v>6</v>
      </c>
      <c r="AU9" s="78">
        <f t="shared" si="26"/>
        <v>31755.216963247374</v>
      </c>
      <c r="AV9" s="105">
        <f t="shared" si="27"/>
        <v>2294.249955199416</v>
      </c>
      <c r="AW9" s="77">
        <f t="shared" si="28"/>
        <v>0</v>
      </c>
      <c r="AX9" s="78">
        <f t="shared" si="29"/>
        <v>0</v>
      </c>
      <c r="AY9" s="78">
        <f t="shared" si="30"/>
        <v>5572.0909312914619</v>
      </c>
      <c r="AZ9" s="78">
        <f t="shared" si="31"/>
        <v>12116.038016455916</v>
      </c>
      <c r="BA9" s="78">
        <f t="shared" si="32"/>
        <v>0</v>
      </c>
      <c r="BB9" s="78">
        <f t="shared" si="33"/>
        <v>14067.0880155</v>
      </c>
      <c r="BC9" s="78">
        <f t="shared" si="34"/>
        <v>0</v>
      </c>
      <c r="BD9" s="78">
        <f t="shared" si="35"/>
        <v>0</v>
      </c>
      <c r="BE9" s="105">
        <f t="shared" si="36"/>
        <v>0</v>
      </c>
      <c r="BF9" s="77">
        <f t="shared" si="37"/>
        <v>0</v>
      </c>
      <c r="BG9" s="78">
        <f t="shared" si="38"/>
        <v>0</v>
      </c>
      <c r="BH9" s="78">
        <f t="shared" si="39"/>
        <v>412.70620164432091</v>
      </c>
      <c r="BI9" s="78">
        <f t="shared" si="40"/>
        <v>839.64143454039504</v>
      </c>
      <c r="BJ9" s="78">
        <f t="shared" si="41"/>
        <v>0</v>
      </c>
      <c r="BK9" s="78">
        <f t="shared" si="42"/>
        <v>1041.9023190146997</v>
      </c>
      <c r="BL9" s="78">
        <f t="shared" si="43"/>
        <v>0</v>
      </c>
      <c r="BM9" s="78">
        <f t="shared" si="44"/>
        <v>0</v>
      </c>
      <c r="BN9" s="105">
        <f t="shared" si="45"/>
        <v>0</v>
      </c>
    </row>
    <row r="10" spans="1:66" x14ac:dyDescent="0.25">
      <c r="A10" s="59">
        <v>8</v>
      </c>
      <c r="B10" t="s">
        <v>7</v>
      </c>
      <c r="C10" t="s">
        <v>52</v>
      </c>
      <c r="D10" s="60">
        <f>VLOOKUP(C10,IDN_JOULE_2009!$A$2:$N$37,3,FALSE)</f>
        <v>0</v>
      </c>
      <c r="E10" s="60">
        <f>VLOOKUP(C10,IDN_JOULE_2009!$A$2:$N$37,4,FALSE)</f>
        <v>0</v>
      </c>
      <c r="F10" s="60">
        <f>VLOOKUP(C10,IDN_JOULE_2009!$A$2:$N$37,7,FALSE)</f>
        <v>44576.727450331695</v>
      </c>
      <c r="G10" s="60">
        <f>VLOOKUP(C10,IDN_JOULE_2009!$A$2:$N$37,8,FALSE)</f>
        <v>96928.304131647325</v>
      </c>
      <c r="H10" s="60">
        <f>VLOOKUP(C10,IDN_JOULE_2009!$A$2:$N$37,9,FALSE)</f>
        <v>0</v>
      </c>
      <c r="I10" s="60">
        <f>VLOOKUP(C10,IDN_JOULE_2009!$A$2:$N$37,10,FALSE)</f>
        <v>112536.704124</v>
      </c>
      <c r="J10" s="60">
        <f>VLOOKUP(C10,IDN_JOULE_2009!$A$2:$N$37,11,FALSE)</f>
        <v>0</v>
      </c>
      <c r="K10" s="60">
        <f>VLOOKUP(C10,IDN_JOULE_2009!$A$2:$N$37,13,FALSE)</f>
        <v>0</v>
      </c>
      <c r="L10" s="60">
        <f>VLOOKUP(C10,IDN_JOULE_2009!$A$2:$N$37,14,FALSE)</f>
        <v>0</v>
      </c>
      <c r="M10" s="65">
        <f>VLOOKUP(C10,IDN_CO2_2009!$A$2:$N$37,3,FALSE)</f>
        <v>0</v>
      </c>
      <c r="N10" s="65">
        <f>VLOOKUP(C10,IDN_CO2_2009!$A$2:$N$37,4,FALSE)</f>
        <v>0</v>
      </c>
      <c r="O10" s="65">
        <f>VLOOKUP(C10,IDN_CO2_2009!$A$2:$N$37,7,FALSE)</f>
        <v>3301.6496131545673</v>
      </c>
      <c r="P10" s="65">
        <f>VLOOKUP(C10,IDN_CO2_2009!$A$2:$N$37,8,FALSE)</f>
        <v>6717.1314763231603</v>
      </c>
      <c r="Q10" s="65">
        <f>VLOOKUP(C10,IDN_CO2_2009!$A$2:$N$37,9,FALSE)</f>
        <v>0</v>
      </c>
      <c r="R10" s="65">
        <f>VLOOKUP(C10,IDN_CO2_2009!$A$2:$N$37,10,FALSE)</f>
        <v>8335.2185521175979</v>
      </c>
      <c r="S10" s="65">
        <f>VLOOKUP(C10,IDN_CO2_2009!$A$2:$N$37,11,FALSE)</f>
        <v>0</v>
      </c>
      <c r="T10" s="65">
        <f>VLOOKUP(C10,IDN_CO2_2009!$A$2:$N$37,13,FALSE)</f>
        <v>0</v>
      </c>
      <c r="U10" s="65">
        <f>VLOOKUP(C10,IDN_CO2_2009!$A$2:$N$37,14,FALSE)</f>
        <v>0</v>
      </c>
      <c r="V10" s="68">
        <f t="shared" si="13"/>
        <v>8</v>
      </c>
      <c r="W10" s="68">
        <f t="shared" si="14"/>
        <v>1</v>
      </c>
      <c r="X10" s="77">
        <f>IF($W10=1,D10/$V10, "NR")</f>
        <v>0</v>
      </c>
      <c r="Y10" s="78">
        <f>IF($W10=1,E10/$V10, "NR")</f>
        <v>0</v>
      </c>
      <c r="Z10" s="78">
        <f>IF($W10=1,F10/$V10, "NR")</f>
        <v>5572.0909312914619</v>
      </c>
      <c r="AA10" s="78">
        <f>IF($W10=1,G10/$V10, "NR")</f>
        <v>12116.038016455916</v>
      </c>
      <c r="AB10" s="78">
        <f>IF($W10=1,H10/$V10, "NR")</f>
        <v>0</v>
      </c>
      <c r="AC10" s="78">
        <f>IF($W10=1,I10/$V10, "NR")</f>
        <v>14067.0880155</v>
      </c>
      <c r="AD10" s="78">
        <f>IF($W10=1,J10/$V10, "NR")</f>
        <v>0</v>
      </c>
      <c r="AE10" s="78">
        <f>IF($W10=1,K10/$V10, "NR")</f>
        <v>0</v>
      </c>
      <c r="AF10" s="79">
        <f>IF($W10=1,L10/$V10, "NR")</f>
        <v>0</v>
      </c>
      <c r="AG10" s="92">
        <f t="shared" si="15"/>
        <v>0</v>
      </c>
      <c r="AH10" s="93">
        <f t="shared" si="16"/>
        <v>0</v>
      </c>
      <c r="AI10" s="93">
        <f t="shared" si="17"/>
        <v>412.70620164432091</v>
      </c>
      <c r="AJ10" s="93">
        <f t="shared" si="18"/>
        <v>839.64143454039504</v>
      </c>
      <c r="AK10" s="93">
        <f t="shared" si="19"/>
        <v>0</v>
      </c>
      <c r="AL10" s="93">
        <f t="shared" si="20"/>
        <v>1041.9023190146997</v>
      </c>
      <c r="AM10" s="93">
        <f t="shared" si="21"/>
        <v>0</v>
      </c>
      <c r="AN10" s="93">
        <f t="shared" si="22"/>
        <v>0</v>
      </c>
      <c r="AO10" s="79">
        <f t="shared" si="23"/>
        <v>0</v>
      </c>
      <c r="AP10" s="77">
        <f t="shared" si="24"/>
        <v>31755.216963247374</v>
      </c>
      <c r="AQ10" s="97">
        <f t="shared" si="25"/>
        <v>2294.249955199416</v>
      </c>
      <c r="AS10" s="92">
        <v>8</v>
      </c>
      <c r="AT10" s="93" t="s">
        <v>7</v>
      </c>
      <c r="AU10" s="78">
        <f t="shared" si="26"/>
        <v>31755.216963247374</v>
      </c>
      <c r="AV10" s="105">
        <f t="shared" si="27"/>
        <v>2294.249955199416</v>
      </c>
      <c r="AW10" s="77">
        <f t="shared" si="28"/>
        <v>0</v>
      </c>
      <c r="AX10" s="78">
        <f t="shared" si="29"/>
        <v>0</v>
      </c>
      <c r="AY10" s="78">
        <f t="shared" si="30"/>
        <v>5572.0909312914619</v>
      </c>
      <c r="AZ10" s="78">
        <f t="shared" si="31"/>
        <v>12116.038016455916</v>
      </c>
      <c r="BA10" s="78">
        <f t="shared" si="32"/>
        <v>0</v>
      </c>
      <c r="BB10" s="78">
        <f t="shared" si="33"/>
        <v>14067.0880155</v>
      </c>
      <c r="BC10" s="78">
        <f t="shared" si="34"/>
        <v>0</v>
      </c>
      <c r="BD10" s="78">
        <f t="shared" si="35"/>
        <v>0</v>
      </c>
      <c r="BE10" s="105">
        <f t="shared" si="36"/>
        <v>0</v>
      </c>
      <c r="BF10" s="77">
        <f t="shared" si="37"/>
        <v>0</v>
      </c>
      <c r="BG10" s="78">
        <f t="shared" si="38"/>
        <v>0</v>
      </c>
      <c r="BH10" s="78">
        <f t="shared" si="39"/>
        <v>412.70620164432091</v>
      </c>
      <c r="BI10" s="78">
        <f t="shared" si="40"/>
        <v>839.64143454039504</v>
      </c>
      <c r="BJ10" s="78">
        <f t="shared" si="41"/>
        <v>0</v>
      </c>
      <c r="BK10" s="78">
        <f t="shared" si="42"/>
        <v>1041.9023190146997</v>
      </c>
      <c r="BL10" s="78">
        <f t="shared" si="43"/>
        <v>0</v>
      </c>
      <c r="BM10" s="78">
        <f t="shared" si="44"/>
        <v>0</v>
      </c>
      <c r="BN10" s="105">
        <f t="shared" si="45"/>
        <v>0</v>
      </c>
    </row>
    <row r="11" spans="1:66" x14ac:dyDescent="0.25">
      <c r="A11" s="59">
        <v>9</v>
      </c>
      <c r="B11" t="s">
        <v>8</v>
      </c>
      <c r="C11" t="s">
        <v>53</v>
      </c>
      <c r="D11" s="60">
        <f>VLOOKUP(C11,IDN_JOULE_2009!$A$2:$N$37,3,FALSE)</f>
        <v>319318.15109252307</v>
      </c>
      <c r="E11" s="60">
        <f>VLOOKUP(C11,IDN_JOULE_2009!$A$2:$N$37,4,FALSE)</f>
        <v>38.137806321391189</v>
      </c>
      <c r="F11" s="60">
        <f>VLOOKUP(C11,IDN_JOULE_2009!$A$2:$N$37,7,FALSE)</f>
        <v>1164.7747449348053</v>
      </c>
      <c r="G11" s="60">
        <f>VLOOKUP(C11,IDN_JOULE_2009!$A$2:$N$37,8,FALSE)</f>
        <v>2532.7036590493958</v>
      </c>
      <c r="H11" s="60">
        <f>VLOOKUP(C11,IDN_JOULE_2009!$A$2:$N$37,9,FALSE)</f>
        <v>0</v>
      </c>
      <c r="I11" s="60">
        <f>VLOOKUP(C11,IDN_JOULE_2009!$A$2:$N$37,10,FALSE)</f>
        <v>45465.005484000001</v>
      </c>
      <c r="J11" s="60">
        <f>VLOOKUP(C11,IDN_JOULE_2009!$A$2:$N$37,11,FALSE)</f>
        <v>2211.007212</v>
      </c>
      <c r="K11" s="60">
        <f>VLOOKUP(C11,IDN_JOULE_2009!$A$2:$N$37,13,FALSE)</f>
        <v>610.34219778505894</v>
      </c>
      <c r="L11" s="60">
        <f>VLOOKUP(C11,IDN_JOULE_2009!$A$2:$N$37,14,FALSE)</f>
        <v>182463.20524130462</v>
      </c>
      <c r="M11" s="65">
        <f>VLOOKUP(C11,IDN_CO2_2009!$A$2:$N$37,3,FALSE)</f>
        <v>30207.497093352678</v>
      </c>
      <c r="N11" s="65">
        <f>VLOOKUP(C11,IDN_CO2_2009!$A$2:$N$37,4,FALSE)</f>
        <v>3.859545999724789</v>
      </c>
      <c r="O11" s="65">
        <f>VLOOKUP(C11,IDN_CO2_2009!$A$2:$N$37,7,FALSE)</f>
        <v>86.270982774837904</v>
      </c>
      <c r="P11" s="65">
        <f>VLOOKUP(C11,IDN_CO2_2009!$A$2:$N$37,8,FALSE)</f>
        <v>175.51636357212311</v>
      </c>
      <c r="Q11" s="65">
        <f>VLOOKUP(C11,IDN_CO2_2009!$A$2:$N$37,9,FALSE)</f>
        <v>0</v>
      </c>
      <c r="R11" s="65">
        <f>VLOOKUP(C11,IDN_CO2_2009!$A$2:$N$37,10,FALSE)</f>
        <v>3367.4414061815996</v>
      </c>
      <c r="S11" s="65">
        <f>VLOOKUP(C11,IDN_CO2_2009!$A$2:$N$37,11,FALSE)</f>
        <v>171.0582579684</v>
      </c>
      <c r="T11" s="65">
        <f>VLOOKUP(C11,IDN_CO2_2009!$A$2:$N$37,13,FALSE)</f>
        <v>18.35820941321828</v>
      </c>
      <c r="U11" s="65">
        <f>VLOOKUP(C11,IDN_CO2_2009!$A$2:$N$37,14,FALSE)</f>
        <v>10236.18581403719</v>
      </c>
      <c r="V11" s="68">
        <f t="shared" si="13"/>
        <v>3</v>
      </c>
      <c r="W11" s="68">
        <f t="shared" si="14"/>
        <v>1</v>
      </c>
      <c r="X11" s="77">
        <f>IF($W11=1,D11/$V11, "NR")</f>
        <v>106439.38369750768</v>
      </c>
      <c r="Y11" s="78">
        <f>IF($W11=1,E11/$V11, "NR")</f>
        <v>12.712602107130396</v>
      </c>
      <c r="Z11" s="78">
        <f>IF($W11=1,F11/$V11, "NR")</f>
        <v>388.25824831160179</v>
      </c>
      <c r="AA11" s="78">
        <f>IF($W11=1,G11/$V11, "NR")</f>
        <v>844.23455301646527</v>
      </c>
      <c r="AB11" s="78">
        <f>IF($W11=1,H11/$V11, "NR")</f>
        <v>0</v>
      </c>
      <c r="AC11" s="78">
        <f>IF($W11=1,I11/$V11, "NR")</f>
        <v>15155.001828</v>
      </c>
      <c r="AD11" s="78">
        <f>IF($W11=1,J11/$V11, "NR")</f>
        <v>737.00240399999996</v>
      </c>
      <c r="AE11" s="78">
        <f>IF($W11=1,K11/$V11, "NR")</f>
        <v>203.44739926168631</v>
      </c>
      <c r="AF11" s="79">
        <f>IF($W11=1,L11/$V11, "NR")</f>
        <v>60821.068413768204</v>
      </c>
      <c r="AG11" s="92">
        <f t="shared" si="15"/>
        <v>10069.165697784227</v>
      </c>
      <c r="AH11" s="93">
        <f t="shared" si="16"/>
        <v>1.2865153332415964</v>
      </c>
      <c r="AI11" s="93">
        <f t="shared" si="17"/>
        <v>28.756994258279303</v>
      </c>
      <c r="AJ11" s="93">
        <f t="shared" si="18"/>
        <v>58.505454524041035</v>
      </c>
      <c r="AK11" s="93">
        <f t="shared" si="19"/>
        <v>0</v>
      </c>
      <c r="AL11" s="93">
        <f t="shared" si="20"/>
        <v>1122.4804687271999</v>
      </c>
      <c r="AM11" s="93">
        <f t="shared" si="21"/>
        <v>57.019419322799997</v>
      </c>
      <c r="AN11" s="93">
        <f t="shared" si="22"/>
        <v>6.1194031377394262</v>
      </c>
      <c r="AO11" s="79">
        <f t="shared" si="23"/>
        <v>3412.0619380123967</v>
      </c>
      <c r="AP11" s="77">
        <f t="shared" si="24"/>
        <v>184601.10914597276</v>
      </c>
      <c r="AQ11" s="97">
        <f t="shared" si="25"/>
        <v>14755.395891099928</v>
      </c>
      <c r="AS11" s="92">
        <v>9</v>
      </c>
      <c r="AT11" s="93" t="s">
        <v>8</v>
      </c>
      <c r="AU11" s="78">
        <f t="shared" si="26"/>
        <v>184601.10914597276</v>
      </c>
      <c r="AV11" s="105">
        <f t="shared" si="27"/>
        <v>14755.395891099928</v>
      </c>
      <c r="AW11" s="77">
        <f t="shared" si="28"/>
        <v>106439.38369750768</v>
      </c>
      <c r="AX11" s="78">
        <f t="shared" si="29"/>
        <v>12.712602107130396</v>
      </c>
      <c r="AY11" s="78">
        <f t="shared" si="30"/>
        <v>388.25824831160179</v>
      </c>
      <c r="AZ11" s="78">
        <f t="shared" si="31"/>
        <v>844.23455301646527</v>
      </c>
      <c r="BA11" s="78">
        <f t="shared" si="32"/>
        <v>0</v>
      </c>
      <c r="BB11" s="78">
        <f t="shared" si="33"/>
        <v>15155.001828</v>
      </c>
      <c r="BC11" s="78">
        <f>AVERAGEIF($B$3:$B$49,$AT11,AD$3:AD$49)</f>
        <v>737.00240399999996</v>
      </c>
      <c r="BD11" s="78">
        <f t="shared" si="35"/>
        <v>203.44739926168631</v>
      </c>
      <c r="BE11" s="105">
        <f t="shared" si="36"/>
        <v>60821.068413768204</v>
      </c>
      <c r="BF11" s="77">
        <f t="shared" si="37"/>
        <v>10069.165697784227</v>
      </c>
      <c r="BG11" s="78">
        <f t="shared" si="38"/>
        <v>1.2865153332415964</v>
      </c>
      <c r="BH11" s="78">
        <f t="shared" si="39"/>
        <v>28.756994258279303</v>
      </c>
      <c r="BI11" s="78">
        <f t="shared" si="40"/>
        <v>58.505454524041035</v>
      </c>
      <c r="BJ11" s="78">
        <f t="shared" si="41"/>
        <v>0</v>
      </c>
      <c r="BK11" s="78">
        <f t="shared" si="42"/>
        <v>1122.4804687271999</v>
      </c>
      <c r="BL11" s="78">
        <f t="shared" si="43"/>
        <v>57.019419322799997</v>
      </c>
      <c r="BM11" s="78">
        <f t="shared" si="44"/>
        <v>6.1194031377394262</v>
      </c>
      <c r="BN11" s="105">
        <f t="shared" si="45"/>
        <v>3412.0619380123967</v>
      </c>
    </row>
    <row r="12" spans="1:66" x14ac:dyDescent="0.25">
      <c r="A12" s="59">
        <v>10</v>
      </c>
      <c r="B12" t="s">
        <v>9</v>
      </c>
      <c r="C12" t="s">
        <v>53</v>
      </c>
      <c r="D12" s="60">
        <f>VLOOKUP(C12,IDN_JOULE_2009!$A$2:$N$37,3,FALSE)</f>
        <v>319318.15109252307</v>
      </c>
      <c r="E12" s="60">
        <f>VLOOKUP(C12,IDN_JOULE_2009!$A$2:$N$37,4,FALSE)</f>
        <v>38.137806321391189</v>
      </c>
      <c r="F12" s="60">
        <f>VLOOKUP(C12,IDN_JOULE_2009!$A$2:$N$37,7,FALSE)</f>
        <v>1164.7747449348053</v>
      </c>
      <c r="G12" s="60">
        <f>VLOOKUP(C12,IDN_JOULE_2009!$A$2:$N$37,8,FALSE)</f>
        <v>2532.7036590493958</v>
      </c>
      <c r="H12" s="60">
        <f>VLOOKUP(C12,IDN_JOULE_2009!$A$2:$N$37,9,FALSE)</f>
        <v>0</v>
      </c>
      <c r="I12" s="60">
        <f>VLOOKUP(C12,IDN_JOULE_2009!$A$2:$N$37,10,FALSE)</f>
        <v>45465.005484000001</v>
      </c>
      <c r="J12" s="60">
        <f>VLOOKUP(C12,IDN_JOULE_2009!$A$2:$N$37,11,FALSE)</f>
        <v>2211.007212</v>
      </c>
      <c r="K12" s="60">
        <f>VLOOKUP(C12,IDN_JOULE_2009!$A$2:$N$37,13,FALSE)</f>
        <v>610.34219778505894</v>
      </c>
      <c r="L12" s="60">
        <f>VLOOKUP(C12,IDN_JOULE_2009!$A$2:$N$37,14,FALSE)</f>
        <v>182463.20524130462</v>
      </c>
      <c r="M12" s="65">
        <f>VLOOKUP(C12,IDN_CO2_2009!$A$2:$N$37,3,FALSE)</f>
        <v>30207.497093352678</v>
      </c>
      <c r="N12" s="65">
        <f>VLOOKUP(C12,IDN_CO2_2009!$A$2:$N$37,4,FALSE)</f>
        <v>3.859545999724789</v>
      </c>
      <c r="O12" s="65">
        <f>VLOOKUP(C12,IDN_CO2_2009!$A$2:$N$37,7,FALSE)</f>
        <v>86.270982774837904</v>
      </c>
      <c r="P12" s="65">
        <f>VLOOKUP(C12,IDN_CO2_2009!$A$2:$N$37,8,FALSE)</f>
        <v>175.51636357212311</v>
      </c>
      <c r="Q12" s="65">
        <f>VLOOKUP(C12,IDN_CO2_2009!$A$2:$N$37,9,FALSE)</f>
        <v>0</v>
      </c>
      <c r="R12" s="65">
        <f>VLOOKUP(C12,IDN_CO2_2009!$A$2:$N$37,10,FALSE)</f>
        <v>3367.4414061815996</v>
      </c>
      <c r="S12" s="65">
        <f>VLOOKUP(C12,IDN_CO2_2009!$A$2:$N$37,11,FALSE)</f>
        <v>171.0582579684</v>
      </c>
      <c r="T12" s="65">
        <f>VLOOKUP(C12,IDN_CO2_2009!$A$2:$N$37,13,FALSE)</f>
        <v>18.35820941321828</v>
      </c>
      <c r="U12" s="65">
        <f>VLOOKUP(C12,IDN_CO2_2009!$A$2:$N$37,14,FALSE)</f>
        <v>10236.18581403719</v>
      </c>
      <c r="V12" s="68">
        <f t="shared" si="13"/>
        <v>3</v>
      </c>
      <c r="W12" s="68">
        <f t="shared" si="14"/>
        <v>1</v>
      </c>
      <c r="X12" s="77">
        <f>IF($W12=1,D12/$V12, "NR")</f>
        <v>106439.38369750768</v>
      </c>
      <c r="Y12" s="78">
        <f>IF($W12=1,E12/$V12, "NR")</f>
        <v>12.712602107130396</v>
      </c>
      <c r="Z12" s="78">
        <f>IF($W12=1,F12/$V12, "NR")</f>
        <v>388.25824831160179</v>
      </c>
      <c r="AA12" s="78">
        <f>IF($W12=1,G12/$V12, "NR")</f>
        <v>844.23455301646527</v>
      </c>
      <c r="AB12" s="78">
        <f>IF($W12=1,H12/$V12, "NR")</f>
        <v>0</v>
      </c>
      <c r="AC12" s="78">
        <f>IF($W12=1,I12/$V12, "NR")</f>
        <v>15155.001828</v>
      </c>
      <c r="AD12" s="78">
        <f>IF($W12=1,J12/$V12, "NR")</f>
        <v>737.00240399999996</v>
      </c>
      <c r="AE12" s="78">
        <f>IF($W12=1,K12/$V12, "NR")</f>
        <v>203.44739926168631</v>
      </c>
      <c r="AF12" s="79">
        <f>IF($W12=1,L12/$V12, "NR")</f>
        <v>60821.068413768204</v>
      </c>
      <c r="AG12" s="92">
        <f t="shared" si="15"/>
        <v>10069.165697784227</v>
      </c>
      <c r="AH12" s="93">
        <f t="shared" si="16"/>
        <v>1.2865153332415964</v>
      </c>
      <c r="AI12" s="93">
        <f t="shared" si="17"/>
        <v>28.756994258279303</v>
      </c>
      <c r="AJ12" s="93">
        <f t="shared" si="18"/>
        <v>58.505454524041035</v>
      </c>
      <c r="AK12" s="93">
        <f t="shared" si="19"/>
        <v>0</v>
      </c>
      <c r="AL12" s="93">
        <f t="shared" si="20"/>
        <v>1122.4804687271999</v>
      </c>
      <c r="AM12" s="93">
        <f t="shared" si="21"/>
        <v>57.019419322799997</v>
      </c>
      <c r="AN12" s="93">
        <f t="shared" si="22"/>
        <v>6.1194031377394262</v>
      </c>
      <c r="AO12" s="79">
        <f t="shared" si="23"/>
        <v>3412.0619380123967</v>
      </c>
      <c r="AP12" s="77">
        <f t="shared" si="24"/>
        <v>184601.10914597276</v>
      </c>
      <c r="AQ12" s="97">
        <f t="shared" si="25"/>
        <v>14755.395891099928</v>
      </c>
      <c r="AS12" s="92">
        <v>10</v>
      </c>
      <c r="AT12" s="93" t="s">
        <v>9</v>
      </c>
      <c r="AU12" s="78">
        <f t="shared" si="26"/>
        <v>184601.10914597276</v>
      </c>
      <c r="AV12" s="105">
        <f t="shared" si="27"/>
        <v>14755.395891099928</v>
      </c>
      <c r="AW12" s="77">
        <f t="shared" si="28"/>
        <v>106439.38369750768</v>
      </c>
      <c r="AX12" s="78">
        <f t="shared" si="29"/>
        <v>12.712602107130396</v>
      </c>
      <c r="AY12" s="78">
        <f t="shared" si="30"/>
        <v>388.25824831160179</v>
      </c>
      <c r="AZ12" s="78">
        <f t="shared" si="31"/>
        <v>844.23455301646527</v>
      </c>
      <c r="BA12" s="78">
        <f t="shared" si="32"/>
        <v>0</v>
      </c>
      <c r="BB12" s="78">
        <f t="shared" si="33"/>
        <v>15155.001828</v>
      </c>
      <c r="BC12" s="78">
        <f t="shared" si="34"/>
        <v>737.00240399999996</v>
      </c>
      <c r="BD12" s="78">
        <f t="shared" si="35"/>
        <v>203.44739926168631</v>
      </c>
      <c r="BE12" s="105">
        <f t="shared" si="36"/>
        <v>60821.068413768204</v>
      </c>
      <c r="BF12" s="77">
        <f t="shared" si="37"/>
        <v>10069.165697784227</v>
      </c>
      <c r="BG12" s="78">
        <f t="shared" si="38"/>
        <v>1.2865153332415964</v>
      </c>
      <c r="BH12" s="78">
        <f t="shared" si="39"/>
        <v>28.756994258279303</v>
      </c>
      <c r="BI12" s="78">
        <f t="shared" si="40"/>
        <v>58.505454524041035</v>
      </c>
      <c r="BJ12" s="78">
        <f t="shared" si="41"/>
        <v>0</v>
      </c>
      <c r="BK12" s="78">
        <f t="shared" si="42"/>
        <v>1122.4804687271999</v>
      </c>
      <c r="BL12" s="78">
        <f t="shared" si="43"/>
        <v>57.019419322799997</v>
      </c>
      <c r="BM12" s="78">
        <f t="shared" si="44"/>
        <v>6.1194031377394262</v>
      </c>
      <c r="BN12" s="105">
        <f t="shared" si="45"/>
        <v>3412.0619380123967</v>
      </c>
    </row>
    <row r="13" spans="1:66" x14ac:dyDescent="0.25">
      <c r="A13" s="59">
        <v>11</v>
      </c>
      <c r="B13" t="s">
        <v>10</v>
      </c>
      <c r="C13" t="s">
        <v>53</v>
      </c>
      <c r="D13" s="60">
        <f>VLOOKUP(C13,IDN_JOULE_2009!$A$2:$N$37,3,FALSE)</f>
        <v>319318.15109252307</v>
      </c>
      <c r="E13" s="60">
        <f>VLOOKUP(C13,IDN_JOULE_2009!$A$2:$N$37,4,FALSE)</f>
        <v>38.137806321391189</v>
      </c>
      <c r="F13" s="60">
        <f>VLOOKUP(C13,IDN_JOULE_2009!$A$2:$N$37,7,FALSE)</f>
        <v>1164.7747449348053</v>
      </c>
      <c r="G13" s="60">
        <f>VLOOKUP(C13,IDN_JOULE_2009!$A$2:$N$37,8,FALSE)</f>
        <v>2532.7036590493958</v>
      </c>
      <c r="H13" s="60">
        <f>VLOOKUP(C13,IDN_JOULE_2009!$A$2:$N$37,9,FALSE)</f>
        <v>0</v>
      </c>
      <c r="I13" s="60">
        <f>VLOOKUP(C13,IDN_JOULE_2009!$A$2:$N$37,10,FALSE)</f>
        <v>45465.005484000001</v>
      </c>
      <c r="J13" s="60">
        <f>VLOOKUP(C13,IDN_JOULE_2009!$A$2:$N$37,11,FALSE)</f>
        <v>2211.007212</v>
      </c>
      <c r="K13" s="60">
        <f>VLOOKUP(C13,IDN_JOULE_2009!$A$2:$N$37,13,FALSE)</f>
        <v>610.34219778505894</v>
      </c>
      <c r="L13" s="60">
        <f>VLOOKUP(C13,IDN_JOULE_2009!$A$2:$N$37,14,FALSE)</f>
        <v>182463.20524130462</v>
      </c>
      <c r="M13" s="65">
        <f>VLOOKUP(C13,IDN_CO2_2009!$A$2:$N$37,3,FALSE)</f>
        <v>30207.497093352678</v>
      </c>
      <c r="N13" s="65">
        <f>VLOOKUP(C13,IDN_CO2_2009!$A$2:$N$37,4,FALSE)</f>
        <v>3.859545999724789</v>
      </c>
      <c r="O13" s="65">
        <f>VLOOKUP(C13,IDN_CO2_2009!$A$2:$N$37,7,FALSE)</f>
        <v>86.270982774837904</v>
      </c>
      <c r="P13" s="65">
        <f>VLOOKUP(C13,IDN_CO2_2009!$A$2:$N$37,8,FALSE)</f>
        <v>175.51636357212311</v>
      </c>
      <c r="Q13" s="65">
        <f>VLOOKUP(C13,IDN_CO2_2009!$A$2:$N$37,9,FALSE)</f>
        <v>0</v>
      </c>
      <c r="R13" s="65">
        <f>VLOOKUP(C13,IDN_CO2_2009!$A$2:$N$37,10,FALSE)</f>
        <v>3367.4414061815996</v>
      </c>
      <c r="S13" s="65">
        <f>VLOOKUP(C13,IDN_CO2_2009!$A$2:$N$37,11,FALSE)</f>
        <v>171.0582579684</v>
      </c>
      <c r="T13" s="65">
        <f>VLOOKUP(C13,IDN_CO2_2009!$A$2:$N$37,13,FALSE)</f>
        <v>18.35820941321828</v>
      </c>
      <c r="U13" s="65">
        <f>VLOOKUP(C13,IDN_CO2_2009!$A$2:$N$37,14,FALSE)</f>
        <v>10236.18581403719</v>
      </c>
      <c r="V13" s="68">
        <f t="shared" si="13"/>
        <v>3</v>
      </c>
      <c r="W13" s="68">
        <f t="shared" si="14"/>
        <v>1</v>
      </c>
      <c r="X13" s="77">
        <f>IF($W13=1,D13/$V13, "NR")</f>
        <v>106439.38369750768</v>
      </c>
      <c r="Y13" s="78">
        <f>IF($W13=1,E13/$V13, "NR")</f>
        <v>12.712602107130396</v>
      </c>
      <c r="Z13" s="78">
        <f>IF($W13=1,F13/$V13, "NR")</f>
        <v>388.25824831160179</v>
      </c>
      <c r="AA13" s="78">
        <f>IF($W13=1,G13/$V13, "NR")</f>
        <v>844.23455301646527</v>
      </c>
      <c r="AB13" s="78">
        <f>IF($W13=1,H13/$V13, "NR")</f>
        <v>0</v>
      </c>
      <c r="AC13" s="78">
        <f>IF($W13=1,I13/$V13, "NR")</f>
        <v>15155.001828</v>
      </c>
      <c r="AD13" s="78">
        <f>IF($W13=1,J13/$V13, "NR")</f>
        <v>737.00240399999996</v>
      </c>
      <c r="AE13" s="78">
        <f>IF($W13=1,K13/$V13, "NR")</f>
        <v>203.44739926168631</v>
      </c>
      <c r="AF13" s="79">
        <f>IF($W13=1,L13/$V13, "NR")</f>
        <v>60821.068413768204</v>
      </c>
      <c r="AG13" s="92">
        <f t="shared" si="15"/>
        <v>10069.165697784227</v>
      </c>
      <c r="AH13" s="93">
        <f t="shared" si="16"/>
        <v>1.2865153332415964</v>
      </c>
      <c r="AI13" s="93">
        <f t="shared" si="17"/>
        <v>28.756994258279303</v>
      </c>
      <c r="AJ13" s="93">
        <f t="shared" si="18"/>
        <v>58.505454524041035</v>
      </c>
      <c r="AK13" s="93">
        <f t="shared" si="19"/>
        <v>0</v>
      </c>
      <c r="AL13" s="93">
        <f t="shared" si="20"/>
        <v>1122.4804687271999</v>
      </c>
      <c r="AM13" s="93">
        <f t="shared" si="21"/>
        <v>57.019419322799997</v>
      </c>
      <c r="AN13" s="93">
        <f t="shared" si="22"/>
        <v>6.1194031377394262</v>
      </c>
      <c r="AO13" s="79">
        <f t="shared" si="23"/>
        <v>3412.0619380123967</v>
      </c>
      <c r="AP13" s="77">
        <f t="shared" si="24"/>
        <v>184601.10914597276</v>
      </c>
      <c r="AQ13" s="97">
        <f t="shared" si="25"/>
        <v>14755.395891099928</v>
      </c>
      <c r="AS13" s="92">
        <v>11</v>
      </c>
      <c r="AT13" s="93" t="s">
        <v>10</v>
      </c>
      <c r="AU13" s="78">
        <f t="shared" si="26"/>
        <v>184601.10914597276</v>
      </c>
      <c r="AV13" s="105">
        <f t="shared" si="27"/>
        <v>14755.395891099928</v>
      </c>
      <c r="AW13" s="77">
        <f t="shared" si="28"/>
        <v>106439.38369750768</v>
      </c>
      <c r="AX13" s="78">
        <f t="shared" si="29"/>
        <v>12.712602107130396</v>
      </c>
      <c r="AY13" s="78">
        <f t="shared" si="30"/>
        <v>388.25824831160179</v>
      </c>
      <c r="AZ13" s="78">
        <f t="shared" si="31"/>
        <v>844.23455301646527</v>
      </c>
      <c r="BA13" s="78">
        <f t="shared" si="32"/>
        <v>0</v>
      </c>
      <c r="BB13" s="78">
        <f t="shared" si="33"/>
        <v>15155.001828</v>
      </c>
      <c r="BC13" s="78">
        <f t="shared" si="34"/>
        <v>737.00240399999996</v>
      </c>
      <c r="BD13" s="78">
        <f t="shared" si="35"/>
        <v>203.44739926168631</v>
      </c>
      <c r="BE13" s="105">
        <f t="shared" si="36"/>
        <v>60821.068413768204</v>
      </c>
      <c r="BF13" s="77">
        <f t="shared" si="37"/>
        <v>10069.165697784227</v>
      </c>
      <c r="BG13" s="78">
        <f t="shared" si="38"/>
        <v>1.2865153332415964</v>
      </c>
      <c r="BH13" s="78">
        <f t="shared" si="39"/>
        <v>28.756994258279303</v>
      </c>
      <c r="BI13" s="78">
        <f t="shared" si="40"/>
        <v>58.505454524041035</v>
      </c>
      <c r="BJ13" s="78">
        <f t="shared" si="41"/>
        <v>0</v>
      </c>
      <c r="BK13" s="78">
        <f t="shared" si="42"/>
        <v>1122.4804687271999</v>
      </c>
      <c r="BL13" s="78">
        <f t="shared" si="43"/>
        <v>57.019419322799997</v>
      </c>
      <c r="BM13" s="78">
        <f t="shared" si="44"/>
        <v>6.1194031377394262</v>
      </c>
      <c r="BN13" s="105">
        <f t="shared" si="45"/>
        <v>3412.0619380123967</v>
      </c>
    </row>
    <row r="14" spans="1:66" x14ac:dyDescent="0.25">
      <c r="A14" s="59">
        <v>12</v>
      </c>
      <c r="B14" t="s">
        <v>11</v>
      </c>
      <c r="C14" t="s">
        <v>59</v>
      </c>
      <c r="D14" s="60">
        <f>VLOOKUP(C14,IDN_JOULE_2009!$A$2:$N$37,3,FALSE)</f>
        <v>1341.9950039999999</v>
      </c>
      <c r="E14" s="60">
        <f>VLOOKUP(C14,IDN_JOULE_2009!$A$2:$N$37,4,FALSE)</f>
        <v>0</v>
      </c>
      <c r="F14" s="60">
        <f>VLOOKUP(C14,IDN_JOULE_2009!$A$2:$N$37,7,FALSE)</f>
        <v>103.07887949414025</v>
      </c>
      <c r="G14" s="60">
        <f>VLOOKUP(C14,IDN_JOULE_2009!$A$2:$N$37,8,FALSE)</f>
        <v>224.13626016602313</v>
      </c>
      <c r="H14" s="60">
        <f>VLOOKUP(C14,IDN_JOULE_2009!$A$2:$N$37,9,FALSE)</f>
        <v>0</v>
      </c>
      <c r="I14" s="60">
        <f>VLOOKUP(C14,IDN_JOULE_2009!$A$2:$N$37,10,FALSE)</f>
        <v>1082.4971400000002</v>
      </c>
      <c r="J14" s="60">
        <f>VLOOKUP(C14,IDN_JOULE_2009!$A$2:$N$37,11,FALSE)</f>
        <v>27134.985743999998</v>
      </c>
      <c r="K14" s="60">
        <f>VLOOKUP(C14,IDN_JOULE_2009!$A$2:$N$37,13,FALSE)</f>
        <v>15205.825620436804</v>
      </c>
      <c r="L14" s="60">
        <f>VLOOKUP(C14,IDN_JOULE_2009!$A$2:$N$37,14,FALSE)</f>
        <v>25654.365792000004</v>
      </c>
      <c r="M14" s="65">
        <f>VLOOKUP(C14,IDN_CO2_2009!$A$2:$N$37,3,FALSE)</f>
        <v>0</v>
      </c>
      <c r="N14" s="65">
        <f>VLOOKUP(C14,IDN_CO2_2009!$A$2:$N$37,4,FALSE)</f>
        <v>0</v>
      </c>
      <c r="O14" s="65">
        <f>VLOOKUP(C14,IDN_CO2_2009!$A$2:$N$37,7,FALSE)</f>
        <v>7.6347090078659869</v>
      </c>
      <c r="P14" s="65">
        <f>VLOOKUP(C14,IDN_CO2_2009!$A$2:$N$37,8,FALSE)</f>
        <v>15.532642829505404</v>
      </c>
      <c r="Q14" s="65">
        <f>VLOOKUP(C14,IDN_CO2_2009!$A$2:$N$37,9,FALSE)</f>
        <v>0</v>
      </c>
      <c r="R14" s="65">
        <f>VLOOKUP(C14,IDN_CO2_2009!$A$2:$N$37,10,FALSE)</f>
        <v>80.176954836000007</v>
      </c>
      <c r="S14" s="65">
        <f>VLOOKUP(C14,IDN_CO2_2009!$A$2:$N$37,11,FALSE)</f>
        <v>2099.3433970607998</v>
      </c>
      <c r="T14" s="65">
        <f>VLOOKUP(C14,IDN_CO2_2009!$A$2:$N$37,13,FALSE)</f>
        <v>1105.1340511199999</v>
      </c>
      <c r="U14" s="65">
        <f>VLOOKUP(C14,IDN_CO2_2009!$A$2:$N$37,14,FALSE)</f>
        <v>1439.2099209312003</v>
      </c>
      <c r="V14" s="68">
        <f t="shared" si="13"/>
        <v>1</v>
      </c>
      <c r="W14" s="68">
        <f t="shared" si="14"/>
        <v>1</v>
      </c>
      <c r="X14" s="77">
        <f>IF($W14=1,D14/$V14, "NR")</f>
        <v>1341.9950039999999</v>
      </c>
      <c r="Y14" s="78">
        <f>IF($W14=1,E14/$V14, "NR")</f>
        <v>0</v>
      </c>
      <c r="Z14" s="78">
        <f>IF($W14=1,F14/$V14, "NR")</f>
        <v>103.07887949414025</v>
      </c>
      <c r="AA14" s="78">
        <f>IF($W14=1,G14/$V14, "NR")</f>
        <v>224.13626016602313</v>
      </c>
      <c r="AB14" s="78">
        <f>IF($W14=1,H14/$V14, "NR")</f>
        <v>0</v>
      </c>
      <c r="AC14" s="78">
        <f>IF($W14=1,I14/$V14, "NR")</f>
        <v>1082.4971400000002</v>
      </c>
      <c r="AD14" s="78">
        <f>IF($W14=1,J14/$V14, "NR")</f>
        <v>27134.985743999998</v>
      </c>
      <c r="AE14" s="78">
        <f>IF($W14=1,K14/$V14, "NR")</f>
        <v>15205.825620436804</v>
      </c>
      <c r="AF14" s="79">
        <f>IF($W14=1,L14/$V14, "NR")</f>
        <v>25654.365792000004</v>
      </c>
      <c r="AG14" s="92">
        <f t="shared" si="15"/>
        <v>0</v>
      </c>
      <c r="AH14" s="93">
        <f t="shared" si="16"/>
        <v>0</v>
      </c>
      <c r="AI14" s="93">
        <f t="shared" si="17"/>
        <v>7.6347090078659869</v>
      </c>
      <c r="AJ14" s="93">
        <f t="shared" si="18"/>
        <v>15.532642829505404</v>
      </c>
      <c r="AK14" s="93">
        <f t="shared" si="19"/>
        <v>0</v>
      </c>
      <c r="AL14" s="93">
        <f t="shared" si="20"/>
        <v>80.176954836000007</v>
      </c>
      <c r="AM14" s="93">
        <f t="shared" si="21"/>
        <v>2099.3433970607998</v>
      </c>
      <c r="AN14" s="93">
        <f t="shared" si="22"/>
        <v>1105.1340511199999</v>
      </c>
      <c r="AO14" s="79">
        <f t="shared" si="23"/>
        <v>1439.2099209312003</v>
      </c>
      <c r="AP14" s="77">
        <f t="shared" si="24"/>
        <v>70746.884440096968</v>
      </c>
      <c r="AQ14" s="97">
        <f t="shared" si="25"/>
        <v>4747.0316757853707</v>
      </c>
      <c r="AS14" s="92">
        <v>12</v>
      </c>
      <c r="AT14" s="93" t="s">
        <v>11</v>
      </c>
      <c r="AU14" s="78">
        <f t="shared" si="26"/>
        <v>70746.884440096968</v>
      </c>
      <c r="AV14" s="105">
        <f t="shared" si="27"/>
        <v>4747.0316757853707</v>
      </c>
      <c r="AW14" s="77">
        <f t="shared" si="28"/>
        <v>1341.9950039999999</v>
      </c>
      <c r="AX14" s="78">
        <f t="shared" si="29"/>
        <v>0</v>
      </c>
      <c r="AY14" s="78">
        <f t="shared" si="30"/>
        <v>103.07887949414025</v>
      </c>
      <c r="AZ14" s="78">
        <f t="shared" si="31"/>
        <v>224.13626016602313</v>
      </c>
      <c r="BA14" s="78">
        <f t="shared" si="32"/>
        <v>0</v>
      </c>
      <c r="BB14" s="78">
        <f t="shared" si="33"/>
        <v>1082.4971400000002</v>
      </c>
      <c r="BC14" s="78">
        <f t="shared" si="34"/>
        <v>27134.985743999998</v>
      </c>
      <c r="BD14" s="78">
        <f t="shared" si="35"/>
        <v>15205.825620436804</v>
      </c>
      <c r="BE14" s="105">
        <f t="shared" si="36"/>
        <v>25654.365792000004</v>
      </c>
      <c r="BF14" s="77">
        <f t="shared" si="37"/>
        <v>0</v>
      </c>
      <c r="BG14" s="78">
        <f t="shared" si="38"/>
        <v>0</v>
      </c>
      <c r="BH14" s="78">
        <f t="shared" si="39"/>
        <v>7.6347090078659869</v>
      </c>
      <c r="BI14" s="78">
        <f t="shared" si="40"/>
        <v>15.532642829505404</v>
      </c>
      <c r="BJ14" s="78">
        <f t="shared" si="41"/>
        <v>0</v>
      </c>
      <c r="BK14" s="78">
        <f t="shared" si="42"/>
        <v>80.176954836000007</v>
      </c>
      <c r="BL14" s="78">
        <f t="shared" si="43"/>
        <v>2099.3433970607998</v>
      </c>
      <c r="BM14" s="78">
        <f t="shared" si="44"/>
        <v>1105.1340511199999</v>
      </c>
      <c r="BN14" s="105">
        <f t="shared" si="45"/>
        <v>1439.2099209312003</v>
      </c>
    </row>
    <row r="15" spans="1:66" x14ac:dyDescent="0.25">
      <c r="A15" s="59">
        <v>13</v>
      </c>
      <c r="B15" t="s">
        <v>12</v>
      </c>
      <c r="C15" t="s">
        <v>54</v>
      </c>
      <c r="D15" s="60">
        <f>VLOOKUP(C15,IDN_JOULE_2009!$A$2:$N$37,3,FALSE)</f>
        <v>39577.536533329992</v>
      </c>
      <c r="E15" s="60">
        <f>VLOOKUP(C15,IDN_JOULE_2009!$A$2:$N$37,4,FALSE)</f>
        <v>26.363159314552835</v>
      </c>
      <c r="F15" s="60">
        <f>VLOOKUP(C15,IDN_JOULE_2009!$A$2:$N$37,7,FALSE)</f>
        <v>2077.16468537433</v>
      </c>
      <c r="G15" s="60">
        <f>VLOOKUP(C15,IDN_JOULE_2009!$A$2:$N$37,8,FALSE)</f>
        <v>4516.6180173233515</v>
      </c>
      <c r="H15" s="60">
        <f>VLOOKUP(C15,IDN_JOULE_2009!$A$2:$N$37,9,FALSE)</f>
        <v>0</v>
      </c>
      <c r="I15" s="60">
        <f>VLOOKUP(C15,IDN_JOULE_2009!$A$2:$N$37,10,FALSE)</f>
        <v>26066.598120000002</v>
      </c>
      <c r="J15" s="60">
        <f>VLOOKUP(C15,IDN_JOULE_2009!$A$2:$N$37,11,FALSE)</f>
        <v>3055.1916959999999</v>
      </c>
      <c r="K15" s="60">
        <f>VLOOKUP(C15,IDN_JOULE_2009!$A$2:$N$37,13,FALSE)</f>
        <v>8249.5641607893049</v>
      </c>
      <c r="L15" s="60">
        <f>VLOOKUP(C15,IDN_JOULE_2009!$A$2:$N$37,14,FALSE)</f>
        <v>41580.205280676382</v>
      </c>
      <c r="M15" s="65">
        <f>VLOOKUP(C15,IDN_CO2_2009!$A$2:$N$37,3,FALSE)</f>
        <v>3744.0349560530167</v>
      </c>
      <c r="N15" s="65">
        <f>VLOOKUP(C15,IDN_CO2_2009!$A$2:$N$37,4,FALSE)</f>
        <v>2.6679517226327474</v>
      </c>
      <c r="O15" s="65">
        <f>VLOOKUP(C15,IDN_CO2_2009!$A$2:$N$37,7,FALSE)</f>
        <v>153.848664363392</v>
      </c>
      <c r="P15" s="65">
        <f>VLOOKUP(C15,IDN_CO2_2009!$A$2:$N$37,8,FALSE)</f>
        <v>313.00162860050824</v>
      </c>
      <c r="Q15" s="65">
        <f>VLOOKUP(C15,IDN_CO2_2009!$A$2:$N$37,9,FALSE)</f>
        <v>0</v>
      </c>
      <c r="R15" s="65">
        <f>VLOOKUP(C15,IDN_CO2_2009!$A$2:$N$37,10,FALSE)</f>
        <v>1930.6660340880001</v>
      </c>
      <c r="S15" s="65">
        <f>VLOOKUP(C15,IDN_CO2_2009!$A$2:$N$37,11,FALSE)</f>
        <v>236.36999754719997</v>
      </c>
      <c r="T15" s="65">
        <f>VLOOKUP(C15,IDN_CO2_2009!$A$2:$N$37,13,FALSE)</f>
        <v>563.36661391680934</v>
      </c>
      <c r="U15" s="65">
        <f>VLOOKUP(C15,IDN_CO2_2009!$A$2:$N$37,14,FALSE)</f>
        <v>2332.6495162459451</v>
      </c>
      <c r="V15" s="68">
        <f t="shared" si="13"/>
        <v>1</v>
      </c>
      <c r="W15" s="68">
        <f t="shared" si="14"/>
        <v>1</v>
      </c>
      <c r="X15" s="77">
        <f>IF($W15=1,D15/$V15, "NR")</f>
        <v>39577.536533329992</v>
      </c>
      <c r="Y15" s="78">
        <f>IF($W15=1,E15/$V15, "NR")</f>
        <v>26.363159314552835</v>
      </c>
      <c r="Z15" s="78">
        <f>IF($W15=1,F15/$V15, "NR")</f>
        <v>2077.16468537433</v>
      </c>
      <c r="AA15" s="78">
        <f>IF($W15=1,G15/$V15, "NR")</f>
        <v>4516.6180173233515</v>
      </c>
      <c r="AB15" s="78">
        <f>IF($W15=1,H15/$V15, "NR")</f>
        <v>0</v>
      </c>
      <c r="AC15" s="78">
        <f>IF($W15=1,I15/$V15, "NR")</f>
        <v>26066.598120000002</v>
      </c>
      <c r="AD15" s="78">
        <f>IF($W15=1,J15/$V15, "NR")</f>
        <v>3055.1916959999999</v>
      </c>
      <c r="AE15" s="78">
        <f>IF($W15=1,K15/$V15, "NR")</f>
        <v>8249.5641607893049</v>
      </c>
      <c r="AF15" s="79">
        <f>IF($W15=1,L15/$V15, "NR")</f>
        <v>41580.205280676382</v>
      </c>
      <c r="AG15" s="92">
        <f t="shared" si="15"/>
        <v>3744.0349560530167</v>
      </c>
      <c r="AH15" s="93">
        <f t="shared" si="16"/>
        <v>2.6679517226327474</v>
      </c>
      <c r="AI15" s="93">
        <f t="shared" si="17"/>
        <v>153.848664363392</v>
      </c>
      <c r="AJ15" s="93">
        <f t="shared" si="18"/>
        <v>313.00162860050824</v>
      </c>
      <c r="AK15" s="93">
        <f t="shared" si="19"/>
        <v>0</v>
      </c>
      <c r="AL15" s="93">
        <f t="shared" si="20"/>
        <v>1930.6660340880001</v>
      </c>
      <c r="AM15" s="93">
        <f t="shared" si="21"/>
        <v>236.36999754719997</v>
      </c>
      <c r="AN15" s="93">
        <f t="shared" si="22"/>
        <v>563.36661391680934</v>
      </c>
      <c r="AO15" s="79">
        <f t="shared" si="23"/>
        <v>2332.6495162459451</v>
      </c>
      <c r="AP15" s="77">
        <f t="shared" si="24"/>
        <v>125149.2416528079</v>
      </c>
      <c r="AQ15" s="97">
        <f t="shared" si="25"/>
        <v>9276.6053625375025</v>
      </c>
      <c r="AS15" s="92">
        <v>13</v>
      </c>
      <c r="AT15" s="93" t="s">
        <v>12</v>
      </c>
      <c r="AU15" s="78">
        <f t="shared" si="26"/>
        <v>125149.2416528079</v>
      </c>
      <c r="AV15" s="105">
        <f t="shared" si="27"/>
        <v>9276.6053625375025</v>
      </c>
      <c r="AW15" s="77">
        <f t="shared" si="28"/>
        <v>39577.536533329992</v>
      </c>
      <c r="AX15" s="78">
        <f t="shared" si="29"/>
        <v>26.363159314552835</v>
      </c>
      <c r="AY15" s="78">
        <f t="shared" si="30"/>
        <v>2077.16468537433</v>
      </c>
      <c r="AZ15" s="78">
        <f t="shared" si="31"/>
        <v>4516.6180173233515</v>
      </c>
      <c r="BA15" s="78">
        <f t="shared" si="32"/>
        <v>0</v>
      </c>
      <c r="BB15" s="78">
        <f t="shared" si="33"/>
        <v>26066.598120000002</v>
      </c>
      <c r="BC15" s="78">
        <f t="shared" si="34"/>
        <v>3055.1916959999999</v>
      </c>
      <c r="BD15" s="78">
        <f t="shared" si="35"/>
        <v>8249.5641607893049</v>
      </c>
      <c r="BE15" s="105">
        <f t="shared" si="36"/>
        <v>41580.205280676382</v>
      </c>
      <c r="BF15" s="77">
        <f t="shared" si="37"/>
        <v>3744.0349560530167</v>
      </c>
      <c r="BG15" s="78">
        <f t="shared" si="38"/>
        <v>2.6679517226327474</v>
      </c>
      <c r="BH15" s="78">
        <f t="shared" si="39"/>
        <v>153.848664363392</v>
      </c>
      <c r="BI15" s="78">
        <f t="shared" si="40"/>
        <v>313.00162860050824</v>
      </c>
      <c r="BJ15" s="78">
        <f t="shared" si="41"/>
        <v>0</v>
      </c>
      <c r="BK15" s="78">
        <f t="shared" si="42"/>
        <v>1930.6660340880001</v>
      </c>
      <c r="BL15" s="78">
        <f t="shared" si="43"/>
        <v>236.36999754719997</v>
      </c>
      <c r="BM15" s="78">
        <f t="shared" si="44"/>
        <v>563.36661391680934</v>
      </c>
      <c r="BN15" s="105">
        <f t="shared" si="45"/>
        <v>2332.6495162459451</v>
      </c>
    </row>
    <row r="16" spans="1:66" x14ac:dyDescent="0.25">
      <c r="A16" s="59">
        <v>14</v>
      </c>
      <c r="B16" s="58" t="s">
        <v>13</v>
      </c>
      <c r="C16" t="s">
        <v>55</v>
      </c>
      <c r="D16" s="60">
        <f>VLOOKUP(C16,IDN_JOULE_2009!$A$2:$N$37,3,FALSE)</f>
        <v>58383.847942592314</v>
      </c>
      <c r="E16" s="60">
        <f>VLOOKUP(C16,IDN_JOULE_2009!$A$2:$N$37,4,FALSE)</f>
        <v>38.890310502549227</v>
      </c>
      <c r="F16" s="60">
        <f>VLOOKUP(C16,IDN_JOULE_2009!$A$2:$N$37,7,FALSE)</f>
        <v>2586.1409647975433</v>
      </c>
      <c r="G16" s="60">
        <f>VLOOKUP(C16,IDN_JOULE_2009!$A$2:$N$37,8,FALSE)</f>
        <v>5623.3436660981897</v>
      </c>
      <c r="H16" s="60">
        <f>VLOOKUP(C16,IDN_JOULE_2009!$A$2:$N$37,9,FALSE)</f>
        <v>0</v>
      </c>
      <c r="I16" s="60">
        <f>VLOOKUP(C16,IDN_JOULE_2009!$A$2:$N$37,10,FALSE)</f>
        <v>47843.258865195348</v>
      </c>
      <c r="J16" s="60">
        <f>VLOOKUP(C16,IDN_JOULE_2009!$A$2:$N$37,11,FALSE)</f>
        <v>2986.7465656874365</v>
      </c>
      <c r="K16" s="60">
        <f>VLOOKUP(C16,IDN_JOULE_2009!$A$2:$N$37,13,FALSE)</f>
        <v>1227.1615534646523</v>
      </c>
      <c r="L16" s="60">
        <f>VLOOKUP(C16,IDN_JOULE_2009!$A$2:$N$37,14,FALSE)</f>
        <v>98851.126191338655</v>
      </c>
      <c r="M16" s="65">
        <f>VLOOKUP(C16,IDN_CO2_2009!$A$2:$N$37,3,FALSE)</f>
        <v>5523.1120153692327</v>
      </c>
      <c r="N16" s="65">
        <f>VLOOKUP(C16,IDN_CO2_2009!$A$2:$N$37,4,FALSE)</f>
        <v>3.935699422857982</v>
      </c>
      <c r="O16" s="65">
        <f>VLOOKUP(C16,IDN_CO2_2009!$A$2:$N$37,7,FALSE)</f>
        <v>191.54684079267133</v>
      </c>
      <c r="P16" s="65">
        <f>VLOOKUP(C16,IDN_CO2_2009!$A$2:$N$37,8,FALSE)</f>
        <v>389.69771606060453</v>
      </c>
      <c r="Q16" s="65">
        <f>VLOOKUP(C16,IDN_CO2_2009!$A$2:$N$37,9,FALSE)</f>
        <v>0</v>
      </c>
      <c r="R16" s="65">
        <f>VLOOKUP(C16,IDN_CO2_2009!$A$2:$N$37,10,FALSE)</f>
        <v>3543.5907066154687</v>
      </c>
      <c r="S16" s="65">
        <f>VLOOKUP(C16,IDN_CO2_2009!$A$2:$N$37,11,FALSE)</f>
        <v>231.07462596535134</v>
      </c>
      <c r="T16" s="65">
        <f>VLOOKUP(C16,IDN_CO2_2009!$A$2:$N$37,13,FALSE)</f>
        <v>48.065730643681007</v>
      </c>
      <c r="U16" s="65">
        <f>VLOOKUP(C16,IDN_CO2_2009!$A$2:$N$37,14,FALSE)</f>
        <v>5545.5481793340978</v>
      </c>
      <c r="V16" s="68">
        <f t="shared" si="13"/>
        <v>1</v>
      </c>
      <c r="W16" s="70">
        <f t="shared" si="14"/>
        <v>2</v>
      </c>
      <c r="X16" s="80">
        <f>D$16+D$17</f>
        <v>58409.170292719231</v>
      </c>
      <c r="Y16" s="81">
        <f t="shared" ref="Y16:AO17" si="46">E$16+E$17</f>
        <v>38.90717807969245</v>
      </c>
      <c r="Z16" s="81">
        <f t="shared" si="46"/>
        <v>3181.1425454953232</v>
      </c>
      <c r="AA16" s="81">
        <f t="shared" si="46"/>
        <v>6917.1240190176632</v>
      </c>
      <c r="AB16" s="81">
        <f t="shared" si="46"/>
        <v>0</v>
      </c>
      <c r="AC16" s="81">
        <f t="shared" si="46"/>
        <v>50227.992899999997</v>
      </c>
      <c r="AD16" s="81">
        <f t="shared" si="46"/>
        <v>3135.620124</v>
      </c>
      <c r="AE16" s="81">
        <f t="shared" si="46"/>
        <v>1288.329082436635</v>
      </c>
      <c r="AF16" s="82">
        <f t="shared" si="46"/>
        <v>106234.61562535846</v>
      </c>
      <c r="AG16" s="80">
        <f t="shared" si="46"/>
        <v>5525.5075096912387</v>
      </c>
      <c r="AH16" s="81">
        <f t="shared" si="46"/>
        <v>3.9374064216648761</v>
      </c>
      <c r="AI16" s="81">
        <f t="shared" si="46"/>
        <v>235.61662453635358</v>
      </c>
      <c r="AJ16" s="81">
        <f t="shared" si="46"/>
        <v>479.35669451792404</v>
      </c>
      <c r="AK16" s="81">
        <f t="shared" si="46"/>
        <v>0</v>
      </c>
      <c r="AL16" s="81">
        <f t="shared" si="46"/>
        <v>3720.22000746</v>
      </c>
      <c r="AM16" s="81">
        <f t="shared" si="46"/>
        <v>242.59247692680003</v>
      </c>
      <c r="AN16" s="81">
        <f t="shared" si="46"/>
        <v>50.461553722888617</v>
      </c>
      <c r="AO16" s="82">
        <f t="shared" si="46"/>
        <v>5959.7619365826085</v>
      </c>
      <c r="AP16" s="77">
        <f t="shared" si="24"/>
        <v>229432.90176710702</v>
      </c>
      <c r="AQ16" s="97">
        <f t="shared" si="25"/>
        <v>16217.454209859479</v>
      </c>
      <c r="AS16" s="92">
        <v>14</v>
      </c>
      <c r="AT16" s="93" t="s">
        <v>13</v>
      </c>
      <c r="AU16" s="78">
        <f t="shared" si="26"/>
        <v>229432.90176710702</v>
      </c>
      <c r="AV16" s="105">
        <f t="shared" si="27"/>
        <v>16217.454209859479</v>
      </c>
      <c r="AW16" s="77">
        <f t="shared" si="28"/>
        <v>58409.170292719231</v>
      </c>
      <c r="AX16" s="78">
        <f t="shared" si="29"/>
        <v>38.90717807969245</v>
      </c>
      <c r="AY16" s="78">
        <f t="shared" si="30"/>
        <v>3181.1425454953232</v>
      </c>
      <c r="AZ16" s="78">
        <f t="shared" si="31"/>
        <v>6917.1240190176632</v>
      </c>
      <c r="BA16" s="78">
        <f t="shared" si="32"/>
        <v>0</v>
      </c>
      <c r="BB16" s="78">
        <f t="shared" si="33"/>
        <v>50227.992899999997</v>
      </c>
      <c r="BC16" s="78">
        <f t="shared" si="34"/>
        <v>3135.620124</v>
      </c>
      <c r="BD16" s="78">
        <f t="shared" si="35"/>
        <v>1288.329082436635</v>
      </c>
      <c r="BE16" s="105">
        <f t="shared" si="36"/>
        <v>106234.61562535846</v>
      </c>
      <c r="BF16" s="77">
        <f t="shared" si="37"/>
        <v>5525.5075096912387</v>
      </c>
      <c r="BG16" s="78">
        <f t="shared" si="38"/>
        <v>3.9374064216648761</v>
      </c>
      <c r="BH16" s="78">
        <f t="shared" si="39"/>
        <v>235.61662453635358</v>
      </c>
      <c r="BI16" s="78">
        <f t="shared" si="40"/>
        <v>479.35669451792404</v>
      </c>
      <c r="BJ16" s="78">
        <f t="shared" si="41"/>
        <v>0</v>
      </c>
      <c r="BK16" s="78">
        <f t="shared" si="42"/>
        <v>3720.22000746</v>
      </c>
      <c r="BL16" s="78">
        <f t="shared" si="43"/>
        <v>242.59247692680003</v>
      </c>
      <c r="BM16" s="78">
        <f t="shared" si="44"/>
        <v>50.461553722888617</v>
      </c>
      <c r="BN16" s="105">
        <f t="shared" si="45"/>
        <v>5959.7619365826085</v>
      </c>
    </row>
    <row r="17" spans="1:66" x14ac:dyDescent="0.25">
      <c r="A17" s="59">
        <v>14</v>
      </c>
      <c r="B17" s="58" t="s">
        <v>13</v>
      </c>
      <c r="C17" t="s">
        <v>56</v>
      </c>
      <c r="D17" s="60">
        <f>VLOOKUP(C17,IDN_JOULE_2009!$A$2:$N$37,3,FALSE)</f>
        <v>25.322350126913374</v>
      </c>
      <c r="E17" s="60">
        <f>VLOOKUP(C17,IDN_JOULE_2009!$A$2:$N$37,4,FALSE)</f>
        <v>1.6867577143223868E-2</v>
      </c>
      <c r="F17" s="60">
        <f>VLOOKUP(C17,IDN_JOULE_2009!$A$2:$N$37,7,FALSE)</f>
        <v>595.00158069778013</v>
      </c>
      <c r="G17" s="60">
        <f>VLOOKUP(C17,IDN_JOULE_2009!$A$2:$N$37,8,FALSE)</f>
        <v>1293.7803529194734</v>
      </c>
      <c r="H17" s="60">
        <f>VLOOKUP(C17,IDN_JOULE_2009!$A$2:$N$37,9,FALSE)</f>
        <v>0</v>
      </c>
      <c r="I17" s="60">
        <f>VLOOKUP(C17,IDN_JOULE_2009!$A$2:$N$37,10,FALSE)</f>
        <v>2384.7340348046519</v>
      </c>
      <c r="J17" s="60">
        <f>VLOOKUP(C17,IDN_JOULE_2009!$A$2:$N$37,11,FALSE)</f>
        <v>148.87355831256366</v>
      </c>
      <c r="K17" s="60">
        <f>VLOOKUP(C17,IDN_JOULE_2009!$A$2:$N$37,13,FALSE)</f>
        <v>61.167528971982691</v>
      </c>
      <c r="L17" s="60">
        <f>VLOOKUP(C17,IDN_JOULE_2009!$A$2:$N$37,14,FALSE)</f>
        <v>7383.4894340198089</v>
      </c>
      <c r="M17" s="65">
        <f>VLOOKUP(C17,IDN_CO2_2009!$A$2:$N$37,3,FALSE)</f>
        <v>2.3954943220060048</v>
      </c>
      <c r="N17" s="65">
        <f>VLOOKUP(C17,IDN_CO2_2009!$A$2:$N$37,4,FALSE)</f>
        <v>1.7069988068942558E-3</v>
      </c>
      <c r="O17" s="65">
        <f>VLOOKUP(C17,IDN_CO2_2009!$A$2:$N$37,7,FALSE)</f>
        <v>44.069783743682244</v>
      </c>
      <c r="P17" s="65">
        <f>VLOOKUP(C17,IDN_CO2_2009!$A$2:$N$37,8,FALSE)</f>
        <v>89.658978457319506</v>
      </c>
      <c r="Q17" s="65">
        <f>VLOOKUP(C17,IDN_CO2_2009!$A$2:$N$37,9,FALSE)</f>
        <v>0</v>
      </c>
      <c r="R17" s="65">
        <f>VLOOKUP(C17,IDN_CO2_2009!$A$2:$N$37,10,FALSE)</f>
        <v>176.6293008445312</v>
      </c>
      <c r="S17" s="65">
        <f>VLOOKUP(C17,IDN_CO2_2009!$A$2:$N$37,11,FALSE)</f>
        <v>11.517850961448675</v>
      </c>
      <c r="T17" s="65">
        <f>VLOOKUP(C17,IDN_CO2_2009!$A$2:$N$37,13,FALSE)</f>
        <v>2.3958230792076067</v>
      </c>
      <c r="U17" s="65">
        <f>VLOOKUP(C17,IDN_CO2_2009!$A$2:$N$37,14,FALSE)</f>
        <v>414.21375724851123</v>
      </c>
      <c r="V17" s="68">
        <f t="shared" si="13"/>
        <v>1</v>
      </c>
      <c r="W17" s="70">
        <f t="shared" si="14"/>
        <v>2</v>
      </c>
      <c r="X17" s="80">
        <f>D$16+D$17</f>
        <v>58409.170292719231</v>
      </c>
      <c r="Y17" s="81">
        <f t="shared" si="46"/>
        <v>38.90717807969245</v>
      </c>
      <c r="Z17" s="81">
        <f t="shared" si="46"/>
        <v>3181.1425454953232</v>
      </c>
      <c r="AA17" s="81">
        <f t="shared" si="46"/>
        <v>6917.1240190176632</v>
      </c>
      <c r="AB17" s="81">
        <f t="shared" si="46"/>
        <v>0</v>
      </c>
      <c r="AC17" s="81">
        <f t="shared" si="46"/>
        <v>50227.992899999997</v>
      </c>
      <c r="AD17" s="81">
        <f t="shared" si="46"/>
        <v>3135.620124</v>
      </c>
      <c r="AE17" s="81">
        <f t="shared" si="46"/>
        <v>1288.329082436635</v>
      </c>
      <c r="AF17" s="82">
        <f t="shared" si="46"/>
        <v>106234.61562535846</v>
      </c>
      <c r="AG17" s="80">
        <f t="shared" si="46"/>
        <v>5525.5075096912387</v>
      </c>
      <c r="AH17" s="81">
        <f t="shared" si="46"/>
        <v>3.9374064216648761</v>
      </c>
      <c r="AI17" s="81">
        <f t="shared" si="46"/>
        <v>235.61662453635358</v>
      </c>
      <c r="AJ17" s="81">
        <f t="shared" si="46"/>
        <v>479.35669451792404</v>
      </c>
      <c r="AK17" s="81">
        <f t="shared" si="46"/>
        <v>0</v>
      </c>
      <c r="AL17" s="81">
        <f t="shared" si="46"/>
        <v>3720.22000746</v>
      </c>
      <c r="AM17" s="81">
        <f t="shared" si="46"/>
        <v>242.59247692680003</v>
      </c>
      <c r="AN17" s="81">
        <f t="shared" si="46"/>
        <v>50.461553722888617</v>
      </c>
      <c r="AO17" s="82">
        <f t="shared" si="46"/>
        <v>5959.7619365826085</v>
      </c>
      <c r="AP17" s="77">
        <f t="shared" si="24"/>
        <v>229432.90176710702</v>
      </c>
      <c r="AQ17" s="97">
        <f t="shared" si="25"/>
        <v>16217.454209859479</v>
      </c>
      <c r="AS17" s="92">
        <v>15</v>
      </c>
      <c r="AT17" s="93" t="s">
        <v>14</v>
      </c>
      <c r="AU17" s="78">
        <f t="shared" si="26"/>
        <v>48868.755159368244</v>
      </c>
      <c r="AV17" s="105">
        <f t="shared" si="27"/>
        <v>2967.5017150707426</v>
      </c>
      <c r="AW17" s="77">
        <f t="shared" si="28"/>
        <v>77.332205147678749</v>
      </c>
      <c r="AX17" s="78">
        <f t="shared" si="29"/>
        <v>15.638647428824928</v>
      </c>
      <c r="AY17" s="78">
        <f t="shared" si="30"/>
        <v>2707.5521713294211</v>
      </c>
      <c r="AZ17" s="78">
        <f t="shared" si="31"/>
        <v>5887.342012877335</v>
      </c>
      <c r="BA17" s="78">
        <f t="shared" si="32"/>
        <v>0</v>
      </c>
      <c r="BB17" s="78">
        <f t="shared" si="33"/>
        <v>5835.2186938108889</v>
      </c>
      <c r="BC17" s="78">
        <f t="shared" si="34"/>
        <v>265.11371355570225</v>
      </c>
      <c r="BD17" s="78">
        <f t="shared" si="35"/>
        <v>859.57626508746534</v>
      </c>
      <c r="BE17" s="105">
        <f t="shared" si="36"/>
        <v>33220.98145013093</v>
      </c>
      <c r="BF17" s="77">
        <f t="shared" si="37"/>
        <v>7.315626606970409</v>
      </c>
      <c r="BG17" s="78">
        <f t="shared" si="38"/>
        <v>1.5826311197970828</v>
      </c>
      <c r="BH17" s="78">
        <f t="shared" si="39"/>
        <v>200.53936415646575</v>
      </c>
      <c r="BI17" s="78">
        <f t="shared" si="40"/>
        <v>407.99280149239934</v>
      </c>
      <c r="BJ17" s="78">
        <f t="shared" si="41"/>
        <v>0</v>
      </c>
      <c r="BK17" s="78">
        <f t="shared" si="42"/>
        <v>432.19519792159309</v>
      </c>
      <c r="BL17" s="78">
        <f t="shared" si="43"/>
        <v>20.510964305426164</v>
      </c>
      <c r="BM17" s="78">
        <f t="shared" si="44"/>
        <v>33.668070115745792</v>
      </c>
      <c r="BN17" s="105">
        <f t="shared" si="45"/>
        <v>1863.6970593523451</v>
      </c>
    </row>
    <row r="18" spans="1:66" x14ac:dyDescent="0.25">
      <c r="A18" s="59">
        <v>15</v>
      </c>
      <c r="B18" t="s">
        <v>14</v>
      </c>
      <c r="C18" t="s">
        <v>57</v>
      </c>
      <c r="D18" s="60">
        <f>VLOOKUP(C18,IDN_JOULE_2009!$A$2:$N$37,3,FALSE)</f>
        <v>77.332205147678749</v>
      </c>
      <c r="E18" s="60">
        <f>VLOOKUP(C18,IDN_JOULE_2009!$A$2:$N$37,4,FALSE)</f>
        <v>15.638647428824928</v>
      </c>
      <c r="F18" s="60">
        <f>VLOOKUP(C18,IDN_JOULE_2009!$A$2:$N$37,7,FALSE)</f>
        <v>2707.5521713294211</v>
      </c>
      <c r="G18" s="60">
        <f>VLOOKUP(C18,IDN_JOULE_2009!$A$2:$N$37,8,FALSE)</f>
        <v>5887.342012877335</v>
      </c>
      <c r="H18" s="60">
        <f>VLOOKUP(C18,IDN_JOULE_2009!$A$2:$N$37,9,FALSE)</f>
        <v>0</v>
      </c>
      <c r="I18" s="60">
        <f>VLOOKUP(C18,IDN_JOULE_2009!$A$2:$N$37,10,FALSE)</f>
        <v>5835.2186938108889</v>
      </c>
      <c r="J18" s="60">
        <f>VLOOKUP(C18,IDN_JOULE_2009!$A$2:$N$37,11,FALSE)</f>
        <v>265.11371355570225</v>
      </c>
      <c r="K18" s="60">
        <f>VLOOKUP(C18,IDN_JOULE_2009!$A$2:$N$37,13,FALSE)</f>
        <v>859.57626508746534</v>
      </c>
      <c r="L18" s="60">
        <f>VLOOKUP(C18,IDN_JOULE_2009!$A$2:$N$37,14,FALSE)</f>
        <v>33220.98145013093</v>
      </c>
      <c r="M18" s="65">
        <f>VLOOKUP(C18,IDN_CO2_2009!$A$2:$N$37,3,FALSE)</f>
        <v>7.315626606970409</v>
      </c>
      <c r="N18" s="65">
        <f>VLOOKUP(C18,IDN_CO2_2009!$A$2:$N$37,4,FALSE)</f>
        <v>1.5826311197970828</v>
      </c>
      <c r="O18" s="65">
        <f>VLOOKUP(C18,IDN_CO2_2009!$A$2:$N$37,7,FALSE)</f>
        <v>200.53936415646575</v>
      </c>
      <c r="P18" s="65">
        <f>VLOOKUP(C18,IDN_CO2_2009!$A$2:$N$37,8,FALSE)</f>
        <v>407.99280149239934</v>
      </c>
      <c r="Q18" s="65">
        <f>VLOOKUP(C18,IDN_CO2_2009!$A$2:$N$37,9,FALSE)</f>
        <v>0</v>
      </c>
      <c r="R18" s="65">
        <f>VLOOKUP(C18,IDN_CO2_2009!$A$2:$N$37,10,FALSE)</f>
        <v>432.19519792159309</v>
      </c>
      <c r="S18" s="65">
        <f>VLOOKUP(C18,IDN_CO2_2009!$A$2:$N$37,11,FALSE)</f>
        <v>20.510964305426164</v>
      </c>
      <c r="T18" s="65">
        <f>VLOOKUP(C18,IDN_CO2_2009!$A$2:$N$37,13,FALSE)</f>
        <v>33.668070115745792</v>
      </c>
      <c r="U18" s="65">
        <f>VLOOKUP(C18,IDN_CO2_2009!$A$2:$N$37,14,FALSE)</f>
        <v>1863.6970593523451</v>
      </c>
      <c r="V18" s="68">
        <f t="shared" si="13"/>
        <v>1</v>
      </c>
      <c r="W18" s="68">
        <f t="shared" si="14"/>
        <v>1</v>
      </c>
      <c r="X18" s="77">
        <f>IF($W18=1,D18/$V18, "NR")</f>
        <v>77.332205147678749</v>
      </c>
      <c r="Y18" s="78">
        <f>IF($W18=1,E18/$V18, "NR")</f>
        <v>15.638647428824928</v>
      </c>
      <c r="Z18" s="78">
        <f>IF($W18=1,F18/$V18, "NR")</f>
        <v>2707.5521713294211</v>
      </c>
      <c r="AA18" s="78">
        <f>IF($W18=1,G18/$V18, "NR")</f>
        <v>5887.342012877335</v>
      </c>
      <c r="AB18" s="78">
        <f>IF($W18=1,H18/$V18, "NR")</f>
        <v>0</v>
      </c>
      <c r="AC18" s="78">
        <f>IF($W18=1,I18/$V18, "NR")</f>
        <v>5835.2186938108889</v>
      </c>
      <c r="AD18" s="78">
        <f>IF($W18=1,J18/$V18, "NR")</f>
        <v>265.11371355570225</v>
      </c>
      <c r="AE18" s="78">
        <f>IF($W18=1,K18/$V18, "NR")</f>
        <v>859.57626508746534</v>
      </c>
      <c r="AF18" s="79">
        <f>IF($W18=1,L18/$V18, "NR")</f>
        <v>33220.98145013093</v>
      </c>
      <c r="AG18" s="92">
        <f t="shared" si="15"/>
        <v>7.315626606970409</v>
      </c>
      <c r="AH18" s="93">
        <f t="shared" si="16"/>
        <v>1.5826311197970828</v>
      </c>
      <c r="AI18" s="93">
        <f t="shared" si="17"/>
        <v>200.53936415646575</v>
      </c>
      <c r="AJ18" s="93">
        <f t="shared" si="18"/>
        <v>407.99280149239934</v>
      </c>
      <c r="AK18" s="93">
        <f t="shared" si="19"/>
        <v>0</v>
      </c>
      <c r="AL18" s="93">
        <f t="shared" si="20"/>
        <v>432.19519792159309</v>
      </c>
      <c r="AM18" s="93">
        <f t="shared" si="21"/>
        <v>20.510964305426164</v>
      </c>
      <c r="AN18" s="93">
        <f t="shared" si="22"/>
        <v>33.668070115745792</v>
      </c>
      <c r="AO18" s="79">
        <f t="shared" si="23"/>
        <v>1863.6970593523451</v>
      </c>
      <c r="AP18" s="77">
        <f t="shared" si="24"/>
        <v>48868.755159368244</v>
      </c>
      <c r="AQ18" s="97">
        <f t="shared" si="25"/>
        <v>2967.5017150707426</v>
      </c>
      <c r="AS18" s="92">
        <v>16</v>
      </c>
      <c r="AT18" s="93" t="s">
        <v>15</v>
      </c>
      <c r="AU18" s="78">
        <f t="shared" si="26"/>
        <v>85257.597286539152</v>
      </c>
      <c r="AV18" s="105">
        <f t="shared" si="27"/>
        <v>5942.435513361319</v>
      </c>
      <c r="AW18" s="77">
        <f t="shared" si="28"/>
        <v>25826.524904122183</v>
      </c>
      <c r="AX18" s="78">
        <f t="shared" si="29"/>
        <v>17.500518993077097</v>
      </c>
      <c r="AY18" s="78">
        <f t="shared" si="30"/>
        <v>630.10861864666094</v>
      </c>
      <c r="AZ18" s="78">
        <f t="shared" si="31"/>
        <v>1370.1176222998233</v>
      </c>
      <c r="BA18" s="78">
        <f t="shared" si="32"/>
        <v>0</v>
      </c>
      <c r="BB18" s="78">
        <f t="shared" si="33"/>
        <v>8210.3447859647968</v>
      </c>
      <c r="BC18" s="78">
        <f t="shared" si="34"/>
        <v>373.02372198809098</v>
      </c>
      <c r="BD18" s="78">
        <f t="shared" si="35"/>
        <v>1209.4521005160263</v>
      </c>
      <c r="BE18" s="105">
        <f t="shared" si="36"/>
        <v>47620.52501400849</v>
      </c>
      <c r="BF18" s="77">
        <f t="shared" si="37"/>
        <v>2443.1892559299581</v>
      </c>
      <c r="BG18" s="78">
        <f t="shared" si="38"/>
        <v>1.7710525220994024</v>
      </c>
      <c r="BH18" s="78">
        <f t="shared" si="39"/>
        <v>46.670045021096008</v>
      </c>
      <c r="BI18" s="78">
        <f t="shared" si="40"/>
        <v>94.949151225377761</v>
      </c>
      <c r="BJ18" s="78">
        <f t="shared" si="41"/>
        <v>0</v>
      </c>
      <c r="BK18" s="78">
        <f t="shared" si="42"/>
        <v>608.11287048045915</v>
      </c>
      <c r="BL18" s="78">
        <f t="shared" si="43"/>
        <v>28.859601957811972</v>
      </c>
      <c r="BM18" s="78">
        <f t="shared" si="44"/>
        <v>47.372082938639764</v>
      </c>
      <c r="BN18" s="105">
        <f t="shared" si="45"/>
        <v>2671.5114532858761</v>
      </c>
    </row>
    <row r="19" spans="1:66" x14ac:dyDescent="0.25">
      <c r="A19" s="59">
        <v>16</v>
      </c>
      <c r="B19" t="s">
        <v>15</v>
      </c>
      <c r="C19" t="s">
        <v>58</v>
      </c>
      <c r="D19" s="60">
        <f>VLOOKUP(C19,IDN_JOULE_2009!$A$2:$N$37,3,FALSE)</f>
        <v>25826.524904122183</v>
      </c>
      <c r="E19" s="60">
        <f>VLOOKUP(C19,IDN_JOULE_2009!$A$2:$N$37,4,FALSE)</f>
        <v>17.500518993077097</v>
      </c>
      <c r="F19" s="60">
        <f>VLOOKUP(C19,IDN_JOULE_2009!$A$2:$N$37,7,FALSE)</f>
        <v>630.10861864666094</v>
      </c>
      <c r="G19" s="60">
        <f>VLOOKUP(C19,IDN_JOULE_2009!$A$2:$N$37,8,FALSE)</f>
        <v>1370.1176222998233</v>
      </c>
      <c r="H19" s="60">
        <f>VLOOKUP(C19,IDN_JOULE_2009!$A$2:$N$37,9,FALSE)</f>
        <v>0</v>
      </c>
      <c r="I19" s="60">
        <f>VLOOKUP(C19,IDN_JOULE_2009!$A$2:$N$37,10,FALSE)</f>
        <v>8210.3447859647968</v>
      </c>
      <c r="J19" s="60">
        <f>VLOOKUP(C19,IDN_JOULE_2009!$A$2:$N$37,11,FALSE)</f>
        <v>373.02372198809098</v>
      </c>
      <c r="K19" s="60">
        <f>VLOOKUP(C19,IDN_JOULE_2009!$A$2:$N$37,13,FALSE)</f>
        <v>1209.4521005160263</v>
      </c>
      <c r="L19" s="60">
        <f>VLOOKUP(C19,IDN_JOULE_2009!$A$2:$N$37,14,FALSE)</f>
        <v>47620.52501400849</v>
      </c>
      <c r="M19" s="65">
        <f>VLOOKUP(C19,IDN_CO2_2009!$A$2:$N$37,3,FALSE)</f>
        <v>2443.1892559299581</v>
      </c>
      <c r="N19" s="65">
        <f>VLOOKUP(C19,IDN_CO2_2009!$A$2:$N$37,4,FALSE)</f>
        <v>1.7710525220994024</v>
      </c>
      <c r="O19" s="65">
        <f>VLOOKUP(C19,IDN_CO2_2009!$A$2:$N$37,7,FALSE)</f>
        <v>46.670045021096008</v>
      </c>
      <c r="P19" s="65">
        <f>VLOOKUP(C19,IDN_CO2_2009!$A$2:$N$37,8,FALSE)</f>
        <v>94.949151225377761</v>
      </c>
      <c r="Q19" s="65">
        <f>VLOOKUP(C19,IDN_CO2_2009!$A$2:$N$37,9,FALSE)</f>
        <v>0</v>
      </c>
      <c r="R19" s="65">
        <f>VLOOKUP(C19,IDN_CO2_2009!$A$2:$N$37,10,FALSE)</f>
        <v>608.11287048045915</v>
      </c>
      <c r="S19" s="65">
        <f>VLOOKUP(C19,IDN_CO2_2009!$A$2:$N$37,11,FALSE)</f>
        <v>28.859601957811972</v>
      </c>
      <c r="T19" s="65">
        <f>VLOOKUP(C19,IDN_CO2_2009!$A$2:$N$37,13,FALSE)</f>
        <v>47.372082938639764</v>
      </c>
      <c r="U19" s="65">
        <f>VLOOKUP(C19,IDN_CO2_2009!$A$2:$N$37,14,FALSE)</f>
        <v>2671.5114532858761</v>
      </c>
      <c r="V19" s="68">
        <f t="shared" si="13"/>
        <v>1</v>
      </c>
      <c r="W19" s="68">
        <f t="shared" si="14"/>
        <v>1</v>
      </c>
      <c r="X19" s="77">
        <f>IF($W19=1,D19/$V19, "NR")</f>
        <v>25826.524904122183</v>
      </c>
      <c r="Y19" s="78">
        <f>IF($W19=1,E19/$V19, "NR")</f>
        <v>17.500518993077097</v>
      </c>
      <c r="Z19" s="78">
        <f>IF($W19=1,F19/$V19, "NR")</f>
        <v>630.10861864666094</v>
      </c>
      <c r="AA19" s="78">
        <f>IF($W19=1,G19/$V19, "NR")</f>
        <v>1370.1176222998233</v>
      </c>
      <c r="AB19" s="78">
        <f>IF($W19=1,H19/$V19, "NR")</f>
        <v>0</v>
      </c>
      <c r="AC19" s="78">
        <f>IF($W19=1,I19/$V19, "NR")</f>
        <v>8210.3447859647968</v>
      </c>
      <c r="AD19" s="78">
        <f>IF($W19=1,J19/$V19, "NR")</f>
        <v>373.02372198809098</v>
      </c>
      <c r="AE19" s="78">
        <f>IF($W19=1,K19/$V19, "NR")</f>
        <v>1209.4521005160263</v>
      </c>
      <c r="AF19" s="79">
        <f>IF($W19=1,L19/$V19, "NR")</f>
        <v>47620.52501400849</v>
      </c>
      <c r="AG19" s="92">
        <f t="shared" si="15"/>
        <v>2443.1892559299581</v>
      </c>
      <c r="AH19" s="93">
        <f t="shared" si="16"/>
        <v>1.7710525220994024</v>
      </c>
      <c r="AI19" s="93">
        <f t="shared" si="17"/>
        <v>46.670045021096008</v>
      </c>
      <c r="AJ19" s="93">
        <f t="shared" si="18"/>
        <v>94.949151225377761</v>
      </c>
      <c r="AK19" s="93">
        <f t="shared" si="19"/>
        <v>0</v>
      </c>
      <c r="AL19" s="93">
        <f t="shared" si="20"/>
        <v>608.11287048045915</v>
      </c>
      <c r="AM19" s="93">
        <f t="shared" si="21"/>
        <v>28.859601957811972</v>
      </c>
      <c r="AN19" s="93">
        <f t="shared" si="22"/>
        <v>47.372082938639764</v>
      </c>
      <c r="AO19" s="79">
        <f t="shared" si="23"/>
        <v>2671.5114532858761</v>
      </c>
      <c r="AP19" s="77">
        <f t="shared" si="24"/>
        <v>85257.597286539152</v>
      </c>
      <c r="AQ19" s="97">
        <f t="shared" si="25"/>
        <v>5942.435513361319</v>
      </c>
      <c r="AS19" s="92">
        <v>17</v>
      </c>
      <c r="AT19" s="93" t="s">
        <v>16</v>
      </c>
      <c r="AU19" s="78">
        <f t="shared" si="26"/>
        <v>283483.13585445215</v>
      </c>
      <c r="AV19" s="105">
        <f t="shared" si="27"/>
        <v>8485.3045194317456</v>
      </c>
      <c r="AW19" s="77">
        <f t="shared" si="28"/>
        <v>25379.7149353231</v>
      </c>
      <c r="AX19" s="78">
        <f t="shared" si="29"/>
        <v>16.905788657017325</v>
      </c>
      <c r="AY19" s="78">
        <f t="shared" si="30"/>
        <v>1581.2411207881705</v>
      </c>
      <c r="AZ19" s="78">
        <f t="shared" si="31"/>
        <v>3438.2743872796837</v>
      </c>
      <c r="BA19" s="78">
        <f t="shared" si="32"/>
        <v>0</v>
      </c>
      <c r="BB19" s="78">
        <f t="shared" si="33"/>
        <v>24288.839269469001</v>
      </c>
      <c r="BC19" s="78">
        <f t="shared" si="34"/>
        <v>7959.9983979135513</v>
      </c>
      <c r="BD19" s="78">
        <f t="shared" si="35"/>
        <v>8721.1701596136918</v>
      </c>
      <c r="BE19" s="105">
        <f t="shared" si="36"/>
        <v>212096.99179540793</v>
      </c>
      <c r="BF19" s="77">
        <f t="shared" si="37"/>
        <v>2400.9210328815652</v>
      </c>
      <c r="BG19" s="78">
        <f t="shared" si="38"/>
        <v>1.7108658120901534</v>
      </c>
      <c r="BH19" s="78">
        <f t="shared" si="39"/>
        <v>117.11725901304379</v>
      </c>
      <c r="BI19" s="78">
        <f t="shared" si="40"/>
        <v>238.27241503848205</v>
      </c>
      <c r="BJ19" s="78">
        <f t="shared" si="41"/>
        <v>0</v>
      </c>
      <c r="BK19" s="78">
        <f t="shared" si="42"/>
        <v>1798.9933618920036</v>
      </c>
      <c r="BL19" s="78">
        <f t="shared" si="43"/>
        <v>615.83854271857842</v>
      </c>
      <c r="BM19" s="78">
        <f t="shared" si="44"/>
        <v>595.57280923599683</v>
      </c>
      <c r="BN19" s="105">
        <f t="shared" si="45"/>
        <v>2716.8782328399852</v>
      </c>
    </row>
    <row r="20" spans="1:66" x14ac:dyDescent="0.25">
      <c r="A20" s="59">
        <v>17</v>
      </c>
      <c r="B20" s="58" t="s">
        <v>16</v>
      </c>
      <c r="C20" t="s">
        <v>60</v>
      </c>
      <c r="D20" s="60">
        <f>VLOOKUP(C20,IDN_JOULE_2009!$A$2:$N$37,3,FALSE)</f>
        <v>24964.495971296743</v>
      </c>
      <c r="E20" s="60">
        <f>VLOOKUP(C20,IDN_JOULE_2009!$A$2:$N$37,4,FALSE)</f>
        <v>16.629205406570904</v>
      </c>
      <c r="F20" s="60">
        <f>VLOOKUP(C20,IDN_JOULE_2009!$A$2:$N$37,7,FALSE)</f>
        <v>344.17667173622465</v>
      </c>
      <c r="G20" s="60">
        <f>VLOOKUP(C20,IDN_JOULE_2009!$A$2:$N$37,8,FALSE)</f>
        <v>748.38291236694818</v>
      </c>
      <c r="H20" s="60">
        <f>VLOOKUP(C20,IDN_JOULE_2009!$A$2:$N$37,9,FALSE)</f>
        <v>0</v>
      </c>
      <c r="I20" s="60">
        <f>VLOOKUP(C20,IDN_JOULE_2009!$A$2:$N$37,10,FALSE)</f>
        <v>20740.695444000001</v>
      </c>
      <c r="J20" s="60">
        <f>VLOOKUP(C20,IDN_JOULE_2009!$A$2:$N$37,11,FALSE)</f>
        <v>7798.7942279999997</v>
      </c>
      <c r="K20" s="60">
        <f>VLOOKUP(C20,IDN_JOULE_2009!$A$2:$N$37,13,FALSE)</f>
        <v>5180.1027575232065</v>
      </c>
      <c r="L20" s="60">
        <f>VLOOKUP(C20,IDN_JOULE_2009!$A$2:$N$37,14,FALSE)</f>
        <v>193711.02032592022</v>
      </c>
      <c r="M20" s="65">
        <f>VLOOKUP(C20,IDN_CO2_2009!$A$2:$N$37,3,FALSE)</f>
        <v>2361.6413188846718</v>
      </c>
      <c r="N20" s="65">
        <f>VLOOKUP(C20,IDN_CO2_2009!$A$2:$N$37,4,FALSE)</f>
        <v>1.6828755871449756</v>
      </c>
      <c r="O20" s="65">
        <f>VLOOKUP(C20,IDN_CO2_2009!$A$2:$N$37,7,FALSE)</f>
        <v>25.492018819929701</v>
      </c>
      <c r="P20" s="65">
        <f>VLOOKUP(C20,IDN_CO2_2009!$A$2:$N$37,8,FALSE)</f>
        <v>51.86293582702951</v>
      </c>
      <c r="Q20" s="65">
        <f>VLOOKUP(C20,IDN_CO2_2009!$A$2:$N$37,9,FALSE)</f>
        <v>0</v>
      </c>
      <c r="R20" s="65">
        <f>VLOOKUP(C20,IDN_CO2_2009!$A$2:$N$37,10,FALSE)</f>
        <v>1536.1941758855999</v>
      </c>
      <c r="S20" s="65">
        <f>VLOOKUP(C20,IDN_CO2_2009!$A$2:$N$37,11,FALSE)</f>
        <v>603.36671343959995</v>
      </c>
      <c r="T20" s="65">
        <f>VLOOKUP(C20,IDN_CO2_2009!$A$2:$N$37,13,FALSE)</f>
        <v>353.75165201063885</v>
      </c>
      <c r="U20" s="65">
        <f>VLOOKUP(C20,IDN_CO2_2009!$A$2:$N$37,14,FALSE)</f>
        <v>1685.4252334017249</v>
      </c>
      <c r="V20" s="68">
        <f t="shared" si="13"/>
        <v>1</v>
      </c>
      <c r="W20" s="70">
        <f t="shared" si="14"/>
        <v>2</v>
      </c>
      <c r="X20" s="80">
        <f>D$20+D$21</f>
        <v>25379.7149353231</v>
      </c>
      <c r="Y20" s="81">
        <f t="shared" ref="Y20:AO21" si="47">E$20+E$21</f>
        <v>16.905788657017325</v>
      </c>
      <c r="Z20" s="81">
        <f t="shared" si="47"/>
        <v>1581.2411207881705</v>
      </c>
      <c r="AA20" s="81">
        <f t="shared" si="47"/>
        <v>3438.2743872796837</v>
      </c>
      <c r="AB20" s="81">
        <f t="shared" si="47"/>
        <v>0</v>
      </c>
      <c r="AC20" s="81">
        <f t="shared" si="47"/>
        <v>24288.839269469001</v>
      </c>
      <c r="AD20" s="81">
        <f t="shared" si="47"/>
        <v>7959.9983979135513</v>
      </c>
      <c r="AE20" s="81">
        <f t="shared" si="47"/>
        <v>8721.1701596136918</v>
      </c>
      <c r="AF20" s="82">
        <f t="shared" si="47"/>
        <v>212096.99179540793</v>
      </c>
      <c r="AG20" s="80">
        <f t="shared" si="47"/>
        <v>2400.9210328815652</v>
      </c>
      <c r="AH20" s="81">
        <f t="shared" si="47"/>
        <v>1.7108658120901534</v>
      </c>
      <c r="AI20" s="81">
        <f t="shared" si="47"/>
        <v>117.11725901304379</v>
      </c>
      <c r="AJ20" s="81">
        <f t="shared" si="47"/>
        <v>238.27241503848205</v>
      </c>
      <c r="AK20" s="81">
        <f t="shared" si="47"/>
        <v>0</v>
      </c>
      <c r="AL20" s="81">
        <f t="shared" si="47"/>
        <v>1798.9933618920036</v>
      </c>
      <c r="AM20" s="81">
        <f t="shared" si="47"/>
        <v>615.83854271857842</v>
      </c>
      <c r="AN20" s="81">
        <f t="shared" si="47"/>
        <v>595.57280923599683</v>
      </c>
      <c r="AO20" s="82">
        <f t="shared" si="47"/>
        <v>2716.8782328399852</v>
      </c>
      <c r="AP20" s="77">
        <f t="shared" si="24"/>
        <v>283483.13585445215</v>
      </c>
      <c r="AQ20" s="97">
        <f t="shared" si="25"/>
        <v>8485.3045194317456</v>
      </c>
      <c r="AS20" s="92">
        <v>18</v>
      </c>
      <c r="AT20" s="93" t="s">
        <v>17</v>
      </c>
      <c r="AU20" s="78">
        <f t="shared" si="26"/>
        <v>268547.69008296367</v>
      </c>
      <c r="AV20" s="105">
        <f t="shared" si="27"/>
        <v>22032.349410160703</v>
      </c>
      <c r="AW20" s="77">
        <f t="shared" si="28"/>
        <v>156861.17416243569</v>
      </c>
      <c r="AX20" s="78">
        <f t="shared" si="29"/>
        <v>1023.5028058273747</v>
      </c>
      <c r="AY20" s="78">
        <f t="shared" si="30"/>
        <v>1045.1788014991787</v>
      </c>
      <c r="AZ20" s="78">
        <f t="shared" si="31"/>
        <v>2272.6524475476986</v>
      </c>
      <c r="BA20" s="78">
        <f t="shared" si="32"/>
        <v>0</v>
      </c>
      <c r="BB20" s="78">
        <f t="shared" si="33"/>
        <v>30439.92006</v>
      </c>
      <c r="BC20" s="78">
        <f t="shared" si="34"/>
        <v>9768.5998920000002</v>
      </c>
      <c r="BD20" s="78">
        <f t="shared" si="35"/>
        <v>6405.1647249248963</v>
      </c>
      <c r="BE20" s="105">
        <f t="shared" si="36"/>
        <v>60731.497188728848</v>
      </c>
      <c r="BF20" s="77">
        <f t="shared" si="37"/>
        <v>14839.067075766416</v>
      </c>
      <c r="BG20" s="78">
        <f t="shared" si="38"/>
        <v>103.57848394973033</v>
      </c>
      <c r="BH20" s="78">
        <f t="shared" si="39"/>
        <v>77.412909897705831</v>
      </c>
      <c r="BI20" s="78">
        <f t="shared" si="40"/>
        <v>157.4948146150555</v>
      </c>
      <c r="BJ20" s="78">
        <f t="shared" si="41"/>
        <v>0</v>
      </c>
      <c r="BK20" s="78">
        <f t="shared" si="42"/>
        <v>2254.5834124439998</v>
      </c>
      <c r="BL20" s="78">
        <f t="shared" si="43"/>
        <v>755.76401164440006</v>
      </c>
      <c r="BM20" s="78">
        <f t="shared" si="44"/>
        <v>437.41170955570567</v>
      </c>
      <c r="BN20" s="105">
        <f t="shared" si="45"/>
        <v>3407.036992287688</v>
      </c>
    </row>
    <row r="21" spans="1:66" x14ac:dyDescent="0.25">
      <c r="A21" s="59">
        <v>17</v>
      </c>
      <c r="B21" s="58" t="s">
        <v>16</v>
      </c>
      <c r="C21" t="s">
        <v>61</v>
      </c>
      <c r="D21" s="60">
        <f>VLOOKUP(C21,IDN_JOULE_2009!$A$2:$N$37,3,FALSE)</f>
        <v>415.21896402635531</v>
      </c>
      <c r="E21" s="60">
        <f>VLOOKUP(C21,IDN_JOULE_2009!$A$2:$N$37,4,FALSE)</f>
        <v>0.27658325044642107</v>
      </c>
      <c r="F21" s="60">
        <f>VLOOKUP(C21,IDN_JOULE_2009!$A$2:$N$37,7,FALSE)</f>
        <v>1237.0644490519458</v>
      </c>
      <c r="G21" s="60">
        <f>VLOOKUP(C21,IDN_JOULE_2009!$A$2:$N$37,8,FALSE)</f>
        <v>2689.8914749127352</v>
      </c>
      <c r="H21" s="60">
        <f>VLOOKUP(C21,IDN_JOULE_2009!$A$2:$N$37,9,FALSE)</f>
        <v>0</v>
      </c>
      <c r="I21" s="60">
        <f>VLOOKUP(C21,IDN_JOULE_2009!$A$2:$N$37,10,FALSE)</f>
        <v>3548.1438254689988</v>
      </c>
      <c r="J21" s="60">
        <f>VLOOKUP(C21,IDN_JOULE_2009!$A$2:$N$37,11,FALSE)</f>
        <v>161.20416991355137</v>
      </c>
      <c r="K21" s="60">
        <f>VLOOKUP(C21,IDN_JOULE_2009!$A$2:$N$37,13,FALSE)</f>
        <v>3541.0674020904844</v>
      </c>
      <c r="L21" s="60">
        <f>VLOOKUP(C21,IDN_JOULE_2009!$A$2:$N$37,14,FALSE)</f>
        <v>18385.971469487708</v>
      </c>
      <c r="M21" s="65">
        <f>VLOOKUP(C21,IDN_CO2_2009!$A$2:$N$37,3,FALSE)</f>
        <v>39.279713996893207</v>
      </c>
      <c r="N21" s="65">
        <f>VLOOKUP(C21,IDN_CO2_2009!$A$2:$N$37,4,FALSE)</f>
        <v>2.7990224945177816E-2</v>
      </c>
      <c r="O21" s="65">
        <f>VLOOKUP(C21,IDN_CO2_2009!$A$2:$N$37,7,FALSE)</f>
        <v>91.625240193114095</v>
      </c>
      <c r="P21" s="65">
        <f>VLOOKUP(C21,IDN_CO2_2009!$A$2:$N$37,8,FALSE)</f>
        <v>186.40947921145255</v>
      </c>
      <c r="Q21" s="65">
        <f>VLOOKUP(C21,IDN_CO2_2009!$A$2:$N$37,9,FALSE)</f>
        <v>0</v>
      </c>
      <c r="R21" s="65">
        <f>VLOOKUP(C21,IDN_CO2_2009!$A$2:$N$37,10,FALSE)</f>
        <v>262.79918600640383</v>
      </c>
      <c r="S21" s="65">
        <f>VLOOKUP(C21,IDN_CO2_2009!$A$2:$N$37,11,FALSE)</f>
        <v>12.471829278978424</v>
      </c>
      <c r="T21" s="65">
        <f>VLOOKUP(C21,IDN_CO2_2009!$A$2:$N$37,13,FALSE)</f>
        <v>241.82115722535801</v>
      </c>
      <c r="U21" s="65">
        <f>VLOOKUP(C21,IDN_CO2_2009!$A$2:$N$37,14,FALSE)</f>
        <v>1031.4529994382603</v>
      </c>
      <c r="V21" s="68">
        <f t="shared" si="13"/>
        <v>1</v>
      </c>
      <c r="W21" s="70">
        <f t="shared" si="14"/>
        <v>2</v>
      </c>
      <c r="X21" s="80">
        <f>D$20+D$21</f>
        <v>25379.7149353231</v>
      </c>
      <c r="Y21" s="81">
        <f t="shared" si="47"/>
        <v>16.905788657017325</v>
      </c>
      <c r="Z21" s="81">
        <f t="shared" si="47"/>
        <v>1581.2411207881705</v>
      </c>
      <c r="AA21" s="81">
        <f t="shared" si="47"/>
        <v>3438.2743872796837</v>
      </c>
      <c r="AB21" s="81">
        <f t="shared" si="47"/>
        <v>0</v>
      </c>
      <c r="AC21" s="81">
        <f t="shared" si="47"/>
        <v>24288.839269469001</v>
      </c>
      <c r="AD21" s="81">
        <f t="shared" si="47"/>
        <v>7959.9983979135513</v>
      </c>
      <c r="AE21" s="81">
        <f t="shared" si="47"/>
        <v>8721.1701596136918</v>
      </c>
      <c r="AF21" s="82">
        <f t="shared" si="47"/>
        <v>212096.99179540793</v>
      </c>
      <c r="AG21" s="80">
        <f t="shared" si="47"/>
        <v>2400.9210328815652</v>
      </c>
      <c r="AH21" s="81">
        <f t="shared" si="47"/>
        <v>1.7108658120901534</v>
      </c>
      <c r="AI21" s="81">
        <f t="shared" si="47"/>
        <v>117.11725901304379</v>
      </c>
      <c r="AJ21" s="81">
        <f t="shared" si="47"/>
        <v>238.27241503848205</v>
      </c>
      <c r="AK21" s="81">
        <f t="shared" si="47"/>
        <v>0</v>
      </c>
      <c r="AL21" s="81">
        <f t="shared" si="47"/>
        <v>1798.9933618920036</v>
      </c>
      <c r="AM21" s="81">
        <f t="shared" si="47"/>
        <v>615.83854271857842</v>
      </c>
      <c r="AN21" s="81">
        <f t="shared" si="47"/>
        <v>595.57280923599683</v>
      </c>
      <c r="AO21" s="82">
        <f t="shared" si="47"/>
        <v>2716.8782328399852</v>
      </c>
      <c r="AP21" s="77">
        <f t="shared" si="24"/>
        <v>283483.13585445215</v>
      </c>
      <c r="AQ21" s="97">
        <f t="shared" si="25"/>
        <v>8485.3045194317456</v>
      </c>
      <c r="AS21" s="92">
        <v>19</v>
      </c>
      <c r="AT21" s="93" t="s">
        <v>18</v>
      </c>
      <c r="AU21" s="78">
        <f t="shared" si="26"/>
        <v>120349.06592405877</v>
      </c>
      <c r="AV21" s="105">
        <f t="shared" si="27"/>
        <v>9691.5135830386298</v>
      </c>
      <c r="AW21" s="77">
        <f t="shared" si="28"/>
        <v>62868.287999592656</v>
      </c>
      <c r="AX21" s="78">
        <f t="shared" si="29"/>
        <v>36.281967073266884</v>
      </c>
      <c r="AY21" s="78">
        <f t="shared" si="30"/>
        <v>545.09716663935251</v>
      </c>
      <c r="AZ21" s="78">
        <f t="shared" si="31"/>
        <v>1185.2674471940234</v>
      </c>
      <c r="BA21" s="78">
        <f t="shared" si="32"/>
        <v>0</v>
      </c>
      <c r="BB21" s="78">
        <f t="shared" si="33"/>
        <v>10397.202390041901</v>
      </c>
      <c r="BC21" s="78">
        <f t="shared" si="34"/>
        <v>12646.028141826908</v>
      </c>
      <c r="BD21" s="78">
        <f t="shared" si="35"/>
        <v>3009.279856785673</v>
      </c>
      <c r="BE21" s="105">
        <f t="shared" si="36"/>
        <v>29661.620954904985</v>
      </c>
      <c r="BF21" s="77">
        <f t="shared" si="37"/>
        <v>5947.3400447614649</v>
      </c>
      <c r="BG21" s="78">
        <f t="shared" si="38"/>
        <v>3.671735067814609</v>
      </c>
      <c r="BH21" s="78">
        <f t="shared" si="39"/>
        <v>40.373530142421373</v>
      </c>
      <c r="BI21" s="78">
        <f t="shared" si="40"/>
        <v>82.139034090545834</v>
      </c>
      <c r="BJ21" s="78">
        <f t="shared" si="41"/>
        <v>0</v>
      </c>
      <c r="BK21" s="78">
        <f t="shared" si="42"/>
        <v>770.08612368910337</v>
      </c>
      <c r="BL21" s="78">
        <f t="shared" si="43"/>
        <v>978.38104390600847</v>
      </c>
      <c r="BM21" s="78">
        <f t="shared" si="44"/>
        <v>205.50513581110201</v>
      </c>
      <c r="BN21" s="105">
        <f t="shared" si="45"/>
        <v>1664.0169355701696</v>
      </c>
    </row>
    <row r="22" spans="1:66" x14ac:dyDescent="0.25">
      <c r="A22" s="59">
        <v>18</v>
      </c>
      <c r="B22" t="s">
        <v>17</v>
      </c>
      <c r="C22" t="s">
        <v>62</v>
      </c>
      <c r="D22" s="60">
        <f>VLOOKUP(C22,IDN_JOULE_2009!$A$2:$N$37,3,FALSE)</f>
        <v>156861.17416243569</v>
      </c>
      <c r="E22" s="60">
        <f>VLOOKUP(C22,IDN_JOULE_2009!$A$2:$N$37,4,FALSE)</f>
        <v>1023.5028058273747</v>
      </c>
      <c r="F22" s="60">
        <f>VLOOKUP(C22,IDN_JOULE_2009!$A$2:$N$37,7,FALSE)</f>
        <v>1045.1788014991787</v>
      </c>
      <c r="G22" s="60">
        <f>VLOOKUP(C22,IDN_JOULE_2009!$A$2:$N$37,8,FALSE)</f>
        <v>2272.6524475476986</v>
      </c>
      <c r="H22" s="60">
        <f>VLOOKUP(C22,IDN_JOULE_2009!$A$2:$N$37,9,FALSE)</f>
        <v>0</v>
      </c>
      <c r="I22" s="60">
        <f>VLOOKUP(C22,IDN_JOULE_2009!$A$2:$N$37,10,FALSE)</f>
        <v>30439.92006</v>
      </c>
      <c r="J22" s="60">
        <f>VLOOKUP(C22,IDN_JOULE_2009!$A$2:$N$37,11,FALSE)</f>
        <v>9768.5998920000002</v>
      </c>
      <c r="K22" s="60">
        <f>VLOOKUP(C22,IDN_JOULE_2009!$A$2:$N$37,13,FALSE)</f>
        <v>6405.1647249248963</v>
      </c>
      <c r="L22" s="60">
        <f>VLOOKUP(C22,IDN_JOULE_2009!$A$2:$N$37,14,FALSE)</f>
        <v>60731.497188728848</v>
      </c>
      <c r="M22" s="65">
        <f>VLOOKUP(C22,IDN_CO2_2009!$A$2:$N$37,3,FALSE)</f>
        <v>14839.067075766416</v>
      </c>
      <c r="N22" s="65">
        <f>VLOOKUP(C22,IDN_CO2_2009!$A$2:$N$37,4,FALSE)</f>
        <v>103.57848394973033</v>
      </c>
      <c r="O22" s="65">
        <f>VLOOKUP(C22,IDN_CO2_2009!$A$2:$N$37,7,FALSE)</f>
        <v>77.412909897705831</v>
      </c>
      <c r="P22" s="65">
        <f>VLOOKUP(C22,IDN_CO2_2009!$A$2:$N$37,8,FALSE)</f>
        <v>157.4948146150555</v>
      </c>
      <c r="Q22" s="65">
        <f>VLOOKUP(C22,IDN_CO2_2009!$A$2:$N$37,9,FALSE)</f>
        <v>0</v>
      </c>
      <c r="R22" s="65">
        <f>VLOOKUP(C22,IDN_CO2_2009!$A$2:$N$37,10,FALSE)</f>
        <v>2254.5834124439998</v>
      </c>
      <c r="S22" s="65">
        <f>VLOOKUP(C22,IDN_CO2_2009!$A$2:$N$37,11,FALSE)</f>
        <v>755.76401164440006</v>
      </c>
      <c r="T22" s="65">
        <f>VLOOKUP(C22,IDN_CO2_2009!$A$2:$N$37,13,FALSE)</f>
        <v>437.41170955570567</v>
      </c>
      <c r="U22" s="65">
        <f>VLOOKUP(C22,IDN_CO2_2009!$A$2:$N$37,14,FALSE)</f>
        <v>3407.036992287688</v>
      </c>
      <c r="V22" s="68">
        <f t="shared" si="13"/>
        <v>1</v>
      </c>
      <c r="W22" s="68">
        <f t="shared" si="14"/>
        <v>1</v>
      </c>
      <c r="X22" s="77">
        <f>IF($W22=1,D22/$V22, "NR")</f>
        <v>156861.17416243569</v>
      </c>
      <c r="Y22" s="78">
        <f>IF($W22=1,E22/$V22, "NR")</f>
        <v>1023.5028058273747</v>
      </c>
      <c r="Z22" s="78">
        <f>IF($W22=1,F22/$V22, "NR")</f>
        <v>1045.1788014991787</v>
      </c>
      <c r="AA22" s="78">
        <f>IF($W22=1,G22/$V22, "NR")</f>
        <v>2272.6524475476986</v>
      </c>
      <c r="AB22" s="78">
        <f>IF($W22=1,H22/$V22, "NR")</f>
        <v>0</v>
      </c>
      <c r="AC22" s="78">
        <f>IF($W22=1,I22/$V22, "NR")</f>
        <v>30439.92006</v>
      </c>
      <c r="AD22" s="78">
        <f>IF($W22=1,J22/$V22, "NR")</f>
        <v>9768.5998920000002</v>
      </c>
      <c r="AE22" s="78">
        <f>IF($W22=1,K22/$V22, "NR")</f>
        <v>6405.1647249248963</v>
      </c>
      <c r="AF22" s="79">
        <f>IF($W22=1,L22/$V22, "NR")</f>
        <v>60731.497188728848</v>
      </c>
      <c r="AG22" s="92">
        <f t="shared" si="15"/>
        <v>14839.067075766416</v>
      </c>
      <c r="AH22" s="93">
        <f t="shared" si="16"/>
        <v>103.57848394973033</v>
      </c>
      <c r="AI22" s="93">
        <f t="shared" si="17"/>
        <v>77.412909897705831</v>
      </c>
      <c r="AJ22" s="93">
        <f t="shared" si="18"/>
        <v>157.4948146150555</v>
      </c>
      <c r="AK22" s="93">
        <f t="shared" si="19"/>
        <v>0</v>
      </c>
      <c r="AL22" s="93">
        <f t="shared" si="20"/>
        <v>2254.5834124439998</v>
      </c>
      <c r="AM22" s="93">
        <f t="shared" si="21"/>
        <v>755.76401164440006</v>
      </c>
      <c r="AN22" s="93">
        <f t="shared" si="22"/>
        <v>437.41170955570567</v>
      </c>
      <c r="AO22" s="79">
        <f t="shared" si="23"/>
        <v>3407.036992287688</v>
      </c>
      <c r="AP22" s="77">
        <f t="shared" si="24"/>
        <v>268547.69008296367</v>
      </c>
      <c r="AQ22" s="97">
        <f t="shared" si="25"/>
        <v>22032.349410160703</v>
      </c>
      <c r="AS22" s="92">
        <v>20</v>
      </c>
      <c r="AT22" s="93" t="s">
        <v>19</v>
      </c>
      <c r="AU22" s="78">
        <f t="shared" si="26"/>
        <v>137909.55544644393</v>
      </c>
      <c r="AV22" s="105">
        <f t="shared" si="27"/>
        <v>8280.7300122240213</v>
      </c>
      <c r="AW22" s="77">
        <f t="shared" si="28"/>
        <v>8935.0933538650315</v>
      </c>
      <c r="AX22" s="78">
        <f t="shared" si="29"/>
        <v>5.9517926129629828</v>
      </c>
      <c r="AY22" s="78">
        <f t="shared" si="30"/>
        <v>991.60453728612401</v>
      </c>
      <c r="AZ22" s="78">
        <f t="shared" si="31"/>
        <v>2156.1597646548557</v>
      </c>
      <c r="BA22" s="78">
        <f t="shared" si="32"/>
        <v>0</v>
      </c>
      <c r="BB22" s="78">
        <f t="shared" si="33"/>
        <v>6121.1308195957645</v>
      </c>
      <c r="BC22" s="78">
        <f t="shared" si="34"/>
        <v>286.2063035606584</v>
      </c>
      <c r="BD22" s="78">
        <f t="shared" si="35"/>
        <v>4009.5749773046191</v>
      </c>
      <c r="BE22" s="105">
        <f t="shared" si="36"/>
        <v>115403.83389756392</v>
      </c>
      <c r="BF22" s="77">
        <f t="shared" si="37"/>
        <v>845.25983127563177</v>
      </c>
      <c r="BG22" s="78">
        <f t="shared" si="38"/>
        <v>0.60232141243185389</v>
      </c>
      <c r="BH22" s="78">
        <f t="shared" si="39"/>
        <v>73.444842728325568</v>
      </c>
      <c r="BI22" s="78">
        <f t="shared" si="40"/>
        <v>149.4218716905815</v>
      </c>
      <c r="BJ22" s="78">
        <f t="shared" si="41"/>
        <v>0</v>
      </c>
      <c r="BK22" s="78">
        <f t="shared" si="42"/>
        <v>453.37175603805946</v>
      </c>
      <c r="BL22" s="78">
        <f t="shared" si="43"/>
        <v>22.142827685476266</v>
      </c>
      <c r="BM22" s="78">
        <f t="shared" si="44"/>
        <v>262.33147974018073</v>
      </c>
      <c r="BN22" s="105">
        <f t="shared" si="45"/>
        <v>6474.1550816533345</v>
      </c>
    </row>
    <row r="23" spans="1:66" x14ac:dyDescent="0.25">
      <c r="A23" s="59">
        <v>19</v>
      </c>
      <c r="B23" t="s">
        <v>18</v>
      </c>
      <c r="C23" t="s">
        <v>63</v>
      </c>
      <c r="D23" s="60">
        <f>VLOOKUP(C23,IDN_JOULE_2009!$A$2:$N$37,3,FALSE)</f>
        <v>62868.287999592656</v>
      </c>
      <c r="E23" s="60">
        <f>VLOOKUP(C23,IDN_JOULE_2009!$A$2:$N$37,4,FALSE)</f>
        <v>36.281967073266884</v>
      </c>
      <c r="F23" s="60">
        <f>VLOOKUP(C23,IDN_JOULE_2009!$A$2:$N$37,7,FALSE)</f>
        <v>545.09716663935251</v>
      </c>
      <c r="G23" s="60">
        <f>VLOOKUP(C23,IDN_JOULE_2009!$A$2:$N$37,8,FALSE)</f>
        <v>1185.2674471940234</v>
      </c>
      <c r="H23" s="60">
        <f>VLOOKUP(C23,IDN_JOULE_2009!$A$2:$N$37,9,FALSE)</f>
        <v>0</v>
      </c>
      <c r="I23" s="60">
        <f>VLOOKUP(C23,IDN_JOULE_2009!$A$2:$N$37,10,FALSE)</f>
        <v>10397.202390041901</v>
      </c>
      <c r="J23" s="60">
        <f>VLOOKUP(C23,IDN_JOULE_2009!$A$2:$N$37,11,FALSE)</f>
        <v>12646.028141826908</v>
      </c>
      <c r="K23" s="60">
        <f>VLOOKUP(C23,IDN_JOULE_2009!$A$2:$N$37,13,FALSE)</f>
        <v>3009.279856785673</v>
      </c>
      <c r="L23" s="60">
        <f>VLOOKUP(C23,IDN_JOULE_2009!$A$2:$N$37,14,FALSE)</f>
        <v>29661.620954904985</v>
      </c>
      <c r="M23" s="65">
        <f>VLOOKUP(C23,IDN_CO2_2009!$A$2:$N$37,3,FALSE)</f>
        <v>5947.3400447614649</v>
      </c>
      <c r="N23" s="65">
        <f>VLOOKUP(C23,IDN_CO2_2009!$A$2:$N$37,4,FALSE)</f>
        <v>3.671735067814609</v>
      </c>
      <c r="O23" s="65">
        <f>VLOOKUP(C23,IDN_CO2_2009!$A$2:$N$37,7,FALSE)</f>
        <v>40.373530142421373</v>
      </c>
      <c r="P23" s="65">
        <f>VLOOKUP(C23,IDN_CO2_2009!$A$2:$N$37,8,FALSE)</f>
        <v>82.139034090545834</v>
      </c>
      <c r="Q23" s="65">
        <f>VLOOKUP(C23,IDN_CO2_2009!$A$2:$N$37,9,FALSE)</f>
        <v>0</v>
      </c>
      <c r="R23" s="65">
        <f>VLOOKUP(C23,IDN_CO2_2009!$A$2:$N$37,10,FALSE)</f>
        <v>770.08612368910337</v>
      </c>
      <c r="S23" s="65">
        <f>VLOOKUP(C23,IDN_CO2_2009!$A$2:$N$37,11,FALSE)</f>
        <v>978.38104390600847</v>
      </c>
      <c r="T23" s="65">
        <f>VLOOKUP(C23,IDN_CO2_2009!$A$2:$N$37,13,FALSE)</f>
        <v>205.50513581110201</v>
      </c>
      <c r="U23" s="65">
        <f>VLOOKUP(C23,IDN_CO2_2009!$A$2:$N$37,14,FALSE)</f>
        <v>1664.0169355701696</v>
      </c>
      <c r="V23" s="68">
        <f t="shared" si="13"/>
        <v>1</v>
      </c>
      <c r="W23" s="68">
        <f t="shared" si="14"/>
        <v>1</v>
      </c>
      <c r="X23" s="77">
        <f>IF($W23=1,D23/$V23, "NR")</f>
        <v>62868.287999592656</v>
      </c>
      <c r="Y23" s="78">
        <f>IF($W23=1,E23/$V23, "NR")</f>
        <v>36.281967073266884</v>
      </c>
      <c r="Z23" s="78">
        <f>IF($W23=1,F23/$V23, "NR")</f>
        <v>545.09716663935251</v>
      </c>
      <c r="AA23" s="78">
        <f>IF($W23=1,G23/$V23, "NR")</f>
        <v>1185.2674471940234</v>
      </c>
      <c r="AB23" s="78">
        <f>IF($W23=1,H23/$V23, "NR")</f>
        <v>0</v>
      </c>
      <c r="AC23" s="78">
        <f>IF($W23=1,I23/$V23, "NR")</f>
        <v>10397.202390041901</v>
      </c>
      <c r="AD23" s="78">
        <f>IF($W23=1,J23/$V23, "NR")</f>
        <v>12646.028141826908</v>
      </c>
      <c r="AE23" s="78">
        <f>IF($W23=1,K23/$V23, "NR")</f>
        <v>3009.279856785673</v>
      </c>
      <c r="AF23" s="79">
        <f>IF($W23=1,L23/$V23, "NR")</f>
        <v>29661.620954904985</v>
      </c>
      <c r="AG23" s="92">
        <f t="shared" si="15"/>
        <v>5947.3400447614649</v>
      </c>
      <c r="AH23" s="93">
        <f t="shared" si="16"/>
        <v>3.671735067814609</v>
      </c>
      <c r="AI23" s="93">
        <f t="shared" si="17"/>
        <v>40.373530142421373</v>
      </c>
      <c r="AJ23" s="93">
        <f t="shared" si="18"/>
        <v>82.139034090545834</v>
      </c>
      <c r="AK23" s="93">
        <f t="shared" si="19"/>
        <v>0</v>
      </c>
      <c r="AL23" s="93">
        <f t="shared" si="20"/>
        <v>770.08612368910337</v>
      </c>
      <c r="AM23" s="93">
        <f t="shared" si="21"/>
        <v>978.38104390600847</v>
      </c>
      <c r="AN23" s="93">
        <f t="shared" si="22"/>
        <v>205.50513581110201</v>
      </c>
      <c r="AO23" s="79">
        <f t="shared" si="23"/>
        <v>1664.0169355701696</v>
      </c>
      <c r="AP23" s="77">
        <f t="shared" si="24"/>
        <v>120349.06592405877</v>
      </c>
      <c r="AQ23" s="97">
        <f t="shared" si="25"/>
        <v>9691.5135830386298</v>
      </c>
      <c r="AS23" s="92">
        <v>21</v>
      </c>
      <c r="AT23" s="93" t="s">
        <v>20</v>
      </c>
      <c r="AU23" s="78">
        <f t="shared" si="26"/>
        <v>30311.629804543449</v>
      </c>
      <c r="AV23" s="105">
        <f t="shared" si="27"/>
        <v>1821.961979608066</v>
      </c>
      <c r="AW23" s="77">
        <f t="shared" si="28"/>
        <v>1203.9792649413689</v>
      </c>
      <c r="AX23" s="78">
        <f t="shared" si="29"/>
        <v>0.80198769183972041</v>
      </c>
      <c r="AY23" s="78">
        <f t="shared" si="30"/>
        <v>680.10295212791664</v>
      </c>
      <c r="AZ23" s="78">
        <f t="shared" si="31"/>
        <v>1478.8260501656757</v>
      </c>
      <c r="BA23" s="78">
        <f t="shared" si="32"/>
        <v>0</v>
      </c>
      <c r="BB23" s="78">
        <f t="shared" si="33"/>
        <v>1393.9494131176543</v>
      </c>
      <c r="BC23" s="78">
        <f t="shared" si="34"/>
        <v>63.331834642698269</v>
      </c>
      <c r="BD23" s="78">
        <f t="shared" si="35"/>
        <v>1391.1693183129717</v>
      </c>
      <c r="BE23" s="105">
        <f t="shared" si="36"/>
        <v>24099.468983543324</v>
      </c>
      <c r="BF23" s="77">
        <f t="shared" si="37"/>
        <v>113.89643846345349</v>
      </c>
      <c r="BG23" s="78">
        <f t="shared" si="38"/>
        <v>8.1161154414179718E-2</v>
      </c>
      <c r="BH23" s="78">
        <f t="shared" si="39"/>
        <v>50.372958654274356</v>
      </c>
      <c r="BI23" s="78">
        <f t="shared" si="40"/>
        <v>102.48264527648132</v>
      </c>
      <c r="BJ23" s="78">
        <f t="shared" si="41"/>
        <v>0</v>
      </c>
      <c r="BK23" s="78">
        <f t="shared" si="42"/>
        <v>103.24518653158091</v>
      </c>
      <c r="BL23" s="78">
        <f t="shared" si="43"/>
        <v>4.8997729401900898</v>
      </c>
      <c r="BM23" s="78">
        <f t="shared" si="44"/>
        <v>95.003606610891296</v>
      </c>
      <c r="BN23" s="105">
        <f t="shared" si="45"/>
        <v>1351.9802099767803</v>
      </c>
    </row>
    <row r="24" spans="1:66" x14ac:dyDescent="0.25">
      <c r="A24" s="59">
        <v>20</v>
      </c>
      <c r="B24" s="58" t="s">
        <v>19</v>
      </c>
      <c r="C24" t="s">
        <v>66</v>
      </c>
      <c r="D24" s="60">
        <f>VLOOKUP(C24,IDN_JOULE_2009!$A$2:$N$37,3,FALSE)</f>
        <v>2089.1928878556382</v>
      </c>
      <c r="E24" s="60">
        <f>VLOOKUP(C24,IDN_JOULE_2009!$A$2:$N$37,4,FALSE)</f>
        <v>1.3916410612112129</v>
      </c>
      <c r="F24" s="60">
        <f>VLOOKUP(C24,IDN_JOULE_2009!$A$2:$N$37,7,FALSE)</f>
        <v>558.32862689950423</v>
      </c>
      <c r="G24" s="60">
        <f>VLOOKUP(C24,IDN_JOULE_2009!$A$2:$N$37,8,FALSE)</f>
        <v>1214.038132651604</v>
      </c>
      <c r="H24" s="60">
        <f>VLOOKUP(C24,IDN_JOULE_2009!$A$2:$N$37,9,FALSE)</f>
        <v>0</v>
      </c>
      <c r="I24" s="60">
        <f>VLOOKUP(C24,IDN_JOULE_2009!$A$2:$N$37,10,FALSE)</f>
        <v>2677.0194813607691</v>
      </c>
      <c r="J24" s="60">
        <f>VLOOKUP(C24,IDN_JOULE_2009!$A$2:$N$37,11,FALSE)</f>
        <v>121.62604577567427</v>
      </c>
      <c r="K24" s="60">
        <f>VLOOKUP(C24,IDN_JOULE_2009!$A$2:$N$37,13,FALSE)</f>
        <v>394.34724353949787</v>
      </c>
      <c r="L24" s="60">
        <f>VLOOKUP(C24,IDN_JOULE_2009!$A$2:$N$37,14,FALSE)</f>
        <v>46737.825181078981</v>
      </c>
      <c r="M24" s="65">
        <f>VLOOKUP(C24,IDN_CO2_2009!$A$2:$N$37,3,FALSE)</f>
        <v>197.63764719114334</v>
      </c>
      <c r="N24" s="65">
        <f>VLOOKUP(C24,IDN_CO2_2009!$A$2:$N$37,4,FALSE)</f>
        <v>0.14083407539457476</v>
      </c>
      <c r="O24" s="65">
        <f>VLOOKUP(C24,IDN_CO2_2009!$A$2:$N$37,7,FALSE)</f>
        <v>41.353540299023273</v>
      </c>
      <c r="P24" s="65">
        <f>VLOOKUP(C24,IDN_CO2_2009!$A$2:$N$37,8,FALSE)</f>
        <v>84.132842592756163</v>
      </c>
      <c r="Q24" s="65">
        <f>VLOOKUP(C24,IDN_CO2_2009!$A$2:$N$37,9,FALSE)</f>
        <v>0</v>
      </c>
      <c r="R24" s="65">
        <f>VLOOKUP(C24,IDN_CO2_2009!$A$2:$N$37,10,FALSE)</f>
        <v>198.27790958612093</v>
      </c>
      <c r="S24" s="65">
        <f>VLOOKUP(C24,IDN_CO2_2009!$A$2:$N$37,11,FALSE)</f>
        <v>9.409801741511334</v>
      </c>
      <c r="T24" s="65">
        <f>VLOOKUP(C24,IDN_CO2_2009!$A$2:$N$37,13,FALSE)</f>
        <v>15.445878608674606</v>
      </c>
      <c r="U24" s="65">
        <f>VLOOKUP(C24,IDN_CO2_2009!$A$2:$N$37,14,FALSE)</f>
        <v>2621.9919926585303</v>
      </c>
      <c r="V24" s="68">
        <f t="shared" si="13"/>
        <v>1</v>
      </c>
      <c r="W24" s="70">
        <f t="shared" si="14"/>
        <v>3</v>
      </c>
      <c r="X24" s="80">
        <f>D$24+D$25+D$26</f>
        <v>8935.0933538650315</v>
      </c>
      <c r="Y24" s="81">
        <f t="shared" ref="Y24:AO26" si="48">E$24+E$25+E$26</f>
        <v>5.9517926129629828</v>
      </c>
      <c r="Z24" s="81">
        <f t="shared" si="48"/>
        <v>991.60453728612401</v>
      </c>
      <c r="AA24" s="81">
        <f t="shared" si="48"/>
        <v>2156.1597646548557</v>
      </c>
      <c r="AB24" s="81">
        <f t="shared" si="48"/>
        <v>0</v>
      </c>
      <c r="AC24" s="81">
        <f t="shared" si="48"/>
        <v>6121.1308195957645</v>
      </c>
      <c r="AD24" s="81">
        <f t="shared" si="48"/>
        <v>286.2063035606584</v>
      </c>
      <c r="AE24" s="81">
        <f t="shared" si="48"/>
        <v>4009.5749773046191</v>
      </c>
      <c r="AF24" s="82">
        <f t="shared" si="48"/>
        <v>115403.83389756392</v>
      </c>
      <c r="AG24" s="80">
        <f t="shared" si="48"/>
        <v>845.25983127563177</v>
      </c>
      <c r="AH24" s="81">
        <f t="shared" si="48"/>
        <v>0.60232141243185389</v>
      </c>
      <c r="AI24" s="81">
        <f t="shared" si="48"/>
        <v>73.444842728325568</v>
      </c>
      <c r="AJ24" s="81">
        <f t="shared" si="48"/>
        <v>149.4218716905815</v>
      </c>
      <c r="AK24" s="81">
        <f t="shared" si="48"/>
        <v>0</v>
      </c>
      <c r="AL24" s="81">
        <f t="shared" si="48"/>
        <v>453.37175603805952</v>
      </c>
      <c r="AM24" s="81">
        <f t="shared" si="48"/>
        <v>22.14282768547627</v>
      </c>
      <c r="AN24" s="81">
        <f t="shared" si="48"/>
        <v>262.33147974018073</v>
      </c>
      <c r="AO24" s="82">
        <f t="shared" si="48"/>
        <v>6474.1550816533345</v>
      </c>
      <c r="AP24" s="77">
        <f t="shared" si="24"/>
        <v>137909.55544644393</v>
      </c>
      <c r="AQ24" s="97">
        <f t="shared" si="25"/>
        <v>8280.7300122240213</v>
      </c>
      <c r="AS24" s="92">
        <v>22</v>
      </c>
      <c r="AT24" s="93" t="s">
        <v>21</v>
      </c>
      <c r="AU24" s="78">
        <f t="shared" si="26"/>
        <v>1423221.0734543749</v>
      </c>
      <c r="AV24" s="105">
        <f t="shared" si="27"/>
        <v>104837.38878380772</v>
      </c>
      <c r="AW24" s="77">
        <f t="shared" si="28"/>
        <v>475288.00621199998</v>
      </c>
      <c r="AX24" s="78">
        <f t="shared" si="29"/>
        <v>0</v>
      </c>
      <c r="AY24" s="78">
        <f t="shared" si="30"/>
        <v>219.15253030515606</v>
      </c>
      <c r="AZ24" s="78">
        <f t="shared" si="31"/>
        <v>476.52854580468221</v>
      </c>
      <c r="BA24" s="78">
        <f t="shared" si="32"/>
        <v>0</v>
      </c>
      <c r="BB24" s="78">
        <f t="shared" si="33"/>
        <v>243950.04230805987</v>
      </c>
      <c r="BC24" s="78">
        <f t="shared" si="34"/>
        <v>115643.9796381028</v>
      </c>
      <c r="BD24" s="78">
        <f t="shared" si="35"/>
        <v>3866.0657004309401</v>
      </c>
      <c r="BE24" s="105">
        <f t="shared" si="36"/>
        <v>583777.29851967166</v>
      </c>
      <c r="BF24" s="77">
        <f t="shared" si="37"/>
        <v>44962.245387655195</v>
      </c>
      <c r="BG24" s="78">
        <f t="shared" si="38"/>
        <v>0</v>
      </c>
      <c r="BH24" s="78">
        <f t="shared" si="39"/>
        <v>16.231897411268555</v>
      </c>
      <c r="BI24" s="78">
        <f t="shared" si="40"/>
        <v>33.023428224264478</v>
      </c>
      <c r="BJ24" s="78">
        <f t="shared" si="41"/>
        <v>0</v>
      </c>
      <c r="BK24" s="78">
        <f t="shared" si="42"/>
        <v>18068.566466950298</v>
      </c>
      <c r="BL24" s="78">
        <f t="shared" si="43"/>
        <v>8946.9892246678864</v>
      </c>
      <c r="BM24" s="78">
        <f t="shared" si="44"/>
        <v>60.425931945231866</v>
      </c>
      <c r="BN24" s="105">
        <f t="shared" si="45"/>
        <v>32749.906446953581</v>
      </c>
    </row>
    <row r="25" spans="1:66" x14ac:dyDescent="0.25">
      <c r="A25" s="59">
        <v>20</v>
      </c>
      <c r="B25" s="58" t="s">
        <v>19</v>
      </c>
      <c r="C25" t="s">
        <v>64</v>
      </c>
      <c r="D25" s="60">
        <f>VLOOKUP(C25,IDN_JOULE_2009!$A$2:$N$37,3,FALSE)</f>
        <v>742.10514695610789</v>
      </c>
      <c r="E25" s="60">
        <f>VLOOKUP(C25,IDN_JOULE_2009!$A$2:$N$37,4,FALSE)</f>
        <v>0.49432678056850793</v>
      </c>
      <c r="F25" s="60">
        <f>VLOOKUP(C25,IDN_JOULE_2009!$A$2:$N$37,7,FALSE)</f>
        <v>97.444311050721694</v>
      </c>
      <c r="G25" s="60">
        <f>VLOOKUP(C25,IDN_JOULE_2009!$A$2:$N$37,8,FALSE)</f>
        <v>211.88437011099862</v>
      </c>
      <c r="H25" s="60">
        <f>VLOOKUP(C25,IDN_JOULE_2009!$A$2:$N$37,9,FALSE)</f>
        <v>0</v>
      </c>
      <c r="I25" s="60">
        <f>VLOOKUP(C25,IDN_JOULE_2009!$A$2:$N$37,10,FALSE)</f>
        <v>188.71105467436337</v>
      </c>
      <c r="J25" s="60">
        <f>VLOOKUP(C25,IDN_JOULE_2009!$A$2:$N$37,11,FALSE)</f>
        <v>9.1098041468549305</v>
      </c>
      <c r="K25" s="60">
        <f>VLOOKUP(C25,IDN_JOULE_2009!$A$2:$N$37,13,FALSE)</f>
        <v>200.10915673680068</v>
      </c>
      <c r="L25" s="60">
        <f>VLOOKUP(C25,IDN_JOULE_2009!$A$2:$N$37,14,FALSE)</f>
        <v>6860.0386587454896</v>
      </c>
      <c r="M25" s="65">
        <f>VLOOKUP(C25,IDN_CO2_2009!$A$2:$N$37,3,FALSE)</f>
        <v>70.203146902047791</v>
      </c>
      <c r="N25" s="65">
        <f>VLOOKUP(C25,IDN_CO2_2009!$A$2:$N$37,4,FALSE)</f>
        <v>5.0025870193533009E-2</v>
      </c>
      <c r="O25" s="65">
        <f>VLOOKUP(C25,IDN_CO2_2009!$A$2:$N$37,7,FALSE)</f>
        <v>7.2173753051567857</v>
      </c>
      <c r="P25" s="65">
        <f>VLOOKUP(C25,IDN_CO2_2009!$A$2:$N$37,8,FALSE)</f>
        <v>14.683586848692205</v>
      </c>
      <c r="Q25" s="65">
        <f>VLOOKUP(C25,IDN_CO2_2009!$A$2:$N$37,9,FALSE)</f>
        <v>0</v>
      </c>
      <c r="R25" s="65">
        <f>VLOOKUP(C25,IDN_CO2_2009!$A$2:$N$37,10,FALSE)</f>
        <v>13.977198782881178</v>
      </c>
      <c r="S25" s="65">
        <f>VLOOKUP(C25,IDN_CO2_2009!$A$2:$N$37,11,FALSE)</f>
        <v>0.70479518082834314</v>
      </c>
      <c r="T25" s="65">
        <f>VLOOKUP(C25,IDN_CO2_2009!$A$2:$N$37,13,FALSE)</f>
        <v>13.665548366833139</v>
      </c>
      <c r="U25" s="65">
        <f>VLOOKUP(C25,IDN_CO2_2009!$A$2:$N$37,14,FALSE)</f>
        <v>384.84816875562194</v>
      </c>
      <c r="V25" s="68">
        <f t="shared" si="13"/>
        <v>1</v>
      </c>
      <c r="W25" s="70">
        <f t="shared" si="14"/>
        <v>3</v>
      </c>
      <c r="X25" s="80">
        <f t="shared" ref="X25:X26" si="49">D$24+D$25+D$26</f>
        <v>8935.0933538650315</v>
      </c>
      <c r="Y25" s="81">
        <f t="shared" si="48"/>
        <v>5.9517926129629828</v>
      </c>
      <c r="Z25" s="81">
        <f t="shared" si="48"/>
        <v>991.60453728612401</v>
      </c>
      <c r="AA25" s="81">
        <f t="shared" si="48"/>
        <v>2156.1597646548557</v>
      </c>
      <c r="AB25" s="81">
        <f t="shared" si="48"/>
        <v>0</v>
      </c>
      <c r="AC25" s="81">
        <f t="shared" si="48"/>
        <v>6121.1308195957645</v>
      </c>
      <c r="AD25" s="81">
        <f t="shared" si="48"/>
        <v>286.2063035606584</v>
      </c>
      <c r="AE25" s="81">
        <f t="shared" si="48"/>
        <v>4009.5749773046191</v>
      </c>
      <c r="AF25" s="82">
        <f t="shared" si="48"/>
        <v>115403.83389756392</v>
      </c>
      <c r="AG25" s="80">
        <f t="shared" si="48"/>
        <v>845.25983127563177</v>
      </c>
      <c r="AH25" s="81">
        <f t="shared" si="48"/>
        <v>0.60232141243185389</v>
      </c>
      <c r="AI25" s="81">
        <f t="shared" si="48"/>
        <v>73.444842728325568</v>
      </c>
      <c r="AJ25" s="81">
        <f t="shared" si="48"/>
        <v>149.4218716905815</v>
      </c>
      <c r="AK25" s="81">
        <f t="shared" si="48"/>
        <v>0</v>
      </c>
      <c r="AL25" s="81">
        <f t="shared" si="48"/>
        <v>453.37175603805952</v>
      </c>
      <c r="AM25" s="81">
        <f t="shared" si="48"/>
        <v>22.14282768547627</v>
      </c>
      <c r="AN25" s="81">
        <f t="shared" si="48"/>
        <v>262.33147974018073</v>
      </c>
      <c r="AO25" s="82">
        <f t="shared" si="48"/>
        <v>6474.1550816533345</v>
      </c>
      <c r="AP25" s="77">
        <f t="shared" si="24"/>
        <v>137909.55544644393</v>
      </c>
      <c r="AQ25" s="97">
        <f t="shared" si="25"/>
        <v>8280.7300122240213</v>
      </c>
      <c r="AS25" s="92">
        <v>23</v>
      </c>
      <c r="AT25" s="93" t="s">
        <v>22</v>
      </c>
      <c r="AU25" s="78">
        <f t="shared" si="26"/>
        <v>195544.29281022082</v>
      </c>
      <c r="AV25" s="105">
        <f t="shared" si="27"/>
        <v>12100.919824698354</v>
      </c>
      <c r="AW25" s="77">
        <f t="shared" si="28"/>
        <v>0</v>
      </c>
      <c r="AX25" s="78">
        <f t="shared" si="29"/>
        <v>0</v>
      </c>
      <c r="AY25" s="78">
        <f t="shared" si="30"/>
        <v>5673.2664992311429</v>
      </c>
      <c r="AZ25" s="78">
        <f t="shared" si="31"/>
        <v>12336.035687457592</v>
      </c>
      <c r="BA25" s="78">
        <f t="shared" si="32"/>
        <v>0</v>
      </c>
      <c r="BB25" s="78">
        <f t="shared" si="33"/>
        <v>16280.79048</v>
      </c>
      <c r="BC25" s="78">
        <f t="shared" si="34"/>
        <v>5943.2582985123927</v>
      </c>
      <c r="BD25" s="78">
        <f t="shared" si="35"/>
        <v>150948.69975264726</v>
      </c>
      <c r="BE25" s="105">
        <f t="shared" si="36"/>
        <v>4362.2420923724294</v>
      </c>
      <c r="BF25" s="77">
        <f t="shared" si="37"/>
        <v>0</v>
      </c>
      <c r="BG25" s="78">
        <f t="shared" si="38"/>
        <v>0</v>
      </c>
      <c r="BH25" s="78">
        <f t="shared" si="39"/>
        <v>420.1999387097199</v>
      </c>
      <c r="BI25" s="78">
        <f t="shared" si="40"/>
        <v>854.88727314081109</v>
      </c>
      <c r="BJ25" s="78">
        <f t="shared" si="41"/>
        <v>0</v>
      </c>
      <c r="BK25" s="78">
        <f t="shared" si="42"/>
        <v>1205.8638815519998</v>
      </c>
      <c r="BL25" s="78">
        <f t="shared" si="43"/>
        <v>459.81008369490877</v>
      </c>
      <c r="BM25" s="78">
        <f t="shared" si="44"/>
        <v>8915.4368662188208</v>
      </c>
      <c r="BN25" s="105">
        <f t="shared" si="45"/>
        <v>244.72178138209327</v>
      </c>
    </row>
    <row r="26" spans="1:66" x14ac:dyDescent="0.25">
      <c r="A26" s="59">
        <v>20</v>
      </c>
      <c r="B26" s="58" t="s">
        <v>19</v>
      </c>
      <c r="C26" t="s">
        <v>65</v>
      </c>
      <c r="D26" s="60">
        <f>VLOOKUP(C26,IDN_JOULE_2009!$A$2:$N$37,3,FALSE)</f>
        <v>6103.7953190532844</v>
      </c>
      <c r="E26" s="60">
        <f>VLOOKUP(C26,IDN_JOULE_2009!$A$2:$N$37,4,FALSE)</f>
        <v>4.0658247711832622</v>
      </c>
      <c r="F26" s="60">
        <f>VLOOKUP(C26,IDN_JOULE_2009!$A$2:$N$37,7,FALSE)</f>
        <v>335.83159933589809</v>
      </c>
      <c r="G26" s="60">
        <f>VLOOKUP(C26,IDN_JOULE_2009!$A$2:$N$37,8,FALSE)</f>
        <v>730.23726189225306</v>
      </c>
      <c r="H26" s="60">
        <f>VLOOKUP(C26,IDN_JOULE_2009!$A$2:$N$37,9,FALSE)</f>
        <v>0</v>
      </c>
      <c r="I26" s="60">
        <f>VLOOKUP(C26,IDN_JOULE_2009!$A$2:$N$37,10,FALSE)</f>
        <v>3255.4002835606316</v>
      </c>
      <c r="J26" s="60">
        <f>VLOOKUP(C26,IDN_JOULE_2009!$A$2:$N$37,11,FALSE)</f>
        <v>155.47045363812919</v>
      </c>
      <c r="K26" s="60">
        <f>VLOOKUP(C26,IDN_JOULE_2009!$A$2:$N$37,13,FALSE)</f>
        <v>3415.1185770283205</v>
      </c>
      <c r="L26" s="60">
        <f>VLOOKUP(C26,IDN_JOULE_2009!$A$2:$N$37,14,FALSE)</f>
        <v>61805.97005773944</v>
      </c>
      <c r="M26" s="65">
        <f>VLOOKUP(C26,IDN_CO2_2009!$A$2:$N$37,3,FALSE)</f>
        <v>577.41903718244066</v>
      </c>
      <c r="N26" s="65">
        <f>VLOOKUP(C26,IDN_CO2_2009!$A$2:$N$37,4,FALSE)</f>
        <v>0.41146146684374618</v>
      </c>
      <c r="O26" s="65">
        <f>VLOOKUP(C26,IDN_CO2_2009!$A$2:$N$37,7,FALSE)</f>
        <v>24.873927124145514</v>
      </c>
      <c r="P26" s="65">
        <f>VLOOKUP(C26,IDN_CO2_2009!$A$2:$N$37,8,FALSE)</f>
        <v>50.605442249133134</v>
      </c>
      <c r="Q26" s="65">
        <f>VLOOKUP(C26,IDN_CO2_2009!$A$2:$N$37,9,FALSE)</f>
        <v>0</v>
      </c>
      <c r="R26" s="65">
        <f>VLOOKUP(C26,IDN_CO2_2009!$A$2:$N$37,10,FALSE)</f>
        <v>241.11664766905744</v>
      </c>
      <c r="S26" s="65">
        <f>VLOOKUP(C26,IDN_CO2_2009!$A$2:$N$37,11,FALSE)</f>
        <v>12.028230763136595</v>
      </c>
      <c r="T26" s="65">
        <f>VLOOKUP(C26,IDN_CO2_2009!$A$2:$N$37,13,FALSE)</f>
        <v>233.220052764673</v>
      </c>
      <c r="U26" s="65">
        <f>VLOOKUP(C26,IDN_CO2_2009!$A$2:$N$37,14,FALSE)</f>
        <v>3467.3149202391828</v>
      </c>
      <c r="V26" s="68">
        <f t="shared" si="13"/>
        <v>1</v>
      </c>
      <c r="W26" s="70">
        <f t="shared" si="14"/>
        <v>3</v>
      </c>
      <c r="X26" s="80">
        <f t="shared" si="49"/>
        <v>8935.0933538650315</v>
      </c>
      <c r="Y26" s="81">
        <f t="shared" si="48"/>
        <v>5.9517926129629828</v>
      </c>
      <c r="Z26" s="81">
        <f t="shared" si="48"/>
        <v>991.60453728612401</v>
      </c>
      <c r="AA26" s="81">
        <f t="shared" si="48"/>
        <v>2156.1597646548557</v>
      </c>
      <c r="AB26" s="81">
        <f t="shared" si="48"/>
        <v>0</v>
      </c>
      <c r="AC26" s="81">
        <f t="shared" si="48"/>
        <v>6121.1308195957645</v>
      </c>
      <c r="AD26" s="81">
        <f t="shared" si="48"/>
        <v>286.2063035606584</v>
      </c>
      <c r="AE26" s="81">
        <f t="shared" si="48"/>
        <v>4009.5749773046191</v>
      </c>
      <c r="AF26" s="82">
        <f t="shared" si="48"/>
        <v>115403.83389756392</v>
      </c>
      <c r="AG26" s="80">
        <f t="shared" si="48"/>
        <v>845.25983127563177</v>
      </c>
      <c r="AH26" s="81">
        <f t="shared" si="48"/>
        <v>0.60232141243185389</v>
      </c>
      <c r="AI26" s="81">
        <f t="shared" si="48"/>
        <v>73.444842728325568</v>
      </c>
      <c r="AJ26" s="81">
        <f t="shared" si="48"/>
        <v>149.4218716905815</v>
      </c>
      <c r="AK26" s="81">
        <f t="shared" si="48"/>
        <v>0</v>
      </c>
      <c r="AL26" s="81">
        <f t="shared" si="48"/>
        <v>453.37175603805952</v>
      </c>
      <c r="AM26" s="81">
        <f t="shared" si="48"/>
        <v>22.14282768547627</v>
      </c>
      <c r="AN26" s="81">
        <f t="shared" si="48"/>
        <v>262.33147974018073</v>
      </c>
      <c r="AO26" s="82">
        <f t="shared" si="48"/>
        <v>6474.1550816533345</v>
      </c>
      <c r="AP26" s="77">
        <f t="shared" si="24"/>
        <v>137909.55544644393</v>
      </c>
      <c r="AQ26" s="97">
        <f t="shared" si="25"/>
        <v>8280.7300122240213</v>
      </c>
      <c r="AS26" s="92">
        <v>24</v>
      </c>
      <c r="AT26" s="93" t="s">
        <v>23</v>
      </c>
      <c r="AU26" s="78">
        <f t="shared" si="26"/>
        <v>81895.090150729418</v>
      </c>
      <c r="AV26" s="105">
        <f t="shared" si="27"/>
        <v>5855.3805896845015</v>
      </c>
      <c r="AW26" s="77">
        <f t="shared" si="28"/>
        <v>0</v>
      </c>
      <c r="AX26" s="78">
        <f t="shared" si="29"/>
        <v>0</v>
      </c>
      <c r="AY26" s="78">
        <f t="shared" si="30"/>
        <v>18116.317975714021</v>
      </c>
      <c r="AZ26" s="78">
        <f t="shared" si="31"/>
        <v>39392.393271852248</v>
      </c>
      <c r="BA26" s="78">
        <f t="shared" si="32"/>
        <v>0</v>
      </c>
      <c r="BB26" s="78">
        <f t="shared" si="33"/>
        <v>12411.343299152162</v>
      </c>
      <c r="BC26" s="78">
        <f t="shared" si="34"/>
        <v>2872.8367218642052</v>
      </c>
      <c r="BD26" s="78">
        <f t="shared" si="35"/>
        <v>7631.1682311445475</v>
      </c>
      <c r="BE26" s="105">
        <f t="shared" si="36"/>
        <v>1471.0306510022319</v>
      </c>
      <c r="BF26" s="77">
        <f t="shared" si="37"/>
        <v>0</v>
      </c>
      <c r="BG26" s="78">
        <f t="shared" si="38"/>
        <v>0</v>
      </c>
      <c r="BH26" s="78">
        <f t="shared" si="39"/>
        <v>1341.8152847345514</v>
      </c>
      <c r="BI26" s="78">
        <f t="shared" si="40"/>
        <v>2729.8928537393613</v>
      </c>
      <c r="BJ26" s="78">
        <f t="shared" si="41"/>
        <v>0</v>
      </c>
      <c r="BK26" s="78">
        <f t="shared" si="42"/>
        <v>919.26682702387006</v>
      </c>
      <c r="BL26" s="78">
        <f t="shared" si="43"/>
        <v>222.26180104822731</v>
      </c>
      <c r="BM26" s="78">
        <f t="shared" si="44"/>
        <v>559.6190036172668</v>
      </c>
      <c r="BN26" s="105">
        <f t="shared" si="45"/>
        <v>82.524819521225197</v>
      </c>
    </row>
    <row r="27" spans="1:66" x14ac:dyDescent="0.25">
      <c r="A27" s="59">
        <v>21</v>
      </c>
      <c r="B27" t="s">
        <v>20</v>
      </c>
      <c r="C27" t="s">
        <v>67</v>
      </c>
      <c r="D27" s="60">
        <f>VLOOKUP(C27,IDN_JOULE_2009!$A$2:$N$37,3,FALSE)</f>
        <v>1203.9792649413689</v>
      </c>
      <c r="E27" s="60">
        <f>VLOOKUP(C27,IDN_JOULE_2009!$A$2:$N$37,4,FALSE)</f>
        <v>0.80198769183972041</v>
      </c>
      <c r="F27" s="60">
        <f>VLOOKUP(C27,IDN_JOULE_2009!$A$2:$N$37,7,FALSE)</f>
        <v>680.10295212791664</v>
      </c>
      <c r="G27" s="60">
        <f>VLOOKUP(C27,IDN_JOULE_2009!$A$2:$N$37,8,FALSE)</f>
        <v>1478.8260501656757</v>
      </c>
      <c r="H27" s="60">
        <f>VLOOKUP(C27,IDN_JOULE_2009!$A$2:$N$37,9,FALSE)</f>
        <v>0</v>
      </c>
      <c r="I27" s="60">
        <f>VLOOKUP(C27,IDN_JOULE_2009!$A$2:$N$37,10,FALSE)</f>
        <v>1393.9494131176543</v>
      </c>
      <c r="J27" s="60">
        <f>VLOOKUP(C27,IDN_JOULE_2009!$A$2:$N$37,11,FALSE)</f>
        <v>63.331834642698269</v>
      </c>
      <c r="K27" s="60">
        <f>VLOOKUP(C27,IDN_JOULE_2009!$A$2:$N$37,13,FALSE)</f>
        <v>1391.1693183129717</v>
      </c>
      <c r="L27" s="60">
        <f>VLOOKUP(C27,IDN_JOULE_2009!$A$2:$N$37,14,FALSE)</f>
        <v>24099.468983543324</v>
      </c>
      <c r="M27" s="65">
        <f>VLOOKUP(C27,IDN_CO2_2009!$A$2:$N$37,3,FALSE)</f>
        <v>113.89643846345349</v>
      </c>
      <c r="N27" s="65">
        <f>VLOOKUP(C27,IDN_CO2_2009!$A$2:$N$37,4,FALSE)</f>
        <v>8.1161154414179718E-2</v>
      </c>
      <c r="O27" s="65">
        <f>VLOOKUP(C27,IDN_CO2_2009!$A$2:$N$37,7,FALSE)</f>
        <v>50.372958654274356</v>
      </c>
      <c r="P27" s="65">
        <f>VLOOKUP(C27,IDN_CO2_2009!$A$2:$N$37,8,FALSE)</f>
        <v>102.48264527648132</v>
      </c>
      <c r="Q27" s="65">
        <f>VLOOKUP(C27,IDN_CO2_2009!$A$2:$N$37,9,FALSE)</f>
        <v>0</v>
      </c>
      <c r="R27" s="65">
        <f>VLOOKUP(C27,IDN_CO2_2009!$A$2:$N$37,10,FALSE)</f>
        <v>103.24518653158091</v>
      </c>
      <c r="S27" s="65">
        <f>VLOOKUP(C27,IDN_CO2_2009!$A$2:$N$37,11,FALSE)</f>
        <v>4.8997729401900898</v>
      </c>
      <c r="T27" s="65">
        <f>VLOOKUP(C27,IDN_CO2_2009!$A$2:$N$37,13,FALSE)</f>
        <v>95.003606610891296</v>
      </c>
      <c r="U27" s="65">
        <f>VLOOKUP(C27,IDN_CO2_2009!$A$2:$N$37,14,FALSE)</f>
        <v>1351.9802099767803</v>
      </c>
      <c r="V27" s="68">
        <f t="shared" si="13"/>
        <v>1</v>
      </c>
      <c r="W27" s="68">
        <f t="shared" si="14"/>
        <v>1</v>
      </c>
      <c r="X27" s="77">
        <f>IF($W27=1,D27/$V27, "NR")</f>
        <v>1203.9792649413689</v>
      </c>
      <c r="Y27" s="78">
        <f>IF($W27=1,E27/$V27, "NR")</f>
        <v>0.80198769183972041</v>
      </c>
      <c r="Z27" s="78">
        <f>IF($W27=1,F27/$V27, "NR")</f>
        <v>680.10295212791664</v>
      </c>
      <c r="AA27" s="78">
        <f>IF($W27=1,G27/$V27, "NR")</f>
        <v>1478.8260501656757</v>
      </c>
      <c r="AB27" s="78">
        <f>IF($W27=1,H27/$V27, "NR")</f>
        <v>0</v>
      </c>
      <c r="AC27" s="78">
        <f>IF($W27=1,I27/$V27, "NR")</f>
        <v>1393.9494131176543</v>
      </c>
      <c r="AD27" s="78">
        <f>IF($W27=1,J27/$V27, "NR")</f>
        <v>63.331834642698269</v>
      </c>
      <c r="AE27" s="78">
        <f>IF($W27=1,K27/$V27, "NR")</f>
        <v>1391.1693183129717</v>
      </c>
      <c r="AF27" s="79">
        <f>IF($W27=1,L27/$V27, "NR")</f>
        <v>24099.468983543324</v>
      </c>
      <c r="AG27" s="92">
        <f t="shared" si="15"/>
        <v>113.89643846345349</v>
      </c>
      <c r="AH27" s="93">
        <f t="shared" si="16"/>
        <v>8.1161154414179718E-2</v>
      </c>
      <c r="AI27" s="93">
        <f t="shared" si="17"/>
        <v>50.372958654274356</v>
      </c>
      <c r="AJ27" s="93">
        <f t="shared" si="18"/>
        <v>102.48264527648132</v>
      </c>
      <c r="AK27" s="93">
        <f t="shared" si="19"/>
        <v>0</v>
      </c>
      <c r="AL27" s="93">
        <f t="shared" si="20"/>
        <v>103.24518653158091</v>
      </c>
      <c r="AM27" s="93">
        <f t="shared" si="21"/>
        <v>4.8997729401900898</v>
      </c>
      <c r="AN27" s="93">
        <f t="shared" si="22"/>
        <v>95.003606610891296</v>
      </c>
      <c r="AO27" s="79">
        <f t="shared" si="23"/>
        <v>1351.9802099767803</v>
      </c>
      <c r="AP27" s="77">
        <f t="shared" si="24"/>
        <v>30311.629804543449</v>
      </c>
      <c r="AQ27" s="97">
        <f t="shared" si="25"/>
        <v>1821.961979608066</v>
      </c>
      <c r="AS27" s="92">
        <v>25</v>
      </c>
      <c r="AT27" s="93" t="s">
        <v>24</v>
      </c>
      <c r="AU27" s="78">
        <f t="shared" si="26"/>
        <v>31654.401030594443</v>
      </c>
      <c r="AV27" s="105">
        <f t="shared" si="27"/>
        <v>2268.6427939102437</v>
      </c>
      <c r="AW27" s="77">
        <f t="shared" si="28"/>
        <v>0</v>
      </c>
      <c r="AX27" s="78">
        <f t="shared" si="29"/>
        <v>0</v>
      </c>
      <c r="AY27" s="78">
        <f t="shared" si="30"/>
        <v>6514.9895233087709</v>
      </c>
      <c r="AZ27" s="78">
        <f t="shared" si="31"/>
        <v>14166.290843880008</v>
      </c>
      <c r="BA27" s="78">
        <f t="shared" si="32"/>
        <v>0</v>
      </c>
      <c r="BB27" s="78">
        <f t="shared" si="33"/>
        <v>5637.8066640967072</v>
      </c>
      <c r="BC27" s="78">
        <f t="shared" si="34"/>
        <v>1304.9754265111785</v>
      </c>
      <c r="BD27" s="78">
        <f t="shared" si="35"/>
        <v>3466.4298675332561</v>
      </c>
      <c r="BE27" s="105">
        <f t="shared" si="36"/>
        <v>563.90870526452397</v>
      </c>
      <c r="BF27" s="77">
        <f t="shared" si="37"/>
        <v>0</v>
      </c>
      <c r="BG27" s="78">
        <f t="shared" si="38"/>
        <v>0</v>
      </c>
      <c r="BH27" s="78">
        <f t="shared" si="39"/>
        <v>482.54355735973621</v>
      </c>
      <c r="BI27" s="78">
        <f t="shared" si="40"/>
        <v>981.72395548088457</v>
      </c>
      <c r="BJ27" s="78">
        <f t="shared" si="41"/>
        <v>0</v>
      </c>
      <c r="BK27" s="78">
        <f t="shared" si="42"/>
        <v>417.57354692076274</v>
      </c>
      <c r="BL27" s="78">
        <f t="shared" si="43"/>
        <v>100.96159883108152</v>
      </c>
      <c r="BM27" s="78">
        <f t="shared" si="44"/>
        <v>254.20485695243877</v>
      </c>
      <c r="BN27" s="105">
        <f t="shared" si="45"/>
        <v>31.635278365339794</v>
      </c>
    </row>
    <row r="28" spans="1:66" x14ac:dyDescent="0.25">
      <c r="A28" s="59">
        <v>22</v>
      </c>
      <c r="B28" t="s">
        <v>21</v>
      </c>
      <c r="C28" t="s">
        <v>68</v>
      </c>
      <c r="D28" s="60">
        <f>VLOOKUP(C28,IDN_JOULE_2009!$A$2:$N$37,3,FALSE)</f>
        <v>475288.00621199998</v>
      </c>
      <c r="E28" s="60">
        <f>VLOOKUP(C28,IDN_JOULE_2009!$A$2:$N$37,4,FALSE)</f>
        <v>0</v>
      </c>
      <c r="F28" s="60">
        <f>VLOOKUP(C28,IDN_JOULE_2009!$A$2:$N$37,7,FALSE)</f>
        <v>219.15253030515606</v>
      </c>
      <c r="G28" s="60">
        <f>VLOOKUP(C28,IDN_JOULE_2009!$A$2:$N$37,8,FALSE)</f>
        <v>476.52854580468221</v>
      </c>
      <c r="H28" s="60">
        <f>VLOOKUP(C28,IDN_JOULE_2009!$A$2:$N$37,9,FALSE)</f>
        <v>0</v>
      </c>
      <c r="I28" s="60">
        <f>VLOOKUP(C28,IDN_JOULE_2009!$A$2:$N$37,10,FALSE)</f>
        <v>243950.04230805987</v>
      </c>
      <c r="J28" s="60">
        <f>VLOOKUP(C28,IDN_JOULE_2009!$A$2:$N$37,11,FALSE)</f>
        <v>115643.9796381028</v>
      </c>
      <c r="K28" s="60">
        <f>VLOOKUP(C28,IDN_JOULE_2009!$A$2:$N$37,13,FALSE)</f>
        <v>3866.0657004309401</v>
      </c>
      <c r="L28" s="60">
        <f>VLOOKUP(C28,IDN_JOULE_2009!$A$2:$N$37,14,FALSE)</f>
        <v>583777.29851967166</v>
      </c>
      <c r="M28" s="65">
        <f>VLOOKUP(C28,IDN_CO2_2009!$A$2:$N$37,3,FALSE)</f>
        <v>44962.245387655195</v>
      </c>
      <c r="N28" s="65">
        <f>VLOOKUP(C28,IDN_CO2_2009!$A$2:$N$37,4,FALSE)</f>
        <v>0</v>
      </c>
      <c r="O28" s="65">
        <f>VLOOKUP(C28,IDN_CO2_2009!$A$2:$N$37,7,FALSE)</f>
        <v>16.231897411268555</v>
      </c>
      <c r="P28" s="65">
        <f>VLOOKUP(C28,IDN_CO2_2009!$A$2:$N$37,8,FALSE)</f>
        <v>33.023428224264478</v>
      </c>
      <c r="Q28" s="65">
        <f>VLOOKUP(C28,IDN_CO2_2009!$A$2:$N$37,9,FALSE)</f>
        <v>0</v>
      </c>
      <c r="R28" s="65">
        <f>VLOOKUP(C28,IDN_CO2_2009!$A$2:$N$37,10,FALSE)</f>
        <v>18068.566466950298</v>
      </c>
      <c r="S28" s="65">
        <f>VLOOKUP(C28,IDN_CO2_2009!$A$2:$N$37,11,FALSE)</f>
        <v>8946.9892246678864</v>
      </c>
      <c r="T28" s="65">
        <f>VLOOKUP(C28,IDN_CO2_2009!$A$2:$N$37,13,FALSE)</f>
        <v>60.425931945231866</v>
      </c>
      <c r="U28" s="65">
        <f>VLOOKUP(C28,IDN_CO2_2009!$A$2:$N$37,14,FALSE)</f>
        <v>32749.906446953581</v>
      </c>
      <c r="V28" s="68">
        <f t="shared" si="13"/>
        <v>1</v>
      </c>
      <c r="W28" s="68">
        <f t="shared" si="14"/>
        <v>1</v>
      </c>
      <c r="X28" s="77">
        <f>IF($W28=1,D28/$V28, "NR")</f>
        <v>475288.00621199998</v>
      </c>
      <c r="Y28" s="78">
        <f>IF($W28=1,E28/$V28, "NR")</f>
        <v>0</v>
      </c>
      <c r="Z28" s="78">
        <f>IF($W28=1,F28/$V28, "NR")</f>
        <v>219.15253030515606</v>
      </c>
      <c r="AA28" s="78">
        <f>IF($W28=1,G28/$V28, "NR")</f>
        <v>476.52854580468221</v>
      </c>
      <c r="AB28" s="78">
        <f>IF($W28=1,H28/$V28, "NR")</f>
        <v>0</v>
      </c>
      <c r="AC28" s="78">
        <f>IF($W28=1,I28/$V28, "NR")</f>
        <v>243950.04230805987</v>
      </c>
      <c r="AD28" s="78">
        <f>IF($W28=1,J28/$V28, "NR")</f>
        <v>115643.9796381028</v>
      </c>
      <c r="AE28" s="78">
        <f>IF($W28=1,K28/$V28, "NR")</f>
        <v>3866.0657004309401</v>
      </c>
      <c r="AF28" s="79">
        <f>IF($W28=1,L28/$V28, "NR")</f>
        <v>583777.29851967166</v>
      </c>
      <c r="AG28" s="92">
        <f t="shared" si="15"/>
        <v>44962.245387655195</v>
      </c>
      <c r="AH28" s="93">
        <f t="shared" si="16"/>
        <v>0</v>
      </c>
      <c r="AI28" s="93">
        <f t="shared" si="17"/>
        <v>16.231897411268555</v>
      </c>
      <c r="AJ28" s="93">
        <f t="shared" si="18"/>
        <v>33.023428224264478</v>
      </c>
      <c r="AK28" s="93">
        <f t="shared" si="19"/>
        <v>0</v>
      </c>
      <c r="AL28" s="93">
        <f t="shared" si="20"/>
        <v>18068.566466950298</v>
      </c>
      <c r="AM28" s="93">
        <f t="shared" si="21"/>
        <v>8946.9892246678864</v>
      </c>
      <c r="AN28" s="93">
        <f t="shared" si="22"/>
        <v>60.425931945231866</v>
      </c>
      <c r="AO28" s="79">
        <f t="shared" si="23"/>
        <v>32749.906446953581</v>
      </c>
      <c r="AP28" s="77">
        <f t="shared" si="24"/>
        <v>1423221.0734543749</v>
      </c>
      <c r="AQ28" s="97">
        <f t="shared" si="25"/>
        <v>104837.38878380772</v>
      </c>
      <c r="AS28" s="92">
        <v>26</v>
      </c>
      <c r="AT28" s="93" t="s">
        <v>25</v>
      </c>
      <c r="AU28" s="78">
        <f t="shared" si="26"/>
        <v>204935.59857079262</v>
      </c>
      <c r="AV28" s="105">
        <f t="shared" si="27"/>
        <v>15173.109774395505</v>
      </c>
      <c r="AW28" s="77">
        <f t="shared" si="28"/>
        <v>0</v>
      </c>
      <c r="AX28" s="78">
        <f t="shared" si="29"/>
        <v>0</v>
      </c>
      <c r="AY28" s="78">
        <f t="shared" si="30"/>
        <v>204613.50804679262</v>
      </c>
      <c r="AZ28" s="78">
        <f t="shared" si="31"/>
        <v>0</v>
      </c>
      <c r="BA28" s="78">
        <f t="shared" si="32"/>
        <v>0</v>
      </c>
      <c r="BB28" s="78">
        <f t="shared" si="33"/>
        <v>0</v>
      </c>
      <c r="BC28" s="78">
        <f t="shared" si="34"/>
        <v>0</v>
      </c>
      <c r="BD28" s="78">
        <f t="shared" si="35"/>
        <v>0</v>
      </c>
      <c r="BE28" s="105">
        <f t="shared" si="36"/>
        <v>322.09052400000002</v>
      </c>
      <c r="BF28" s="77">
        <f t="shared" si="37"/>
        <v>0</v>
      </c>
      <c r="BG28" s="78">
        <f t="shared" si="38"/>
        <v>0</v>
      </c>
      <c r="BH28" s="78">
        <f t="shared" si="39"/>
        <v>15155.040495999105</v>
      </c>
      <c r="BI28" s="78">
        <f t="shared" si="40"/>
        <v>0</v>
      </c>
      <c r="BJ28" s="78">
        <f t="shared" si="41"/>
        <v>0</v>
      </c>
      <c r="BK28" s="78">
        <f t="shared" si="42"/>
        <v>0</v>
      </c>
      <c r="BL28" s="78">
        <f t="shared" si="43"/>
        <v>0</v>
      </c>
      <c r="BM28" s="78">
        <f t="shared" si="44"/>
        <v>0</v>
      </c>
      <c r="BN28" s="105">
        <f t="shared" si="45"/>
        <v>18.069278396400001</v>
      </c>
    </row>
    <row r="29" spans="1:66" x14ac:dyDescent="0.25">
      <c r="A29" s="59">
        <v>23</v>
      </c>
      <c r="B29" t="s">
        <v>22</v>
      </c>
      <c r="C29" t="s">
        <v>69</v>
      </c>
      <c r="D29" s="60">
        <f>VLOOKUP(C29,IDN_JOULE_2009!$A$2:$N$37,3,FALSE)</f>
        <v>0</v>
      </c>
      <c r="E29" s="60">
        <f>VLOOKUP(C29,IDN_JOULE_2009!$A$2:$N$37,4,FALSE)</f>
        <v>0</v>
      </c>
      <c r="F29" s="60">
        <f>VLOOKUP(C29,IDN_JOULE_2009!$A$2:$N$37,7,FALSE)</f>
        <v>5673.2664992311429</v>
      </c>
      <c r="G29" s="60">
        <f>VLOOKUP(C29,IDN_JOULE_2009!$A$2:$N$37,8,FALSE)</f>
        <v>12336.035687457592</v>
      </c>
      <c r="H29" s="60">
        <f>VLOOKUP(C29,IDN_JOULE_2009!$A$2:$N$37,9,FALSE)</f>
        <v>0</v>
      </c>
      <c r="I29" s="60">
        <f>VLOOKUP(C29,IDN_JOULE_2009!$A$2:$N$37,10,FALSE)</f>
        <v>16280.79048</v>
      </c>
      <c r="J29" s="60">
        <f>VLOOKUP(C29,IDN_JOULE_2009!$A$2:$N$37,11,FALSE)</f>
        <v>5943.2582985123927</v>
      </c>
      <c r="K29" s="60">
        <f>VLOOKUP(C29,IDN_JOULE_2009!$A$2:$N$37,13,FALSE)</f>
        <v>150948.69975264726</v>
      </c>
      <c r="L29" s="60">
        <f>VLOOKUP(C29,IDN_JOULE_2009!$A$2:$N$37,14,FALSE)</f>
        <v>4362.2420923724294</v>
      </c>
      <c r="M29" s="65">
        <f>VLOOKUP(C29,IDN_CO2_2009!$A$2:$N$37,3,FALSE)</f>
        <v>0</v>
      </c>
      <c r="N29" s="65">
        <f>VLOOKUP(C29,IDN_CO2_2009!$A$2:$N$37,4,FALSE)</f>
        <v>0</v>
      </c>
      <c r="O29" s="65">
        <f>VLOOKUP(C29,IDN_CO2_2009!$A$2:$N$37,7,FALSE)</f>
        <v>420.1999387097199</v>
      </c>
      <c r="P29" s="65">
        <f>VLOOKUP(C29,IDN_CO2_2009!$A$2:$N$37,8,FALSE)</f>
        <v>854.88727314081109</v>
      </c>
      <c r="Q29" s="65">
        <f>VLOOKUP(C29,IDN_CO2_2009!$A$2:$N$37,9,FALSE)</f>
        <v>0</v>
      </c>
      <c r="R29" s="65">
        <f>VLOOKUP(C29,IDN_CO2_2009!$A$2:$N$37,10,FALSE)</f>
        <v>1205.8638815519998</v>
      </c>
      <c r="S29" s="65">
        <f>VLOOKUP(C29,IDN_CO2_2009!$A$2:$N$37,11,FALSE)</f>
        <v>459.81008369490877</v>
      </c>
      <c r="T29" s="65">
        <f>VLOOKUP(C29,IDN_CO2_2009!$A$2:$N$37,13,FALSE)</f>
        <v>8915.4368662188208</v>
      </c>
      <c r="U29" s="65">
        <f>VLOOKUP(C29,IDN_CO2_2009!$A$2:$N$37,14,FALSE)</f>
        <v>244.72178138209327</v>
      </c>
      <c r="V29" s="68">
        <f t="shared" si="13"/>
        <v>1</v>
      </c>
      <c r="W29" s="68">
        <f t="shared" si="14"/>
        <v>1</v>
      </c>
      <c r="X29" s="77">
        <f>IF($W29=1,D29/$V29, "NR")</f>
        <v>0</v>
      </c>
      <c r="Y29" s="78">
        <f>IF($W29=1,E29/$V29, "NR")</f>
        <v>0</v>
      </c>
      <c r="Z29" s="78">
        <f>IF($W29=1,F29/$V29, "NR")</f>
        <v>5673.2664992311429</v>
      </c>
      <c r="AA29" s="78">
        <f>IF($W29=1,G29/$V29, "NR")</f>
        <v>12336.035687457592</v>
      </c>
      <c r="AB29" s="78">
        <f>IF($W29=1,H29/$V29, "NR")</f>
        <v>0</v>
      </c>
      <c r="AC29" s="78">
        <f>IF($W29=1,I29/$V29, "NR")</f>
        <v>16280.79048</v>
      </c>
      <c r="AD29" s="78">
        <f>IF($W29=1,J29/$V29, "NR")</f>
        <v>5943.2582985123927</v>
      </c>
      <c r="AE29" s="78">
        <f>IF($W29=1,K29/$V29, "NR")</f>
        <v>150948.69975264726</v>
      </c>
      <c r="AF29" s="79">
        <f>IF($W29=1,L29/$V29, "NR")</f>
        <v>4362.2420923724294</v>
      </c>
      <c r="AG29" s="92">
        <f t="shared" si="15"/>
        <v>0</v>
      </c>
      <c r="AH29" s="93">
        <f t="shared" si="16"/>
        <v>0</v>
      </c>
      <c r="AI29" s="93">
        <f t="shared" si="17"/>
        <v>420.1999387097199</v>
      </c>
      <c r="AJ29" s="93">
        <f t="shared" si="18"/>
        <v>854.88727314081109</v>
      </c>
      <c r="AK29" s="93">
        <f t="shared" si="19"/>
        <v>0</v>
      </c>
      <c r="AL29" s="93">
        <f t="shared" si="20"/>
        <v>1205.8638815519998</v>
      </c>
      <c r="AM29" s="93">
        <f t="shared" si="21"/>
        <v>459.81008369490877</v>
      </c>
      <c r="AN29" s="93">
        <f t="shared" si="22"/>
        <v>8915.4368662188208</v>
      </c>
      <c r="AO29" s="79">
        <f t="shared" si="23"/>
        <v>244.72178138209327</v>
      </c>
      <c r="AP29" s="77">
        <f t="shared" si="24"/>
        <v>195544.29281022082</v>
      </c>
      <c r="AQ29" s="97">
        <f t="shared" si="25"/>
        <v>12100.919824698354</v>
      </c>
      <c r="AS29" s="92">
        <v>27</v>
      </c>
      <c r="AT29" s="93" t="s">
        <v>26</v>
      </c>
      <c r="AU29" s="78">
        <f t="shared" si="26"/>
        <v>94325.198684365707</v>
      </c>
      <c r="AV29" s="105">
        <f t="shared" si="27"/>
        <v>7032.7123267696161</v>
      </c>
      <c r="AW29" s="77">
        <f t="shared" si="28"/>
        <v>0</v>
      </c>
      <c r="AX29" s="78">
        <f t="shared" si="29"/>
        <v>0</v>
      </c>
      <c r="AY29" s="78">
        <f t="shared" si="30"/>
        <v>0</v>
      </c>
      <c r="AZ29" s="78">
        <f t="shared" si="31"/>
        <v>0</v>
      </c>
      <c r="BA29" s="78">
        <f t="shared" si="32"/>
        <v>0</v>
      </c>
      <c r="BB29" s="78">
        <f t="shared" si="33"/>
        <v>80234.53160033391</v>
      </c>
      <c r="BC29" s="78">
        <f t="shared" si="34"/>
        <v>14055.975225426644</v>
      </c>
      <c r="BD29" s="78">
        <f t="shared" si="35"/>
        <v>34.69185860514829</v>
      </c>
      <c r="BE29" s="105">
        <f t="shared" si="36"/>
        <v>0</v>
      </c>
      <c r="BF29" s="77">
        <f t="shared" si="37"/>
        <v>0</v>
      </c>
      <c r="BG29" s="78">
        <f t="shared" si="38"/>
        <v>0</v>
      </c>
      <c r="BH29" s="78">
        <f t="shared" si="39"/>
        <v>0</v>
      </c>
      <c r="BI29" s="78">
        <f t="shared" si="40"/>
        <v>0</v>
      </c>
      <c r="BJ29" s="78">
        <f t="shared" si="41"/>
        <v>0</v>
      </c>
      <c r="BK29" s="78">
        <f t="shared" si="42"/>
        <v>5942.7043071980643</v>
      </c>
      <c r="BL29" s="78">
        <f t="shared" si="43"/>
        <v>1087.463949940508</v>
      </c>
      <c r="BM29" s="78">
        <f t="shared" si="44"/>
        <v>2.5440696310442079</v>
      </c>
      <c r="BN29" s="105">
        <f t="shared" si="45"/>
        <v>0</v>
      </c>
    </row>
    <row r="30" spans="1:66" x14ac:dyDescent="0.25">
      <c r="A30" s="59">
        <v>24</v>
      </c>
      <c r="B30" s="58" t="s">
        <v>23</v>
      </c>
      <c r="C30" t="s">
        <v>71</v>
      </c>
      <c r="D30" s="60">
        <f>VLOOKUP(C30,IDN_JOULE_2009!$A$2:$N$37,3,FALSE)</f>
        <v>0</v>
      </c>
      <c r="E30" s="60">
        <f>VLOOKUP(C30,IDN_JOULE_2009!$A$2:$N$37,4,FALSE)</f>
        <v>0</v>
      </c>
      <c r="F30" s="60">
        <f>VLOOKUP(C30,IDN_JOULE_2009!$A$2:$N$37,7,FALSE)</f>
        <v>10839.664709516868</v>
      </c>
      <c r="G30" s="60">
        <f>VLOOKUP(C30,IDN_JOULE_2009!$A$2:$N$37,8,FALSE)</f>
        <v>23569.929372222621</v>
      </c>
      <c r="H30" s="60">
        <f>VLOOKUP(C30,IDN_JOULE_2009!$A$2:$N$37,9,FALSE)</f>
        <v>0</v>
      </c>
      <c r="I30" s="60">
        <f>VLOOKUP(C30,IDN_JOULE_2009!$A$2:$N$37,10,FALSE)</f>
        <v>7426.166847914139</v>
      </c>
      <c r="J30" s="60">
        <f>VLOOKUP(C30,IDN_JOULE_2009!$A$2:$N$37,11,FALSE)</f>
        <v>1718.9247214550626</v>
      </c>
      <c r="K30" s="60">
        <f>VLOOKUP(C30,IDN_JOULE_2009!$A$2:$N$37,13,FALSE)</f>
        <v>4566.0108791650655</v>
      </c>
      <c r="L30" s="60">
        <f>VLOOKUP(C30,IDN_JOULE_2009!$A$2:$N$37,14,FALSE)</f>
        <v>880.1721771312674</v>
      </c>
      <c r="M30" s="65">
        <f>VLOOKUP(C30,IDN_CO2_2009!$A$2:$N$37,3,FALSE)</f>
        <v>0</v>
      </c>
      <c r="N30" s="65">
        <f>VLOOKUP(C30,IDN_CO2_2009!$A$2:$N$37,4,FALSE)</f>
        <v>0</v>
      </c>
      <c r="O30" s="65">
        <f>VLOOKUP(C30,IDN_CO2_2009!$A$2:$N$37,7,FALSE)</f>
        <v>802.85783281821591</v>
      </c>
      <c r="P30" s="65">
        <f>VLOOKUP(C30,IDN_CO2_2009!$A$2:$N$37,8,FALSE)</f>
        <v>1633.3961054950278</v>
      </c>
      <c r="Q30" s="65">
        <f>VLOOKUP(C30,IDN_CO2_2009!$A$2:$N$37,9,FALSE)</f>
        <v>0</v>
      </c>
      <c r="R30" s="65">
        <f>VLOOKUP(C30,IDN_CO2_2009!$A$2:$N$37,10,FALSE)</f>
        <v>550.0314245355072</v>
      </c>
      <c r="S30" s="65">
        <f>VLOOKUP(C30,IDN_CO2_2009!$A$2:$N$37,11,FALSE)</f>
        <v>132.98747594990667</v>
      </c>
      <c r="T30" s="65">
        <f>VLOOKUP(C30,IDN_CO2_2009!$A$2:$N$37,13,FALSE)</f>
        <v>334.84079780543811</v>
      </c>
      <c r="U30" s="65">
        <f>VLOOKUP(C30,IDN_CO2_2009!$A$2:$N$37,14,FALSE)</f>
        <v>49.3776591370641</v>
      </c>
      <c r="V30" s="68">
        <f t="shared" si="13"/>
        <v>1</v>
      </c>
      <c r="W30" s="70">
        <f t="shared" si="14"/>
        <v>2</v>
      </c>
      <c r="X30" s="80">
        <f>D$30+D$31</f>
        <v>0</v>
      </c>
      <c r="Y30" s="81">
        <f t="shared" ref="Y30:AO31" si="50">E$30+E$31</f>
        <v>0</v>
      </c>
      <c r="Z30" s="81">
        <f t="shared" si="50"/>
        <v>18116.317975714021</v>
      </c>
      <c r="AA30" s="81">
        <f t="shared" si="50"/>
        <v>39392.393271852248</v>
      </c>
      <c r="AB30" s="81">
        <f t="shared" si="50"/>
        <v>0</v>
      </c>
      <c r="AC30" s="81">
        <f t="shared" si="50"/>
        <v>12411.343299152162</v>
      </c>
      <c r="AD30" s="81">
        <f t="shared" si="50"/>
        <v>2872.8367218642052</v>
      </c>
      <c r="AE30" s="81">
        <f t="shared" si="50"/>
        <v>7631.1682311445475</v>
      </c>
      <c r="AF30" s="82">
        <f t="shared" si="50"/>
        <v>1471.0306510022319</v>
      </c>
      <c r="AG30" s="80">
        <f t="shared" si="50"/>
        <v>0</v>
      </c>
      <c r="AH30" s="81">
        <f t="shared" si="50"/>
        <v>0</v>
      </c>
      <c r="AI30" s="81">
        <f t="shared" si="50"/>
        <v>1341.8152847345514</v>
      </c>
      <c r="AJ30" s="81">
        <f t="shared" si="50"/>
        <v>2729.8928537393613</v>
      </c>
      <c r="AK30" s="81">
        <f t="shared" si="50"/>
        <v>0</v>
      </c>
      <c r="AL30" s="81">
        <f t="shared" si="50"/>
        <v>919.26682702387006</v>
      </c>
      <c r="AM30" s="81">
        <f t="shared" si="50"/>
        <v>222.26180104822731</v>
      </c>
      <c r="AN30" s="81">
        <f t="shared" si="50"/>
        <v>559.6190036172668</v>
      </c>
      <c r="AO30" s="82">
        <f t="shared" si="50"/>
        <v>82.524819521225197</v>
      </c>
      <c r="AP30" s="77">
        <f t="shared" si="24"/>
        <v>81895.090150729418</v>
      </c>
      <c r="AQ30" s="97">
        <f t="shared" si="25"/>
        <v>5855.3805896845015</v>
      </c>
      <c r="AS30" s="92">
        <v>28</v>
      </c>
      <c r="AT30" s="93" t="s">
        <v>27</v>
      </c>
      <c r="AU30" s="78">
        <f t="shared" si="26"/>
        <v>2995.7443703186</v>
      </c>
      <c r="AV30" s="105">
        <f t="shared" si="27"/>
        <v>214.19572247777987</v>
      </c>
      <c r="AW30" s="77">
        <f t="shared" si="28"/>
        <v>0</v>
      </c>
      <c r="AX30" s="78">
        <f t="shared" si="29"/>
        <v>0</v>
      </c>
      <c r="AY30" s="78">
        <f t="shared" si="30"/>
        <v>0</v>
      </c>
      <c r="AZ30" s="78">
        <f t="shared" si="31"/>
        <v>0</v>
      </c>
      <c r="BA30" s="78">
        <f t="shared" si="32"/>
        <v>2995.7443703186</v>
      </c>
      <c r="BB30" s="78">
        <f t="shared" si="33"/>
        <v>0</v>
      </c>
      <c r="BC30" s="78">
        <f t="shared" si="34"/>
        <v>0</v>
      </c>
      <c r="BD30" s="78">
        <f t="shared" si="35"/>
        <v>0</v>
      </c>
      <c r="BE30" s="105">
        <f t="shared" si="36"/>
        <v>0</v>
      </c>
      <c r="BF30" s="77">
        <f t="shared" si="37"/>
        <v>0</v>
      </c>
      <c r="BG30" s="78">
        <f t="shared" si="38"/>
        <v>0</v>
      </c>
      <c r="BH30" s="78">
        <f t="shared" si="39"/>
        <v>0</v>
      </c>
      <c r="BI30" s="78">
        <f t="shared" si="40"/>
        <v>0</v>
      </c>
      <c r="BJ30" s="78">
        <f t="shared" si="41"/>
        <v>214.19572247777987</v>
      </c>
      <c r="BK30" s="78">
        <f t="shared" si="42"/>
        <v>0</v>
      </c>
      <c r="BL30" s="78">
        <f t="shared" si="43"/>
        <v>0</v>
      </c>
      <c r="BM30" s="78">
        <f t="shared" si="44"/>
        <v>0</v>
      </c>
      <c r="BN30" s="105">
        <f t="shared" si="45"/>
        <v>0</v>
      </c>
    </row>
    <row r="31" spans="1:66" x14ac:dyDescent="0.25">
      <c r="A31" s="59">
        <v>24</v>
      </c>
      <c r="B31" s="58" t="s">
        <v>23</v>
      </c>
      <c r="C31" t="s">
        <v>72</v>
      </c>
      <c r="D31" s="60">
        <f>VLOOKUP(C31,IDN_JOULE_2009!$A$2:$N$37,3,FALSE)</f>
        <v>0</v>
      </c>
      <c r="E31" s="60">
        <f>VLOOKUP(C31,IDN_JOULE_2009!$A$2:$N$37,4,FALSE)</f>
        <v>0</v>
      </c>
      <c r="F31" s="60">
        <f>VLOOKUP(C31,IDN_JOULE_2009!$A$2:$N$37,7,FALSE)</f>
        <v>7276.6532661971514</v>
      </c>
      <c r="G31" s="60">
        <f>VLOOKUP(C31,IDN_JOULE_2009!$A$2:$N$37,8,FALSE)</f>
        <v>15822.463899629627</v>
      </c>
      <c r="H31" s="60">
        <f>VLOOKUP(C31,IDN_JOULE_2009!$A$2:$N$37,9,FALSE)</f>
        <v>0</v>
      </c>
      <c r="I31" s="60">
        <f>VLOOKUP(C31,IDN_JOULE_2009!$A$2:$N$37,10,FALSE)</f>
        <v>4985.1764512380241</v>
      </c>
      <c r="J31" s="60">
        <f>VLOOKUP(C31,IDN_JOULE_2009!$A$2:$N$37,11,FALSE)</f>
        <v>1153.9120004091426</v>
      </c>
      <c r="K31" s="60">
        <f>VLOOKUP(C31,IDN_JOULE_2009!$A$2:$N$37,13,FALSE)</f>
        <v>3065.157351979482</v>
      </c>
      <c r="L31" s="60">
        <f>VLOOKUP(C31,IDN_JOULE_2009!$A$2:$N$37,14,FALSE)</f>
        <v>590.85847387096442</v>
      </c>
      <c r="M31" s="65">
        <f>VLOOKUP(C31,IDN_CO2_2009!$A$2:$N$37,3,FALSE)</f>
        <v>0</v>
      </c>
      <c r="N31" s="65">
        <f>VLOOKUP(C31,IDN_CO2_2009!$A$2:$N$37,4,FALSE)</f>
        <v>0</v>
      </c>
      <c r="O31" s="65">
        <f>VLOOKUP(C31,IDN_CO2_2009!$A$2:$N$37,7,FALSE)</f>
        <v>538.95745191633557</v>
      </c>
      <c r="P31" s="65">
        <f>VLOOKUP(C31,IDN_CO2_2009!$A$2:$N$37,8,FALSE)</f>
        <v>1096.4967482443333</v>
      </c>
      <c r="Q31" s="65">
        <f>VLOOKUP(C31,IDN_CO2_2009!$A$2:$N$37,9,FALSE)</f>
        <v>0</v>
      </c>
      <c r="R31" s="65">
        <f>VLOOKUP(C31,IDN_CO2_2009!$A$2:$N$37,10,FALSE)</f>
        <v>369.23540248836292</v>
      </c>
      <c r="S31" s="65">
        <f>VLOOKUP(C31,IDN_CO2_2009!$A$2:$N$37,11,FALSE)</f>
        <v>89.274325098320659</v>
      </c>
      <c r="T31" s="65">
        <f>VLOOKUP(C31,IDN_CO2_2009!$A$2:$N$37,13,FALSE)</f>
        <v>224.77820581182868</v>
      </c>
      <c r="U31" s="65">
        <f>VLOOKUP(C31,IDN_CO2_2009!$A$2:$N$37,14,FALSE)</f>
        <v>33.147160384161104</v>
      </c>
      <c r="V31" s="68">
        <f t="shared" si="13"/>
        <v>1</v>
      </c>
      <c r="W31" s="70">
        <f t="shared" si="14"/>
        <v>2</v>
      </c>
      <c r="X31" s="80">
        <f>D$30+D$31</f>
        <v>0</v>
      </c>
      <c r="Y31" s="81">
        <f t="shared" si="50"/>
        <v>0</v>
      </c>
      <c r="Z31" s="81">
        <f t="shared" si="50"/>
        <v>18116.317975714021</v>
      </c>
      <c r="AA31" s="81">
        <f t="shared" si="50"/>
        <v>39392.393271852248</v>
      </c>
      <c r="AB31" s="81">
        <f t="shared" si="50"/>
        <v>0</v>
      </c>
      <c r="AC31" s="81">
        <f t="shared" si="50"/>
        <v>12411.343299152162</v>
      </c>
      <c r="AD31" s="81">
        <f t="shared" si="50"/>
        <v>2872.8367218642052</v>
      </c>
      <c r="AE31" s="81">
        <f t="shared" si="50"/>
        <v>7631.1682311445475</v>
      </c>
      <c r="AF31" s="82">
        <f t="shared" si="50"/>
        <v>1471.0306510022319</v>
      </c>
      <c r="AG31" s="80">
        <f t="shared" si="50"/>
        <v>0</v>
      </c>
      <c r="AH31" s="81">
        <f t="shared" si="50"/>
        <v>0</v>
      </c>
      <c r="AI31" s="81">
        <f t="shared" si="50"/>
        <v>1341.8152847345514</v>
      </c>
      <c r="AJ31" s="81">
        <f t="shared" si="50"/>
        <v>2729.8928537393613</v>
      </c>
      <c r="AK31" s="81">
        <f t="shared" si="50"/>
        <v>0</v>
      </c>
      <c r="AL31" s="81">
        <f t="shared" si="50"/>
        <v>919.26682702387006</v>
      </c>
      <c r="AM31" s="81">
        <f t="shared" si="50"/>
        <v>222.26180104822731</v>
      </c>
      <c r="AN31" s="81">
        <f t="shared" si="50"/>
        <v>559.6190036172668</v>
      </c>
      <c r="AO31" s="82">
        <f t="shared" si="50"/>
        <v>82.524819521225197</v>
      </c>
      <c r="AP31" s="77">
        <f t="shared" si="24"/>
        <v>81895.090150729418</v>
      </c>
      <c r="AQ31" s="97">
        <f t="shared" si="25"/>
        <v>5855.3805896845015</v>
      </c>
      <c r="AS31" s="92">
        <v>29</v>
      </c>
      <c r="AT31" s="93" t="s">
        <v>28</v>
      </c>
      <c r="AU31" s="78">
        <f t="shared" si="26"/>
        <v>25771.299357708682</v>
      </c>
      <c r="AV31" s="105">
        <f t="shared" si="27"/>
        <v>1907.7416906533192</v>
      </c>
      <c r="AW31" s="77">
        <f t="shared" si="28"/>
        <v>0</v>
      </c>
      <c r="AX31" s="78">
        <f t="shared" si="29"/>
        <v>0</v>
      </c>
      <c r="AY31" s="78">
        <f t="shared" si="30"/>
        <v>25544.572732364824</v>
      </c>
      <c r="AZ31" s="78">
        <f t="shared" si="31"/>
        <v>0</v>
      </c>
      <c r="BA31" s="78">
        <f t="shared" si="32"/>
        <v>0</v>
      </c>
      <c r="BB31" s="78">
        <f t="shared" si="33"/>
        <v>90.218102637514676</v>
      </c>
      <c r="BC31" s="78">
        <f t="shared" si="34"/>
        <v>20.882661287087835</v>
      </c>
      <c r="BD31" s="78">
        <f t="shared" si="35"/>
        <v>55.47099150569457</v>
      </c>
      <c r="BE31" s="105">
        <f t="shared" si="36"/>
        <v>60.154869913559644</v>
      </c>
      <c r="BF31" s="77">
        <f t="shared" si="37"/>
        <v>0</v>
      </c>
      <c r="BG31" s="78">
        <f t="shared" si="38"/>
        <v>0</v>
      </c>
      <c r="BH31" s="78">
        <f t="shared" si="39"/>
        <v>1892.0013537104878</v>
      </c>
      <c r="BI31" s="78">
        <f t="shared" si="40"/>
        <v>0</v>
      </c>
      <c r="BJ31" s="78">
        <f t="shared" si="41"/>
        <v>0</v>
      </c>
      <c r="BK31" s="78">
        <f t="shared" si="42"/>
        <v>6.6821541353519196</v>
      </c>
      <c r="BL31" s="78">
        <f t="shared" si="43"/>
        <v>1.6156218949110288</v>
      </c>
      <c r="BM31" s="78">
        <f t="shared" si="44"/>
        <v>4.0678727104176016</v>
      </c>
      <c r="BN31" s="105">
        <f t="shared" si="45"/>
        <v>3.3746882021506956</v>
      </c>
    </row>
    <row r="32" spans="1:66" x14ac:dyDescent="0.25">
      <c r="A32" s="59">
        <v>25</v>
      </c>
      <c r="B32" t="s">
        <v>24</v>
      </c>
      <c r="C32" t="s">
        <v>73</v>
      </c>
      <c r="D32" s="60">
        <f>VLOOKUP(C32,IDN_JOULE_2009!$A$2:$N$37,3,FALSE)</f>
        <v>0</v>
      </c>
      <c r="E32" s="60">
        <f>VLOOKUP(C32,IDN_JOULE_2009!$A$2:$N$37,4,FALSE)</f>
        <v>0</v>
      </c>
      <c r="F32" s="60">
        <f>VLOOKUP(C32,IDN_JOULE_2009!$A$2:$N$37,7,FALSE)</f>
        <v>6514.9895233087709</v>
      </c>
      <c r="G32" s="60">
        <f>VLOOKUP(C32,IDN_JOULE_2009!$A$2:$N$37,8,FALSE)</f>
        <v>14166.290843880008</v>
      </c>
      <c r="H32" s="60">
        <f>VLOOKUP(C32,IDN_JOULE_2009!$A$2:$N$37,9,FALSE)</f>
        <v>0</v>
      </c>
      <c r="I32" s="60">
        <f>VLOOKUP(C32,IDN_JOULE_2009!$A$2:$N$37,10,FALSE)</f>
        <v>5637.8066640967072</v>
      </c>
      <c r="J32" s="60">
        <f>VLOOKUP(C32,IDN_JOULE_2009!$A$2:$N$37,11,FALSE)</f>
        <v>1304.9754265111785</v>
      </c>
      <c r="K32" s="60">
        <f>VLOOKUP(C32,IDN_JOULE_2009!$A$2:$N$37,13,FALSE)</f>
        <v>3466.4298675332561</v>
      </c>
      <c r="L32" s="60">
        <f>VLOOKUP(C32,IDN_JOULE_2009!$A$2:$N$37,14,FALSE)</f>
        <v>563.90870526452397</v>
      </c>
      <c r="M32" s="65">
        <f>VLOOKUP(C32,IDN_CO2_2009!$A$2:$N$37,3,FALSE)</f>
        <v>0</v>
      </c>
      <c r="N32" s="65">
        <f>VLOOKUP(C32,IDN_CO2_2009!$A$2:$N$37,4,FALSE)</f>
        <v>0</v>
      </c>
      <c r="O32" s="65">
        <f>VLOOKUP(C32,IDN_CO2_2009!$A$2:$N$37,7,FALSE)</f>
        <v>482.54355735973621</v>
      </c>
      <c r="P32" s="65">
        <f>VLOOKUP(C32,IDN_CO2_2009!$A$2:$N$37,8,FALSE)</f>
        <v>981.72395548088457</v>
      </c>
      <c r="Q32" s="65">
        <f>VLOOKUP(C32,IDN_CO2_2009!$A$2:$N$37,9,FALSE)</f>
        <v>0</v>
      </c>
      <c r="R32" s="65">
        <f>VLOOKUP(C32,IDN_CO2_2009!$A$2:$N$37,10,FALSE)</f>
        <v>417.57354692076274</v>
      </c>
      <c r="S32" s="65">
        <f>VLOOKUP(C32,IDN_CO2_2009!$A$2:$N$37,11,FALSE)</f>
        <v>100.96159883108152</v>
      </c>
      <c r="T32" s="65">
        <f>VLOOKUP(C32,IDN_CO2_2009!$A$2:$N$37,13,FALSE)</f>
        <v>254.20485695243877</v>
      </c>
      <c r="U32" s="65">
        <f>VLOOKUP(C32,IDN_CO2_2009!$A$2:$N$37,14,FALSE)</f>
        <v>31.635278365339794</v>
      </c>
      <c r="V32" s="68">
        <f t="shared" si="13"/>
        <v>1</v>
      </c>
      <c r="W32" s="68">
        <f t="shared" si="14"/>
        <v>1</v>
      </c>
      <c r="X32" s="77">
        <f>IF($W32=1,D32/$V32, "NR")</f>
        <v>0</v>
      </c>
      <c r="Y32" s="78">
        <f>IF($W32=1,E32/$V32, "NR")</f>
        <v>0</v>
      </c>
      <c r="Z32" s="78">
        <f>IF($W32=1,F32/$V32, "NR")</f>
        <v>6514.9895233087709</v>
      </c>
      <c r="AA32" s="78">
        <f>IF($W32=1,G32/$V32, "NR")</f>
        <v>14166.290843880008</v>
      </c>
      <c r="AB32" s="78">
        <f>IF($W32=1,H32/$V32, "NR")</f>
        <v>0</v>
      </c>
      <c r="AC32" s="78">
        <f>IF($W32=1,I32/$V32, "NR")</f>
        <v>5637.8066640967072</v>
      </c>
      <c r="AD32" s="78">
        <f>IF($W32=1,J32/$V32, "NR")</f>
        <v>1304.9754265111785</v>
      </c>
      <c r="AE32" s="78">
        <f>IF($W32=1,K32/$V32, "NR")</f>
        <v>3466.4298675332561</v>
      </c>
      <c r="AF32" s="79">
        <f>IF($W32=1,L32/$V32, "NR")</f>
        <v>563.90870526452397</v>
      </c>
      <c r="AG32" s="92">
        <f t="shared" si="15"/>
        <v>0</v>
      </c>
      <c r="AH32" s="93">
        <f t="shared" si="16"/>
        <v>0</v>
      </c>
      <c r="AI32" s="93">
        <f t="shared" si="17"/>
        <v>482.54355735973621</v>
      </c>
      <c r="AJ32" s="93">
        <f t="shared" si="18"/>
        <v>981.72395548088457</v>
      </c>
      <c r="AK32" s="93">
        <f t="shared" si="19"/>
        <v>0</v>
      </c>
      <c r="AL32" s="93">
        <f t="shared" si="20"/>
        <v>417.57354692076274</v>
      </c>
      <c r="AM32" s="93">
        <f t="shared" si="21"/>
        <v>100.96159883108152</v>
      </c>
      <c r="AN32" s="93">
        <f t="shared" si="22"/>
        <v>254.20485695243877</v>
      </c>
      <c r="AO32" s="79">
        <f t="shared" si="23"/>
        <v>31.635278365339794</v>
      </c>
      <c r="AP32" s="77">
        <f t="shared" si="24"/>
        <v>31654.401030594443</v>
      </c>
      <c r="AQ32" s="97">
        <f t="shared" si="25"/>
        <v>2268.6427939102437</v>
      </c>
      <c r="AS32" s="92">
        <v>30</v>
      </c>
      <c r="AT32" s="93" t="s">
        <v>29</v>
      </c>
      <c r="AU32" s="78">
        <f t="shared" si="26"/>
        <v>15247.777696669536</v>
      </c>
      <c r="AV32" s="105">
        <f t="shared" si="27"/>
        <v>1126.2525451195293</v>
      </c>
      <c r="AW32" s="77">
        <f t="shared" si="28"/>
        <v>0</v>
      </c>
      <c r="AX32" s="78">
        <f t="shared" si="29"/>
        <v>0</v>
      </c>
      <c r="AY32" s="78">
        <f t="shared" si="30"/>
        <v>13866.410590149444</v>
      </c>
      <c r="AZ32" s="78">
        <f t="shared" si="31"/>
        <v>0</v>
      </c>
      <c r="BA32" s="78">
        <f t="shared" si="32"/>
        <v>0</v>
      </c>
      <c r="BB32" s="78">
        <f t="shared" si="33"/>
        <v>648.61564683422694</v>
      </c>
      <c r="BC32" s="78">
        <f t="shared" si="34"/>
        <v>150.13417997456904</v>
      </c>
      <c r="BD32" s="78">
        <f t="shared" si="35"/>
        <v>398.8041422303375</v>
      </c>
      <c r="BE32" s="105">
        <f t="shared" si="36"/>
        <v>183.81313748095735</v>
      </c>
      <c r="BF32" s="77">
        <f t="shared" si="37"/>
        <v>0</v>
      </c>
      <c r="BG32" s="78">
        <f t="shared" si="38"/>
        <v>0</v>
      </c>
      <c r="BH32" s="78">
        <f t="shared" si="39"/>
        <v>1027.0388110437352</v>
      </c>
      <c r="BI32" s="78">
        <f t="shared" si="40"/>
        <v>0</v>
      </c>
      <c r="BJ32" s="78">
        <f t="shared" si="41"/>
        <v>0</v>
      </c>
      <c r="BK32" s="78">
        <f t="shared" si="42"/>
        <v>48.040798908855066</v>
      </c>
      <c r="BL32" s="78">
        <f t="shared" si="43"/>
        <v>11.615381057365825</v>
      </c>
      <c r="BM32" s="78">
        <f t="shared" si="44"/>
        <v>29.245637096891418</v>
      </c>
      <c r="BN32" s="105">
        <f t="shared" si="45"/>
        <v>10.311917012681707</v>
      </c>
    </row>
    <row r="33" spans="1:66" x14ac:dyDescent="0.25">
      <c r="A33" s="59">
        <v>26</v>
      </c>
      <c r="B33" t="s">
        <v>25</v>
      </c>
      <c r="C33" t="s">
        <v>74</v>
      </c>
      <c r="D33" s="60">
        <f>VLOOKUP(C33,IDN_JOULE_2009!$A$2:$N$37,3,FALSE)</f>
        <v>0</v>
      </c>
      <c r="E33" s="60">
        <f>VLOOKUP(C33,IDN_JOULE_2009!$A$2:$N$37,4,FALSE)</f>
        <v>0</v>
      </c>
      <c r="F33" s="60">
        <f>VLOOKUP(C33,IDN_JOULE_2009!$A$2:$N$37,7,FALSE)</f>
        <v>204613.50804679262</v>
      </c>
      <c r="G33" s="60">
        <f>VLOOKUP(C33,IDN_JOULE_2009!$A$2:$N$37,8,FALSE)</f>
        <v>0</v>
      </c>
      <c r="H33" s="60">
        <f>VLOOKUP(C33,IDN_JOULE_2009!$A$2:$N$37,9,FALSE)</f>
        <v>0</v>
      </c>
      <c r="I33" s="60">
        <f>VLOOKUP(C33,IDN_JOULE_2009!$A$2:$N$37,10,FALSE)</f>
        <v>0</v>
      </c>
      <c r="J33" s="60">
        <f>VLOOKUP(C33,IDN_JOULE_2009!$A$2:$N$37,11,FALSE)</f>
        <v>0</v>
      </c>
      <c r="K33" s="60">
        <f>VLOOKUP(C33,IDN_JOULE_2009!$A$2:$N$37,13,FALSE)</f>
        <v>0</v>
      </c>
      <c r="L33" s="60">
        <f>VLOOKUP(C33,IDN_JOULE_2009!$A$2:$N$37,14,FALSE)</f>
        <v>322.09052400000002</v>
      </c>
      <c r="M33" s="65">
        <f>VLOOKUP(C33,IDN_CO2_2009!$A$2:$N$37,3,FALSE)</f>
        <v>0</v>
      </c>
      <c r="N33" s="65">
        <f>VLOOKUP(C33,IDN_CO2_2009!$A$2:$N$37,4,FALSE)</f>
        <v>0</v>
      </c>
      <c r="O33" s="65">
        <f>VLOOKUP(C33,IDN_CO2_2009!$A$2:$N$37,7,FALSE)</f>
        <v>15155.040495999105</v>
      </c>
      <c r="P33" s="65">
        <f>VLOOKUP(C33,IDN_CO2_2009!$A$2:$N$37,8,FALSE)</f>
        <v>0</v>
      </c>
      <c r="Q33" s="65">
        <f>VLOOKUP(C33,IDN_CO2_2009!$A$2:$N$37,9,FALSE)</f>
        <v>0</v>
      </c>
      <c r="R33" s="65">
        <f>VLOOKUP(C33,IDN_CO2_2009!$A$2:$N$37,10,FALSE)</f>
        <v>0</v>
      </c>
      <c r="S33" s="65">
        <f>VLOOKUP(C33,IDN_CO2_2009!$A$2:$N$37,11,FALSE)</f>
        <v>0</v>
      </c>
      <c r="T33" s="65">
        <f>VLOOKUP(C33,IDN_CO2_2009!$A$2:$N$37,13,FALSE)</f>
        <v>0</v>
      </c>
      <c r="U33" s="65">
        <f>VLOOKUP(C33,IDN_CO2_2009!$A$2:$N$37,14,FALSE)</f>
        <v>18.069278396400001</v>
      </c>
      <c r="V33" s="68">
        <f t="shared" si="13"/>
        <v>1</v>
      </c>
      <c r="W33" s="68">
        <f t="shared" si="14"/>
        <v>1</v>
      </c>
      <c r="X33" s="77">
        <f>IF($W33=1,D33/$V33, "NR")</f>
        <v>0</v>
      </c>
      <c r="Y33" s="78">
        <f>IF($W33=1,E33/$V33, "NR")</f>
        <v>0</v>
      </c>
      <c r="Z33" s="78">
        <f>IF($W33=1,F33/$V33, "NR")</f>
        <v>204613.50804679262</v>
      </c>
      <c r="AA33" s="78">
        <f>IF($W33=1,G33/$V33, "NR")</f>
        <v>0</v>
      </c>
      <c r="AB33" s="78">
        <f>IF($W33=1,H33/$V33, "NR")</f>
        <v>0</v>
      </c>
      <c r="AC33" s="78">
        <f>IF($W33=1,I33/$V33, "NR")</f>
        <v>0</v>
      </c>
      <c r="AD33" s="78">
        <f>IF($W33=1,J33/$V33, "NR")</f>
        <v>0</v>
      </c>
      <c r="AE33" s="78">
        <f>IF($W33=1,K33/$V33, "NR")</f>
        <v>0</v>
      </c>
      <c r="AF33" s="79">
        <f>IF($W33=1,L33/$V33, "NR")</f>
        <v>322.09052400000002</v>
      </c>
      <c r="AG33" s="92">
        <f t="shared" si="15"/>
        <v>0</v>
      </c>
      <c r="AH33" s="93">
        <f t="shared" si="16"/>
        <v>0</v>
      </c>
      <c r="AI33" s="93">
        <f t="shared" si="17"/>
        <v>15155.040495999105</v>
      </c>
      <c r="AJ33" s="93">
        <f t="shared" si="18"/>
        <v>0</v>
      </c>
      <c r="AK33" s="93">
        <f t="shared" si="19"/>
        <v>0</v>
      </c>
      <c r="AL33" s="93">
        <f t="shared" si="20"/>
        <v>0</v>
      </c>
      <c r="AM33" s="93">
        <f t="shared" si="21"/>
        <v>0</v>
      </c>
      <c r="AN33" s="93">
        <f t="shared" si="22"/>
        <v>0</v>
      </c>
      <c r="AO33" s="79">
        <f t="shared" si="23"/>
        <v>18.069278396400001</v>
      </c>
      <c r="AP33" s="77">
        <f t="shared" si="24"/>
        <v>204935.59857079262</v>
      </c>
      <c r="AQ33" s="97">
        <f t="shared" si="25"/>
        <v>15173.109774395505</v>
      </c>
      <c r="AS33" s="92">
        <v>31</v>
      </c>
      <c r="AT33" s="93" t="s">
        <v>30</v>
      </c>
      <c r="AU33" s="78">
        <f t="shared" si="26"/>
        <v>3321.2123469963622</v>
      </c>
      <c r="AV33" s="105">
        <f t="shared" si="27"/>
        <v>236.98771032517794</v>
      </c>
      <c r="AW33" s="77">
        <f t="shared" si="28"/>
        <v>0</v>
      </c>
      <c r="AX33" s="78">
        <f t="shared" si="29"/>
        <v>0</v>
      </c>
      <c r="AY33" s="78">
        <f t="shared" si="30"/>
        <v>791.2981430407724</v>
      </c>
      <c r="AZ33" s="78">
        <f t="shared" si="31"/>
        <v>1720.6105395000914</v>
      </c>
      <c r="BA33" s="78">
        <f t="shared" si="32"/>
        <v>0</v>
      </c>
      <c r="BB33" s="78">
        <f t="shared" si="33"/>
        <v>410.28989648180072</v>
      </c>
      <c r="BC33" s="78">
        <f t="shared" si="34"/>
        <v>94.969243281128058</v>
      </c>
      <c r="BD33" s="78">
        <f t="shared" si="35"/>
        <v>252.26852147465658</v>
      </c>
      <c r="BE33" s="105">
        <f t="shared" si="36"/>
        <v>51.776003217913122</v>
      </c>
      <c r="BF33" s="77">
        <f t="shared" si="37"/>
        <v>0</v>
      </c>
      <c r="BG33" s="78">
        <f t="shared" si="38"/>
        <v>0</v>
      </c>
      <c r="BH33" s="78">
        <f t="shared" si="39"/>
        <v>58.608815794553202</v>
      </c>
      <c r="BI33" s="78">
        <f t="shared" si="40"/>
        <v>119.23831038735634</v>
      </c>
      <c r="BJ33" s="78">
        <f t="shared" si="41"/>
        <v>0</v>
      </c>
      <c r="BK33" s="78">
        <f t="shared" si="42"/>
        <v>30.388804999418703</v>
      </c>
      <c r="BL33" s="78">
        <f t="shared" si="43"/>
        <v>7.3474537885166082</v>
      </c>
      <c r="BM33" s="78">
        <f t="shared" si="44"/>
        <v>18.49969157480815</v>
      </c>
      <c r="BN33" s="105">
        <f t="shared" si="45"/>
        <v>2.904633780524926</v>
      </c>
    </row>
    <row r="34" spans="1:66" x14ac:dyDescent="0.25">
      <c r="A34" s="59">
        <v>27</v>
      </c>
      <c r="B34" t="s">
        <v>26</v>
      </c>
      <c r="C34" t="s">
        <v>75</v>
      </c>
      <c r="D34" s="60">
        <f>VLOOKUP(C34,IDN_JOULE_2009!$A$2:$N$37,3,FALSE)</f>
        <v>0</v>
      </c>
      <c r="E34" s="60">
        <f>VLOOKUP(C34,IDN_JOULE_2009!$A$2:$N$37,4,FALSE)</f>
        <v>0</v>
      </c>
      <c r="F34" s="60">
        <f>VLOOKUP(C34,IDN_JOULE_2009!$A$2:$N$37,7,FALSE)</f>
        <v>0</v>
      </c>
      <c r="G34" s="60">
        <f>VLOOKUP(C34,IDN_JOULE_2009!$A$2:$N$37,8,FALSE)</f>
        <v>0</v>
      </c>
      <c r="H34" s="60">
        <f>VLOOKUP(C34,IDN_JOULE_2009!$A$2:$N$37,9,FALSE)</f>
        <v>0</v>
      </c>
      <c r="I34" s="60">
        <f>VLOOKUP(C34,IDN_JOULE_2009!$A$2:$N$37,10,FALSE)</f>
        <v>80234.53160033391</v>
      </c>
      <c r="J34" s="60">
        <f>VLOOKUP(C34,IDN_JOULE_2009!$A$2:$N$37,11,FALSE)</f>
        <v>14055.975225426644</v>
      </c>
      <c r="K34" s="60">
        <f>VLOOKUP(C34,IDN_JOULE_2009!$A$2:$N$37,13,FALSE)</f>
        <v>34.69185860514829</v>
      </c>
      <c r="L34" s="60">
        <f>VLOOKUP(C34,IDN_JOULE_2009!$A$2:$N$37,14,FALSE)</f>
        <v>0</v>
      </c>
      <c r="M34" s="65">
        <f>VLOOKUP(C34,IDN_CO2_2009!$A$2:$N$37,3,FALSE)</f>
        <v>0</v>
      </c>
      <c r="N34" s="65">
        <f>VLOOKUP(C34,IDN_CO2_2009!$A$2:$N$37,4,FALSE)</f>
        <v>0</v>
      </c>
      <c r="O34" s="65">
        <f>VLOOKUP(C34,IDN_CO2_2009!$A$2:$N$37,7,FALSE)</f>
        <v>0</v>
      </c>
      <c r="P34" s="65">
        <f>VLOOKUP(C34,IDN_CO2_2009!$A$2:$N$37,8,FALSE)</f>
        <v>0</v>
      </c>
      <c r="Q34" s="65">
        <f>VLOOKUP(C34,IDN_CO2_2009!$A$2:$N$37,9,FALSE)</f>
        <v>0</v>
      </c>
      <c r="R34" s="65">
        <f>VLOOKUP(C34,IDN_CO2_2009!$A$2:$N$37,10,FALSE)</f>
        <v>5942.7043071980643</v>
      </c>
      <c r="S34" s="65">
        <f>VLOOKUP(C34,IDN_CO2_2009!$A$2:$N$37,11,FALSE)</f>
        <v>1087.463949940508</v>
      </c>
      <c r="T34" s="65">
        <f>VLOOKUP(C34,IDN_CO2_2009!$A$2:$N$37,13,FALSE)</f>
        <v>2.5440696310442079</v>
      </c>
      <c r="U34" s="65">
        <f>VLOOKUP(C34,IDN_CO2_2009!$A$2:$N$37,14,FALSE)</f>
        <v>0</v>
      </c>
      <c r="V34" s="68">
        <f t="shared" si="13"/>
        <v>1</v>
      </c>
      <c r="W34" s="68">
        <f t="shared" si="14"/>
        <v>1</v>
      </c>
      <c r="X34" s="77">
        <f>IF($W34=1,D34/$V34, "NR")</f>
        <v>0</v>
      </c>
      <c r="Y34" s="78">
        <f>IF($W34=1,E34/$V34, "NR")</f>
        <v>0</v>
      </c>
      <c r="Z34" s="78">
        <f>IF($W34=1,F34/$V34, "NR")</f>
        <v>0</v>
      </c>
      <c r="AA34" s="78">
        <f>IF($W34=1,G34/$V34, "NR")</f>
        <v>0</v>
      </c>
      <c r="AB34" s="78">
        <f>IF($W34=1,H34/$V34, "NR")</f>
        <v>0</v>
      </c>
      <c r="AC34" s="78">
        <f>IF($W34=1,I34/$V34, "NR")</f>
        <v>80234.53160033391</v>
      </c>
      <c r="AD34" s="78">
        <f>IF($W34=1,J34/$V34, "NR")</f>
        <v>14055.975225426644</v>
      </c>
      <c r="AE34" s="78">
        <f>IF($W34=1,K34/$V34, "NR")</f>
        <v>34.69185860514829</v>
      </c>
      <c r="AF34" s="79">
        <f>IF($W34=1,L34/$V34, "NR")</f>
        <v>0</v>
      </c>
      <c r="AG34" s="92">
        <f t="shared" si="15"/>
        <v>0</v>
      </c>
      <c r="AH34" s="93">
        <f t="shared" si="16"/>
        <v>0</v>
      </c>
      <c r="AI34" s="93">
        <f t="shared" si="17"/>
        <v>0</v>
      </c>
      <c r="AJ34" s="93">
        <f t="shared" si="18"/>
        <v>0</v>
      </c>
      <c r="AK34" s="93">
        <f t="shared" si="19"/>
        <v>0</v>
      </c>
      <c r="AL34" s="93">
        <f t="shared" si="20"/>
        <v>5942.7043071980643</v>
      </c>
      <c r="AM34" s="93">
        <f t="shared" si="21"/>
        <v>1087.463949940508</v>
      </c>
      <c r="AN34" s="93">
        <f t="shared" si="22"/>
        <v>2.5440696310442079</v>
      </c>
      <c r="AO34" s="79">
        <f t="shared" si="23"/>
        <v>0</v>
      </c>
      <c r="AP34" s="77">
        <f t="shared" si="24"/>
        <v>94325.198684365707</v>
      </c>
      <c r="AQ34" s="97">
        <f t="shared" si="25"/>
        <v>7032.7123267696161</v>
      </c>
      <c r="AS34" s="92">
        <v>32</v>
      </c>
      <c r="AT34" s="93" t="s">
        <v>31</v>
      </c>
      <c r="AU34" s="78">
        <f t="shared" si="26"/>
        <v>13310.465084581405</v>
      </c>
      <c r="AV34" s="105">
        <f t="shared" si="27"/>
        <v>966.19061347961394</v>
      </c>
      <c r="AW34" s="77">
        <f t="shared" si="28"/>
        <v>0</v>
      </c>
      <c r="AX34" s="78">
        <f t="shared" si="29"/>
        <v>0</v>
      </c>
      <c r="AY34" s="78">
        <f t="shared" si="30"/>
        <v>1133.174946706974</v>
      </c>
      <c r="AZ34" s="78">
        <f t="shared" si="31"/>
        <v>2463.992584273019</v>
      </c>
      <c r="BA34" s="78">
        <f t="shared" si="32"/>
        <v>0</v>
      </c>
      <c r="BB34" s="78">
        <f t="shared" si="33"/>
        <v>4975.013752362881</v>
      </c>
      <c r="BC34" s="78">
        <f t="shared" si="34"/>
        <v>1151.5596543481197</v>
      </c>
      <c r="BD34" s="78">
        <f t="shared" si="35"/>
        <v>3058.9087725204004</v>
      </c>
      <c r="BE34" s="105">
        <f t="shared" si="36"/>
        <v>527.81537437001157</v>
      </c>
      <c r="BF34" s="77">
        <f t="shared" si="37"/>
        <v>0</v>
      </c>
      <c r="BG34" s="78">
        <f t="shared" si="38"/>
        <v>0</v>
      </c>
      <c r="BH34" s="78">
        <f t="shared" si="39"/>
        <v>83.930491052763188</v>
      </c>
      <c r="BI34" s="78">
        <f t="shared" si="40"/>
        <v>170.7546860901202</v>
      </c>
      <c r="BJ34" s="78">
        <f t="shared" si="41"/>
        <v>0</v>
      </c>
      <c r="BK34" s="78">
        <f t="shared" si="42"/>
        <v>368.48268525834396</v>
      </c>
      <c r="BL34" s="78">
        <f t="shared" si="43"/>
        <v>89.092331924732861</v>
      </c>
      <c r="BM34" s="78">
        <f t="shared" si="44"/>
        <v>224.31997665149603</v>
      </c>
      <c r="BN34" s="105">
        <f t="shared" si="45"/>
        <v>29.610442502157646</v>
      </c>
    </row>
    <row r="35" spans="1:66" x14ac:dyDescent="0.25">
      <c r="A35" s="59">
        <v>28</v>
      </c>
      <c r="B35" t="s">
        <v>27</v>
      </c>
      <c r="C35" t="s">
        <v>76</v>
      </c>
      <c r="D35" s="60">
        <f>VLOOKUP(C35,IDN_JOULE_2009!$A$2:$N$37,3,FALSE)</f>
        <v>0</v>
      </c>
      <c r="E35" s="60">
        <f>VLOOKUP(C35,IDN_JOULE_2009!$A$2:$N$37,4,FALSE)</f>
        <v>0</v>
      </c>
      <c r="F35" s="60">
        <f>VLOOKUP(C35,IDN_JOULE_2009!$A$2:$N$37,7,FALSE)</f>
        <v>0</v>
      </c>
      <c r="G35" s="60">
        <f>VLOOKUP(C35,IDN_JOULE_2009!$A$2:$N$37,8,FALSE)</f>
        <v>0</v>
      </c>
      <c r="H35" s="60">
        <f>VLOOKUP(C35,IDN_JOULE_2009!$A$2:$N$37,9,FALSE)</f>
        <v>2995.7443703186</v>
      </c>
      <c r="I35" s="60">
        <f>VLOOKUP(C35,IDN_JOULE_2009!$A$2:$N$37,10,FALSE)</f>
        <v>0</v>
      </c>
      <c r="J35" s="60">
        <f>VLOOKUP(C35,IDN_JOULE_2009!$A$2:$N$37,11,FALSE)</f>
        <v>0</v>
      </c>
      <c r="K35" s="60">
        <f>VLOOKUP(C35,IDN_JOULE_2009!$A$2:$N$37,13,FALSE)</f>
        <v>0</v>
      </c>
      <c r="L35" s="60">
        <f>VLOOKUP(C35,IDN_JOULE_2009!$A$2:$N$37,14,FALSE)</f>
        <v>0</v>
      </c>
      <c r="M35" s="65">
        <f>VLOOKUP(C35,IDN_CO2_2009!$A$2:$N$37,3,FALSE)</f>
        <v>0</v>
      </c>
      <c r="N35" s="65">
        <f>VLOOKUP(C35,IDN_CO2_2009!$A$2:$N$37,4,FALSE)</f>
        <v>0</v>
      </c>
      <c r="O35" s="65">
        <f>VLOOKUP(C35,IDN_CO2_2009!$A$2:$N$37,7,FALSE)</f>
        <v>0</v>
      </c>
      <c r="P35" s="65">
        <f>VLOOKUP(C35,IDN_CO2_2009!$A$2:$N$37,8,FALSE)</f>
        <v>0</v>
      </c>
      <c r="Q35" s="65">
        <f>VLOOKUP(C35,IDN_CO2_2009!$A$2:$N$37,9,FALSE)</f>
        <v>214.19572247777987</v>
      </c>
      <c r="R35" s="65">
        <f>VLOOKUP(C35,IDN_CO2_2009!$A$2:$N$37,10,FALSE)</f>
        <v>0</v>
      </c>
      <c r="S35" s="65">
        <f>VLOOKUP(C35,IDN_CO2_2009!$A$2:$N$37,11,FALSE)</f>
        <v>0</v>
      </c>
      <c r="T35" s="65">
        <f>VLOOKUP(C35,IDN_CO2_2009!$A$2:$N$37,13,FALSE)</f>
        <v>0</v>
      </c>
      <c r="U35" s="65">
        <f>VLOOKUP(C35,IDN_CO2_2009!$A$2:$N$37,14,FALSE)</f>
        <v>0</v>
      </c>
      <c r="V35" s="68">
        <f t="shared" si="13"/>
        <v>1</v>
      </c>
      <c r="W35" s="68">
        <f t="shared" si="14"/>
        <v>1</v>
      </c>
      <c r="X35" s="77">
        <f>IF($W35=1,D35/$V35, "NR")</f>
        <v>0</v>
      </c>
      <c r="Y35" s="78">
        <f>IF($W35=1,E35/$V35, "NR")</f>
        <v>0</v>
      </c>
      <c r="Z35" s="78">
        <f>IF($W35=1,F35/$V35, "NR")</f>
        <v>0</v>
      </c>
      <c r="AA35" s="78">
        <f>IF($W35=1,G35/$V35, "NR")</f>
        <v>0</v>
      </c>
      <c r="AB35" s="78">
        <f>IF($W35=1,H35/$V35, "NR")</f>
        <v>2995.7443703186</v>
      </c>
      <c r="AC35" s="78">
        <f>IF($W35=1,I35/$V35, "NR")</f>
        <v>0</v>
      </c>
      <c r="AD35" s="78">
        <f>IF($W35=1,J35/$V35, "NR")</f>
        <v>0</v>
      </c>
      <c r="AE35" s="78">
        <f>IF($W35=1,K35/$V35, "NR")</f>
        <v>0</v>
      </c>
      <c r="AF35" s="79">
        <f>IF($W35=1,L35/$V35, "NR")</f>
        <v>0</v>
      </c>
      <c r="AG35" s="92">
        <f t="shared" si="15"/>
        <v>0</v>
      </c>
      <c r="AH35" s="93">
        <f t="shared" si="16"/>
        <v>0</v>
      </c>
      <c r="AI35" s="93">
        <f t="shared" si="17"/>
        <v>0</v>
      </c>
      <c r="AJ35" s="93">
        <f t="shared" si="18"/>
        <v>0</v>
      </c>
      <c r="AK35" s="93">
        <f t="shared" si="19"/>
        <v>214.19572247777987</v>
      </c>
      <c r="AL35" s="93">
        <f t="shared" si="20"/>
        <v>0</v>
      </c>
      <c r="AM35" s="93">
        <f t="shared" si="21"/>
        <v>0</v>
      </c>
      <c r="AN35" s="93">
        <f t="shared" si="22"/>
        <v>0</v>
      </c>
      <c r="AO35" s="79">
        <f t="shared" si="23"/>
        <v>0</v>
      </c>
      <c r="AP35" s="77">
        <f t="shared" si="24"/>
        <v>2995.7443703186</v>
      </c>
      <c r="AQ35" s="97">
        <f t="shared" si="25"/>
        <v>214.19572247777987</v>
      </c>
      <c r="AS35" s="92">
        <v>33</v>
      </c>
      <c r="AT35" s="93" t="s">
        <v>32</v>
      </c>
      <c r="AU35" s="78">
        <f t="shared" si="26"/>
        <v>19368.10844677053</v>
      </c>
      <c r="AV35" s="105">
        <f t="shared" si="27"/>
        <v>1393.0586451815484</v>
      </c>
      <c r="AW35" s="77">
        <f t="shared" si="28"/>
        <v>0</v>
      </c>
      <c r="AX35" s="78">
        <f t="shared" si="29"/>
        <v>0</v>
      </c>
      <c r="AY35" s="78">
        <f t="shared" si="30"/>
        <v>3660.0569765722694</v>
      </c>
      <c r="AZ35" s="78">
        <f t="shared" si="31"/>
        <v>7958.4827342841345</v>
      </c>
      <c r="BA35" s="78">
        <f t="shared" si="32"/>
        <v>0</v>
      </c>
      <c r="BB35" s="78">
        <f t="shared" si="33"/>
        <v>4052.4372987656488</v>
      </c>
      <c r="BC35" s="78">
        <f t="shared" si="34"/>
        <v>938.01213972877724</v>
      </c>
      <c r="BD35" s="78">
        <f t="shared" si="35"/>
        <v>2491.6586406209681</v>
      </c>
      <c r="BE35" s="105">
        <f t="shared" si="36"/>
        <v>267.46065679873089</v>
      </c>
      <c r="BF35" s="77">
        <f t="shared" si="37"/>
        <v>0</v>
      </c>
      <c r="BG35" s="78">
        <f t="shared" si="38"/>
        <v>0</v>
      </c>
      <c r="BH35" s="78">
        <f t="shared" si="39"/>
        <v>271.08822006478607</v>
      </c>
      <c r="BI35" s="78">
        <f t="shared" si="40"/>
        <v>551.52285348589055</v>
      </c>
      <c r="BJ35" s="78">
        <f t="shared" si="41"/>
        <v>0</v>
      </c>
      <c r="BK35" s="78">
        <f t="shared" si="42"/>
        <v>300.15052259524236</v>
      </c>
      <c r="BL35" s="78">
        <f t="shared" si="43"/>
        <v>72.570872543683066</v>
      </c>
      <c r="BM35" s="78">
        <f t="shared" si="44"/>
        <v>182.72163364553765</v>
      </c>
      <c r="BN35" s="105">
        <f t="shared" si="45"/>
        <v>15.004542846408803</v>
      </c>
    </row>
    <row r="36" spans="1:66" x14ac:dyDescent="0.25">
      <c r="A36" s="59">
        <v>29</v>
      </c>
      <c r="B36" s="58" t="s">
        <v>28</v>
      </c>
      <c r="C36" t="s">
        <v>77</v>
      </c>
      <c r="D36" s="60">
        <f>VLOOKUP(C36,IDN_JOULE_2009!$A$2:$N$37,3,FALSE)</f>
        <v>0</v>
      </c>
      <c r="E36" s="60">
        <f>VLOOKUP(C36,IDN_JOULE_2009!$A$2:$N$37,4,FALSE)</f>
        <v>0</v>
      </c>
      <c r="F36" s="60">
        <f>VLOOKUP(C36,IDN_JOULE_2009!$A$2:$N$37,7,FALSE)</f>
        <v>25544.572732364824</v>
      </c>
      <c r="G36" s="60">
        <f>VLOOKUP(C36,IDN_JOULE_2009!$A$2:$N$37,8,FALSE)</f>
        <v>0</v>
      </c>
      <c r="H36" s="60">
        <f>VLOOKUP(C36,IDN_JOULE_2009!$A$2:$N$37,9,FALSE)</f>
        <v>0</v>
      </c>
      <c r="I36" s="60">
        <f>VLOOKUP(C36,IDN_JOULE_2009!$A$2:$N$37,10,FALSE)</f>
        <v>90.218102637514676</v>
      </c>
      <c r="J36" s="60">
        <f>VLOOKUP(C36,IDN_JOULE_2009!$A$2:$N$37,11,FALSE)</f>
        <v>20.882661287087835</v>
      </c>
      <c r="K36" s="60">
        <f>VLOOKUP(C36,IDN_JOULE_2009!$A$2:$N$37,13,FALSE)</f>
        <v>55.47099150569457</v>
      </c>
      <c r="L36" s="60">
        <f>VLOOKUP(C36,IDN_JOULE_2009!$A$2:$N$37,14,FALSE)</f>
        <v>60.154869913559644</v>
      </c>
      <c r="M36" s="65">
        <f>VLOOKUP(C36,IDN_CO2_2009!$A$2:$N$37,3,FALSE)</f>
        <v>0</v>
      </c>
      <c r="N36" s="65">
        <f>VLOOKUP(C36,IDN_CO2_2009!$A$2:$N$37,4,FALSE)</f>
        <v>0</v>
      </c>
      <c r="O36" s="65">
        <f>VLOOKUP(C36,IDN_CO2_2009!$A$2:$N$37,7,FALSE)</f>
        <v>1892.0013537104878</v>
      </c>
      <c r="P36" s="65">
        <f>VLOOKUP(C36,IDN_CO2_2009!$A$2:$N$37,8,FALSE)</f>
        <v>0</v>
      </c>
      <c r="Q36" s="65">
        <f>VLOOKUP(C36,IDN_CO2_2009!$A$2:$N$37,9,FALSE)</f>
        <v>0</v>
      </c>
      <c r="R36" s="65">
        <f>VLOOKUP(C36,IDN_CO2_2009!$A$2:$N$37,10,FALSE)</f>
        <v>6.6821541353519196</v>
      </c>
      <c r="S36" s="65">
        <f>VLOOKUP(C36,IDN_CO2_2009!$A$2:$N$37,11,FALSE)</f>
        <v>1.6156218949110288</v>
      </c>
      <c r="T36" s="65">
        <f>VLOOKUP(C36,IDN_CO2_2009!$A$2:$N$37,13,FALSE)</f>
        <v>4.0678727104176016</v>
      </c>
      <c r="U36" s="65">
        <f>VLOOKUP(C36,IDN_CO2_2009!$A$2:$N$37,14,FALSE)</f>
        <v>3.3746882021506956</v>
      </c>
      <c r="V36" s="68">
        <f t="shared" si="13"/>
        <v>1</v>
      </c>
      <c r="W36" s="70">
        <f t="shared" si="14"/>
        <v>2</v>
      </c>
      <c r="X36" s="80">
        <f>D$36+D$37</f>
        <v>0</v>
      </c>
      <c r="Y36" s="81">
        <f t="shared" ref="Y36:AO37" si="51">E$36+E$37</f>
        <v>0</v>
      </c>
      <c r="Z36" s="81">
        <f t="shared" si="51"/>
        <v>25544.572732364824</v>
      </c>
      <c r="AA36" s="81">
        <f t="shared" si="51"/>
        <v>0</v>
      </c>
      <c r="AB36" s="81">
        <f t="shared" si="51"/>
        <v>0</v>
      </c>
      <c r="AC36" s="81">
        <f t="shared" si="51"/>
        <v>90.218102637514676</v>
      </c>
      <c r="AD36" s="81">
        <f t="shared" si="51"/>
        <v>20.882661287087835</v>
      </c>
      <c r="AE36" s="81">
        <f t="shared" si="51"/>
        <v>55.47099150569457</v>
      </c>
      <c r="AF36" s="82">
        <f t="shared" si="51"/>
        <v>60.154869913559644</v>
      </c>
      <c r="AG36" s="80">
        <f t="shared" si="51"/>
        <v>0</v>
      </c>
      <c r="AH36" s="81">
        <f t="shared" si="51"/>
        <v>0</v>
      </c>
      <c r="AI36" s="81">
        <f t="shared" si="51"/>
        <v>1892.0013537104878</v>
      </c>
      <c r="AJ36" s="81">
        <f t="shared" si="51"/>
        <v>0</v>
      </c>
      <c r="AK36" s="81">
        <f t="shared" si="51"/>
        <v>0</v>
      </c>
      <c r="AL36" s="81">
        <f t="shared" si="51"/>
        <v>6.6821541353519196</v>
      </c>
      <c r="AM36" s="81">
        <f t="shared" si="51"/>
        <v>1.6156218949110288</v>
      </c>
      <c r="AN36" s="81">
        <f t="shared" si="51"/>
        <v>4.0678727104176016</v>
      </c>
      <c r="AO36" s="82">
        <f t="shared" si="51"/>
        <v>3.3746882021506956</v>
      </c>
      <c r="AP36" s="77">
        <f t="shared" si="24"/>
        <v>25771.299357708682</v>
      </c>
      <c r="AQ36" s="97">
        <f t="shared" si="25"/>
        <v>1907.7416906533192</v>
      </c>
      <c r="AS36" s="92">
        <v>34</v>
      </c>
      <c r="AT36" s="93" t="s">
        <v>33</v>
      </c>
      <c r="AU36" s="78">
        <f t="shared" si="26"/>
        <v>21902.224084118247</v>
      </c>
      <c r="AV36" s="105">
        <f t="shared" si="27"/>
        <v>1553.2791767872156</v>
      </c>
      <c r="AW36" s="77">
        <f t="shared" si="28"/>
        <v>0</v>
      </c>
      <c r="AX36" s="78">
        <f t="shared" si="29"/>
        <v>0</v>
      </c>
      <c r="AY36" s="78">
        <f t="shared" si="30"/>
        <v>6480.2932339183726</v>
      </c>
      <c r="AZ36" s="78">
        <f t="shared" si="31"/>
        <v>14090.846712320119</v>
      </c>
      <c r="BA36" s="78">
        <f t="shared" si="32"/>
        <v>0</v>
      </c>
      <c r="BB36" s="78">
        <f t="shared" si="33"/>
        <v>661.06654891846847</v>
      </c>
      <c r="BC36" s="78">
        <f t="shared" si="34"/>
        <v>153.01617331451536</v>
      </c>
      <c r="BD36" s="78">
        <f t="shared" si="35"/>
        <v>406.45963335198303</v>
      </c>
      <c r="BE36" s="105">
        <f t="shared" si="36"/>
        <v>110.5417822947835</v>
      </c>
      <c r="BF36" s="77">
        <f t="shared" si="37"/>
        <v>0</v>
      </c>
      <c r="BG36" s="78">
        <f t="shared" si="38"/>
        <v>0</v>
      </c>
      <c r="BH36" s="78">
        <f t="shared" si="39"/>
        <v>479.97371885888759</v>
      </c>
      <c r="BI36" s="78">
        <f t="shared" si="40"/>
        <v>976.49567716378442</v>
      </c>
      <c r="BJ36" s="78">
        <f t="shared" si="41"/>
        <v>0</v>
      </c>
      <c r="BK36" s="78">
        <f t="shared" si="42"/>
        <v>48.962995723227891</v>
      </c>
      <c r="BL36" s="78">
        <f t="shared" si="43"/>
        <v>11.838351275433006</v>
      </c>
      <c r="BM36" s="78">
        <f t="shared" si="44"/>
        <v>29.807039779145423</v>
      </c>
      <c r="BN36" s="105">
        <f t="shared" si="45"/>
        <v>6.2013939867373544</v>
      </c>
    </row>
    <row r="37" spans="1:66" x14ac:dyDescent="0.25">
      <c r="A37" s="59">
        <v>29</v>
      </c>
      <c r="B37" s="58" t="s">
        <v>28</v>
      </c>
      <c r="C37" t="s">
        <v>70</v>
      </c>
      <c r="D37" s="60">
        <f>VLOOKUP(C37,IDN_JOULE_2009!$A$2:$N$37,3,FALSE)</f>
        <v>0</v>
      </c>
      <c r="E37" s="60">
        <f>VLOOKUP(C37,IDN_JOULE_2009!$A$2:$N$37,4,FALSE)</f>
        <v>0</v>
      </c>
      <c r="F37" s="60">
        <f>VLOOKUP(C37,IDN_JOULE_2009!$A$2:$N$37,7,FALSE)</f>
        <v>0</v>
      </c>
      <c r="G37" s="60">
        <f>VLOOKUP(C37,IDN_JOULE_2009!$A$2:$N$37,8,FALSE)</f>
        <v>0</v>
      </c>
      <c r="H37" s="60">
        <f>VLOOKUP(C37,IDN_JOULE_2009!$A$2:$N$37,9,FALSE)</f>
        <v>0</v>
      </c>
      <c r="I37" s="60">
        <f>VLOOKUP(C37,IDN_JOULE_2009!$A$2:$N$37,10,FALSE)</f>
        <v>0</v>
      </c>
      <c r="J37" s="60">
        <f>VLOOKUP(C37,IDN_JOULE_2009!$A$2:$N$37,11,FALSE)</f>
        <v>0</v>
      </c>
      <c r="K37" s="60">
        <f>VLOOKUP(C37,IDN_JOULE_2009!$A$2:$N$37,13,FALSE)</f>
        <v>0</v>
      </c>
      <c r="L37" s="60">
        <f>VLOOKUP(C37,IDN_JOULE_2009!$A$2:$N$37,14,FALSE)</f>
        <v>0</v>
      </c>
      <c r="M37" s="65">
        <f>VLOOKUP(C37,IDN_CO2_2009!$A$2:$N$37,3,FALSE)</f>
        <v>0</v>
      </c>
      <c r="N37" s="65">
        <f>VLOOKUP(C37,IDN_CO2_2009!$A$2:$N$37,4,FALSE)</f>
        <v>0</v>
      </c>
      <c r="O37" s="65">
        <f>VLOOKUP(C37,IDN_CO2_2009!$A$2:$N$37,7,FALSE)</f>
        <v>0</v>
      </c>
      <c r="P37" s="65">
        <f>VLOOKUP(C37,IDN_CO2_2009!$A$2:$N$37,8,FALSE)</f>
        <v>0</v>
      </c>
      <c r="Q37" s="65">
        <f>VLOOKUP(C37,IDN_CO2_2009!$A$2:$N$37,9,FALSE)</f>
        <v>0</v>
      </c>
      <c r="R37" s="65">
        <f>VLOOKUP(C37,IDN_CO2_2009!$A$2:$N$37,10,FALSE)</f>
        <v>0</v>
      </c>
      <c r="S37" s="65">
        <f>VLOOKUP(C37,IDN_CO2_2009!$A$2:$N$37,11,FALSE)</f>
        <v>0</v>
      </c>
      <c r="T37" s="65">
        <f>VLOOKUP(C37,IDN_CO2_2009!$A$2:$N$37,13,FALSE)</f>
        <v>0</v>
      </c>
      <c r="U37" s="65">
        <f>VLOOKUP(C37,IDN_CO2_2009!$A$2:$N$37,14,FALSE)</f>
        <v>0</v>
      </c>
      <c r="V37" s="68">
        <f t="shared" si="13"/>
        <v>1</v>
      </c>
      <c r="W37" s="70">
        <f t="shared" si="14"/>
        <v>2</v>
      </c>
      <c r="X37" s="80">
        <f>D$36+D$37</f>
        <v>0</v>
      </c>
      <c r="Y37" s="81">
        <f t="shared" si="51"/>
        <v>0</v>
      </c>
      <c r="Z37" s="81">
        <f t="shared" si="51"/>
        <v>25544.572732364824</v>
      </c>
      <c r="AA37" s="81">
        <f t="shared" si="51"/>
        <v>0</v>
      </c>
      <c r="AB37" s="81">
        <f t="shared" si="51"/>
        <v>0</v>
      </c>
      <c r="AC37" s="81">
        <f t="shared" si="51"/>
        <v>90.218102637514676</v>
      </c>
      <c r="AD37" s="81">
        <f t="shared" si="51"/>
        <v>20.882661287087835</v>
      </c>
      <c r="AE37" s="81">
        <f t="shared" si="51"/>
        <v>55.47099150569457</v>
      </c>
      <c r="AF37" s="82">
        <f t="shared" si="51"/>
        <v>60.154869913559644</v>
      </c>
      <c r="AG37" s="80">
        <f t="shared" si="51"/>
        <v>0</v>
      </c>
      <c r="AH37" s="81">
        <f t="shared" si="51"/>
        <v>0</v>
      </c>
      <c r="AI37" s="81">
        <f t="shared" si="51"/>
        <v>1892.0013537104878</v>
      </c>
      <c r="AJ37" s="81">
        <f t="shared" si="51"/>
        <v>0</v>
      </c>
      <c r="AK37" s="81">
        <f t="shared" si="51"/>
        <v>0</v>
      </c>
      <c r="AL37" s="81">
        <f t="shared" si="51"/>
        <v>6.6821541353519196</v>
      </c>
      <c r="AM37" s="81">
        <f t="shared" si="51"/>
        <v>1.6156218949110288</v>
      </c>
      <c r="AN37" s="81">
        <f t="shared" si="51"/>
        <v>4.0678727104176016</v>
      </c>
      <c r="AO37" s="82">
        <f t="shared" si="51"/>
        <v>3.3746882021506956</v>
      </c>
      <c r="AP37" s="77">
        <f t="shared" si="24"/>
        <v>25771.299357708682</v>
      </c>
      <c r="AQ37" s="97">
        <f t="shared" si="25"/>
        <v>1907.7416906533192</v>
      </c>
      <c r="AS37" s="92">
        <v>35</v>
      </c>
      <c r="AT37" s="93" t="s">
        <v>34</v>
      </c>
      <c r="AU37" s="78">
        <f t="shared" si="26"/>
        <v>2128.2715539542305</v>
      </c>
      <c r="AV37" s="105">
        <f t="shared" si="27"/>
        <v>151.09759401051204</v>
      </c>
      <c r="AW37" s="77">
        <f t="shared" si="28"/>
        <v>0</v>
      </c>
      <c r="AX37" s="78">
        <f t="shared" si="29"/>
        <v>0</v>
      </c>
      <c r="AY37" s="78">
        <f t="shared" si="30"/>
        <v>600.79803533129575</v>
      </c>
      <c r="AZ37" s="78">
        <f t="shared" si="31"/>
        <v>1306.3842507320419</v>
      </c>
      <c r="BA37" s="78">
        <f t="shared" si="32"/>
        <v>0</v>
      </c>
      <c r="BB37" s="78">
        <f t="shared" si="33"/>
        <v>109.39003508599035</v>
      </c>
      <c r="BC37" s="78">
        <f t="shared" si="34"/>
        <v>25.320362367425162</v>
      </c>
      <c r="BD37" s="78">
        <f t="shared" si="35"/>
        <v>67.258937282721163</v>
      </c>
      <c r="BE37" s="105">
        <f t="shared" si="36"/>
        <v>19.119933154756414</v>
      </c>
      <c r="BF37" s="77">
        <f t="shared" si="37"/>
        <v>0</v>
      </c>
      <c r="BG37" s="78">
        <f t="shared" si="38"/>
        <v>0</v>
      </c>
      <c r="BH37" s="78">
        <f t="shared" si="39"/>
        <v>44.499107816871302</v>
      </c>
      <c r="BI37" s="78">
        <f t="shared" si="40"/>
        <v>90.532428575730506</v>
      </c>
      <c r="BJ37" s="78">
        <f t="shared" si="41"/>
        <v>0</v>
      </c>
      <c r="BK37" s="78">
        <f t="shared" si="42"/>
        <v>8.1021552653690172</v>
      </c>
      <c r="BL37" s="78">
        <f t="shared" si="43"/>
        <v>1.9589520351597933</v>
      </c>
      <c r="BM37" s="78">
        <f t="shared" si="44"/>
        <v>4.9323220673995518</v>
      </c>
      <c r="BN37" s="105">
        <f t="shared" si="45"/>
        <v>1.0726282499818347</v>
      </c>
    </row>
    <row r="38" spans="1:66" x14ac:dyDescent="0.25">
      <c r="A38" s="59">
        <v>30</v>
      </c>
      <c r="B38" t="s">
        <v>29</v>
      </c>
      <c r="C38" t="s">
        <v>78</v>
      </c>
      <c r="D38" s="60">
        <f>VLOOKUP(C38,IDN_JOULE_2009!$A$2:$N$37,3,FALSE)</f>
        <v>0</v>
      </c>
      <c r="E38" s="60">
        <f>VLOOKUP(C38,IDN_JOULE_2009!$A$2:$N$37,4,FALSE)</f>
        <v>0</v>
      </c>
      <c r="F38" s="60">
        <f>VLOOKUP(C38,IDN_JOULE_2009!$A$2:$N$37,7,FALSE)</f>
        <v>13866.410590149444</v>
      </c>
      <c r="G38" s="60">
        <f>VLOOKUP(C38,IDN_JOULE_2009!$A$2:$N$37,8,FALSE)</f>
        <v>0</v>
      </c>
      <c r="H38" s="60">
        <f>VLOOKUP(C38,IDN_JOULE_2009!$A$2:$N$37,9,FALSE)</f>
        <v>0</v>
      </c>
      <c r="I38" s="60">
        <f>VLOOKUP(C38,IDN_JOULE_2009!$A$2:$N$37,10,FALSE)</f>
        <v>648.61564683422694</v>
      </c>
      <c r="J38" s="60">
        <f>VLOOKUP(C38,IDN_JOULE_2009!$A$2:$N$37,11,FALSE)</f>
        <v>150.13417997456904</v>
      </c>
      <c r="K38" s="60">
        <f>VLOOKUP(C38,IDN_JOULE_2009!$A$2:$N$37,13,FALSE)</f>
        <v>398.8041422303375</v>
      </c>
      <c r="L38" s="60">
        <f>VLOOKUP(C38,IDN_JOULE_2009!$A$2:$N$37,14,FALSE)</f>
        <v>183.81313748095735</v>
      </c>
      <c r="M38" s="65">
        <f>VLOOKUP(C38,IDN_CO2_2009!$A$2:$N$37,3,FALSE)</f>
        <v>0</v>
      </c>
      <c r="N38" s="65">
        <f>VLOOKUP(C38,IDN_CO2_2009!$A$2:$N$37,4,FALSE)</f>
        <v>0</v>
      </c>
      <c r="O38" s="65">
        <f>VLOOKUP(C38,IDN_CO2_2009!$A$2:$N$37,7,FALSE)</f>
        <v>1027.0388110437352</v>
      </c>
      <c r="P38" s="65">
        <f>VLOOKUP(C38,IDN_CO2_2009!$A$2:$N$37,8,FALSE)</f>
        <v>0</v>
      </c>
      <c r="Q38" s="65">
        <f>VLOOKUP(C38,IDN_CO2_2009!$A$2:$N$37,9,FALSE)</f>
        <v>0</v>
      </c>
      <c r="R38" s="65">
        <f>VLOOKUP(C38,IDN_CO2_2009!$A$2:$N$37,10,FALSE)</f>
        <v>48.040798908855066</v>
      </c>
      <c r="S38" s="65">
        <f>VLOOKUP(C38,IDN_CO2_2009!$A$2:$N$37,11,FALSE)</f>
        <v>11.615381057365825</v>
      </c>
      <c r="T38" s="65">
        <f>VLOOKUP(C38,IDN_CO2_2009!$A$2:$N$37,13,FALSE)</f>
        <v>29.245637096891418</v>
      </c>
      <c r="U38" s="65">
        <f>VLOOKUP(C38,IDN_CO2_2009!$A$2:$N$37,14,FALSE)</f>
        <v>10.311917012681707</v>
      </c>
      <c r="V38" s="68">
        <f t="shared" si="13"/>
        <v>1</v>
      </c>
      <c r="W38" s="68">
        <f t="shared" si="14"/>
        <v>1</v>
      </c>
      <c r="X38" s="77">
        <f>IF($W38=1,D38/$V38, "NR")</f>
        <v>0</v>
      </c>
      <c r="Y38" s="78">
        <f>IF($W38=1,E38/$V38, "NR")</f>
        <v>0</v>
      </c>
      <c r="Z38" s="78">
        <f>IF($W38=1,F38/$V38, "NR")</f>
        <v>13866.410590149444</v>
      </c>
      <c r="AA38" s="78">
        <f>IF($W38=1,G38/$V38, "NR")</f>
        <v>0</v>
      </c>
      <c r="AB38" s="78">
        <f>IF($W38=1,H38/$V38, "NR")</f>
        <v>0</v>
      </c>
      <c r="AC38" s="78">
        <f>IF($W38=1,I38/$V38, "NR")</f>
        <v>648.61564683422694</v>
      </c>
      <c r="AD38" s="78">
        <f>IF($W38=1,J38/$V38, "NR")</f>
        <v>150.13417997456904</v>
      </c>
      <c r="AE38" s="78">
        <f>IF($W38=1,K38/$V38, "NR")</f>
        <v>398.8041422303375</v>
      </c>
      <c r="AF38" s="79">
        <f>IF($W38=1,L38/$V38, "NR")</f>
        <v>183.81313748095735</v>
      </c>
      <c r="AG38" s="92">
        <f t="shared" si="15"/>
        <v>0</v>
      </c>
      <c r="AH38" s="93">
        <f t="shared" si="16"/>
        <v>0</v>
      </c>
      <c r="AI38" s="93">
        <f t="shared" si="17"/>
        <v>1027.0388110437352</v>
      </c>
      <c r="AJ38" s="93">
        <f t="shared" si="18"/>
        <v>0</v>
      </c>
      <c r="AK38" s="93">
        <f t="shared" si="19"/>
        <v>0</v>
      </c>
      <c r="AL38" s="93">
        <f t="shared" si="20"/>
        <v>48.040798908855066</v>
      </c>
      <c r="AM38" s="93">
        <f t="shared" si="21"/>
        <v>11.615381057365825</v>
      </c>
      <c r="AN38" s="93">
        <f t="shared" si="22"/>
        <v>29.245637096891418</v>
      </c>
      <c r="AO38" s="79">
        <f t="shared" si="23"/>
        <v>10.311917012681707</v>
      </c>
      <c r="AP38" s="77">
        <f t="shared" si="24"/>
        <v>15247.777696669536</v>
      </c>
      <c r="AQ38" s="97">
        <f t="shared" si="25"/>
        <v>1126.2525451195293</v>
      </c>
      <c r="AS38" s="92">
        <v>36</v>
      </c>
      <c r="AT38" s="93" t="s">
        <v>35</v>
      </c>
      <c r="AU38" s="78">
        <f t="shared" si="26"/>
        <v>22520.707425747994</v>
      </c>
      <c r="AV38" s="105">
        <f t="shared" si="27"/>
        <v>1595.4175853852637</v>
      </c>
      <c r="AW38" s="77">
        <f t="shared" si="28"/>
        <v>0</v>
      </c>
      <c r="AX38" s="78">
        <f t="shared" si="29"/>
        <v>0</v>
      </c>
      <c r="AY38" s="78">
        <f t="shared" si="30"/>
        <v>5998.1441227483083</v>
      </c>
      <c r="AZ38" s="78">
        <f t="shared" si="31"/>
        <v>13042.454460188837</v>
      </c>
      <c r="BA38" s="78">
        <f t="shared" si="32"/>
        <v>0</v>
      </c>
      <c r="BB38" s="78">
        <f t="shared" si="33"/>
        <v>1555.2784066907634</v>
      </c>
      <c r="BC38" s="78">
        <f t="shared" si="34"/>
        <v>359.99817358761612</v>
      </c>
      <c r="BD38" s="78">
        <f t="shared" si="35"/>
        <v>956.26967054681529</v>
      </c>
      <c r="BE38" s="105">
        <f t="shared" si="36"/>
        <v>608.56259198565363</v>
      </c>
      <c r="BF38" s="77">
        <f t="shared" si="37"/>
        <v>0</v>
      </c>
      <c r="BG38" s="78">
        <f t="shared" si="38"/>
        <v>0</v>
      </c>
      <c r="BH38" s="78">
        <f t="shared" si="39"/>
        <v>444.26254135822455</v>
      </c>
      <c r="BI38" s="78">
        <f t="shared" si="40"/>
        <v>903.84209409108644</v>
      </c>
      <c r="BJ38" s="78">
        <f t="shared" si="41"/>
        <v>0</v>
      </c>
      <c r="BK38" s="78">
        <f t="shared" si="42"/>
        <v>115.1942873222292</v>
      </c>
      <c r="BL38" s="78">
        <f t="shared" si="43"/>
        <v>27.851858696561898</v>
      </c>
      <c r="BM38" s="78">
        <f t="shared" si="44"/>
        <v>70.126442506766452</v>
      </c>
      <c r="BN38" s="105">
        <f t="shared" si="45"/>
        <v>34.140361410395172</v>
      </c>
    </row>
    <row r="39" spans="1:66" ht="15.75" thickBot="1" x14ac:dyDescent="0.3">
      <c r="A39" s="59">
        <v>31</v>
      </c>
      <c r="B39" t="s">
        <v>30</v>
      </c>
      <c r="C39" t="s">
        <v>79</v>
      </c>
      <c r="D39" s="60">
        <f>VLOOKUP(C39,IDN_JOULE_2009!$A$2:$N$37,3,FALSE)</f>
        <v>0</v>
      </c>
      <c r="E39" s="60">
        <f>VLOOKUP(C39,IDN_JOULE_2009!$A$2:$N$37,4,FALSE)</f>
        <v>0</v>
      </c>
      <c r="F39" s="60">
        <f>VLOOKUP(C39,IDN_JOULE_2009!$A$2:$N$37,7,FALSE)</f>
        <v>791.2981430407724</v>
      </c>
      <c r="G39" s="60">
        <f>VLOOKUP(C39,IDN_JOULE_2009!$A$2:$N$37,8,FALSE)</f>
        <v>1720.6105395000914</v>
      </c>
      <c r="H39" s="60">
        <f>VLOOKUP(C39,IDN_JOULE_2009!$A$2:$N$37,9,FALSE)</f>
        <v>0</v>
      </c>
      <c r="I39" s="60">
        <f>VLOOKUP(C39,IDN_JOULE_2009!$A$2:$N$37,10,FALSE)</f>
        <v>410.28989648180072</v>
      </c>
      <c r="J39" s="60">
        <f>VLOOKUP(C39,IDN_JOULE_2009!$A$2:$N$37,11,FALSE)</f>
        <v>94.969243281128058</v>
      </c>
      <c r="K39" s="60">
        <f>VLOOKUP(C39,IDN_JOULE_2009!$A$2:$N$37,13,FALSE)</f>
        <v>252.26852147465658</v>
      </c>
      <c r="L39" s="60">
        <f>VLOOKUP(C39,IDN_JOULE_2009!$A$2:$N$37,14,FALSE)</f>
        <v>51.776003217913122</v>
      </c>
      <c r="M39" s="65">
        <f>VLOOKUP(C39,IDN_CO2_2009!$A$2:$N$37,3,FALSE)</f>
        <v>0</v>
      </c>
      <c r="N39" s="65">
        <f>VLOOKUP(C39,IDN_CO2_2009!$A$2:$N$37,4,FALSE)</f>
        <v>0</v>
      </c>
      <c r="O39" s="65">
        <f>VLOOKUP(C39,IDN_CO2_2009!$A$2:$N$37,7,FALSE)</f>
        <v>58.608815794553202</v>
      </c>
      <c r="P39" s="65">
        <f>VLOOKUP(C39,IDN_CO2_2009!$A$2:$N$37,8,FALSE)</f>
        <v>119.23831038735634</v>
      </c>
      <c r="Q39" s="65">
        <f>VLOOKUP(C39,IDN_CO2_2009!$A$2:$N$37,9,FALSE)</f>
        <v>0</v>
      </c>
      <c r="R39" s="65">
        <f>VLOOKUP(C39,IDN_CO2_2009!$A$2:$N$37,10,FALSE)</f>
        <v>30.388804999418703</v>
      </c>
      <c r="S39" s="65">
        <f>VLOOKUP(C39,IDN_CO2_2009!$A$2:$N$37,11,FALSE)</f>
        <v>7.3474537885166082</v>
      </c>
      <c r="T39" s="65">
        <f>VLOOKUP(C39,IDN_CO2_2009!$A$2:$N$37,13,FALSE)</f>
        <v>18.49969157480815</v>
      </c>
      <c r="U39" s="65">
        <f>VLOOKUP(C39,IDN_CO2_2009!$A$2:$N$37,14,FALSE)</f>
        <v>2.904633780524926</v>
      </c>
      <c r="V39" s="68">
        <f t="shared" si="13"/>
        <v>1</v>
      </c>
      <c r="W39" s="68">
        <f t="shared" si="14"/>
        <v>1</v>
      </c>
      <c r="X39" s="77">
        <f>IF($W39=1,D39/$V39, "NR")</f>
        <v>0</v>
      </c>
      <c r="Y39" s="78">
        <f>IF($W39=1,E39/$V39, "NR")</f>
        <v>0</v>
      </c>
      <c r="Z39" s="78">
        <f>IF($W39=1,F39/$V39, "NR")</f>
        <v>791.2981430407724</v>
      </c>
      <c r="AA39" s="78">
        <f>IF($W39=1,G39/$V39, "NR")</f>
        <v>1720.6105395000914</v>
      </c>
      <c r="AB39" s="78">
        <f>IF($W39=1,H39/$V39, "NR")</f>
        <v>0</v>
      </c>
      <c r="AC39" s="78">
        <f>IF($W39=1,I39/$V39, "NR")</f>
        <v>410.28989648180072</v>
      </c>
      <c r="AD39" s="78">
        <f>IF($W39=1,J39/$V39, "NR")</f>
        <v>94.969243281128058</v>
      </c>
      <c r="AE39" s="78">
        <f>IF($W39=1,K39/$V39, "NR")</f>
        <v>252.26852147465658</v>
      </c>
      <c r="AF39" s="79">
        <f>IF($W39=1,L39/$V39, "NR")</f>
        <v>51.776003217913122</v>
      </c>
      <c r="AG39" s="92">
        <f t="shared" si="15"/>
        <v>0</v>
      </c>
      <c r="AH39" s="93">
        <f t="shared" si="16"/>
        <v>0</v>
      </c>
      <c r="AI39" s="93">
        <f t="shared" si="17"/>
        <v>58.608815794553202</v>
      </c>
      <c r="AJ39" s="93">
        <f t="shared" si="18"/>
        <v>119.23831038735634</v>
      </c>
      <c r="AK39" s="93">
        <f t="shared" si="19"/>
        <v>0</v>
      </c>
      <c r="AL39" s="93">
        <f t="shared" si="20"/>
        <v>30.388804999418703</v>
      </c>
      <c r="AM39" s="93">
        <f t="shared" si="21"/>
        <v>7.3474537885166082</v>
      </c>
      <c r="AN39" s="93">
        <f t="shared" si="22"/>
        <v>18.49969157480815</v>
      </c>
      <c r="AO39" s="79">
        <f t="shared" si="23"/>
        <v>2.904633780524926</v>
      </c>
      <c r="AP39" s="77">
        <f t="shared" si="24"/>
        <v>3321.2123469963622</v>
      </c>
      <c r="AQ39" s="97">
        <f t="shared" si="25"/>
        <v>236.98771032517794</v>
      </c>
      <c r="AS39" s="94">
        <v>37</v>
      </c>
      <c r="AT39" s="95" t="s">
        <v>36</v>
      </c>
      <c r="AU39" s="84">
        <f t="shared" si="26"/>
        <v>0</v>
      </c>
      <c r="AV39" s="106">
        <f t="shared" si="27"/>
        <v>0</v>
      </c>
      <c r="AW39" s="83">
        <f t="shared" si="28"/>
        <v>0</v>
      </c>
      <c r="AX39" s="84">
        <f t="shared" si="29"/>
        <v>0</v>
      </c>
      <c r="AY39" s="84">
        <f t="shared" si="30"/>
        <v>0</v>
      </c>
      <c r="AZ39" s="84">
        <f t="shared" si="31"/>
        <v>0</v>
      </c>
      <c r="BA39" s="84">
        <f t="shared" si="32"/>
        <v>0</v>
      </c>
      <c r="BB39" s="84">
        <f t="shared" si="33"/>
        <v>0</v>
      </c>
      <c r="BC39" s="84">
        <f t="shared" si="34"/>
        <v>0</v>
      </c>
      <c r="BD39" s="84">
        <f t="shared" si="35"/>
        <v>0</v>
      </c>
      <c r="BE39" s="106">
        <f t="shared" si="36"/>
        <v>0</v>
      </c>
      <c r="BF39" s="83">
        <f t="shared" si="37"/>
        <v>0</v>
      </c>
      <c r="BG39" s="84">
        <f t="shared" si="38"/>
        <v>0</v>
      </c>
      <c r="BH39" s="84">
        <f t="shared" si="39"/>
        <v>0</v>
      </c>
      <c r="BI39" s="84">
        <f t="shared" si="40"/>
        <v>0</v>
      </c>
      <c r="BJ39" s="84">
        <f t="shared" si="41"/>
        <v>0</v>
      </c>
      <c r="BK39" s="84">
        <f t="shared" si="42"/>
        <v>0</v>
      </c>
      <c r="BL39" s="84">
        <f t="shared" si="43"/>
        <v>0</v>
      </c>
      <c r="BM39" s="84">
        <f t="shared" si="44"/>
        <v>0</v>
      </c>
      <c r="BN39" s="106">
        <f t="shared" si="45"/>
        <v>0</v>
      </c>
    </row>
    <row r="40" spans="1:66" x14ac:dyDescent="0.25">
      <c r="A40" s="59">
        <v>32</v>
      </c>
      <c r="B40" s="58" t="s">
        <v>31</v>
      </c>
      <c r="C40" t="s">
        <v>81</v>
      </c>
      <c r="D40" s="60">
        <f>VLOOKUP(C40,IDN_JOULE_2009!$A$2:$N$37,3,FALSE)</f>
        <v>0</v>
      </c>
      <c r="E40" s="60">
        <f>VLOOKUP(C40,IDN_JOULE_2009!$A$2:$N$37,4,FALSE)</f>
        <v>0</v>
      </c>
      <c r="F40" s="60">
        <f>VLOOKUP(C40,IDN_JOULE_2009!$A$2:$N$37,7,FALSE)</f>
        <v>627.19397532195819</v>
      </c>
      <c r="G40" s="60">
        <f>VLOOKUP(C40,IDN_JOULE_2009!$A$2:$N$37,8,FALSE)</f>
        <v>1363.7799781798765</v>
      </c>
      <c r="H40" s="60">
        <f>VLOOKUP(C40,IDN_JOULE_2009!$A$2:$N$37,9,FALSE)</f>
        <v>0</v>
      </c>
      <c r="I40" s="60">
        <f>VLOOKUP(C40,IDN_JOULE_2009!$A$2:$N$37,10,FALSE)</f>
        <v>2126.2382478192285</v>
      </c>
      <c r="J40" s="60">
        <f>VLOOKUP(C40,IDN_JOULE_2009!$A$2:$N$37,11,FALSE)</f>
        <v>492.1574700286111</v>
      </c>
      <c r="K40" s="60">
        <f>VLOOKUP(C40,IDN_JOULE_2009!$A$2:$N$37,13,FALSE)</f>
        <v>1307.3268039979962</v>
      </c>
      <c r="L40" s="60">
        <f>VLOOKUP(C40,IDN_JOULE_2009!$A$2:$N$37,14,FALSE)</f>
        <v>150.04867901638039</v>
      </c>
      <c r="M40" s="65">
        <f>VLOOKUP(C40,IDN_CO2_2009!$A$2:$N$37,3,FALSE)</f>
        <v>0</v>
      </c>
      <c r="N40" s="65">
        <f>VLOOKUP(C40,IDN_CO2_2009!$A$2:$N$37,4,FALSE)</f>
        <v>0</v>
      </c>
      <c r="O40" s="65">
        <f>VLOOKUP(C40,IDN_CO2_2009!$A$2:$N$37,7,FALSE)</f>
        <v>46.454167105513029</v>
      </c>
      <c r="P40" s="65">
        <f>VLOOKUP(C40,IDN_CO2_2009!$A$2:$N$37,8,FALSE)</f>
        <v>94.509952487865434</v>
      </c>
      <c r="Q40" s="65">
        <f>VLOOKUP(C40,IDN_CO2_2009!$A$2:$N$37,9,FALSE)</f>
        <v>0</v>
      </c>
      <c r="R40" s="65">
        <f>VLOOKUP(C40,IDN_CO2_2009!$A$2:$N$37,10,FALSE)</f>
        <v>157.48337955514415</v>
      </c>
      <c r="S40" s="65">
        <f>VLOOKUP(C40,IDN_CO2_2009!$A$2:$N$37,11,FALSE)</f>
        <v>38.076582931213544</v>
      </c>
      <c r="T40" s="65">
        <f>VLOOKUP(C40,IDN_CO2_2009!$A$2:$N$37,13,FALSE)</f>
        <v>95.870632293186389</v>
      </c>
      <c r="U40" s="65">
        <f>VLOOKUP(C40,IDN_CO2_2009!$A$2:$N$37,14,FALSE)</f>
        <v>8.4177308928189394</v>
      </c>
      <c r="V40" s="68">
        <f t="shared" si="13"/>
        <v>1</v>
      </c>
      <c r="W40" s="70">
        <f t="shared" si="14"/>
        <v>2</v>
      </c>
      <c r="X40" s="80">
        <f>D$40+D$41</f>
        <v>0</v>
      </c>
      <c r="Y40" s="81">
        <f t="shared" ref="Y40:AO40" si="52">E$40+E$41</f>
        <v>0</v>
      </c>
      <c r="Z40" s="81">
        <f t="shared" si="52"/>
        <v>1133.174946706974</v>
      </c>
      <c r="AA40" s="81">
        <f t="shared" si="52"/>
        <v>2463.992584273019</v>
      </c>
      <c r="AB40" s="81">
        <f t="shared" si="52"/>
        <v>0</v>
      </c>
      <c r="AC40" s="81">
        <f t="shared" si="52"/>
        <v>4975.013752362881</v>
      </c>
      <c r="AD40" s="81">
        <f t="shared" si="52"/>
        <v>1151.5596543481197</v>
      </c>
      <c r="AE40" s="81">
        <f t="shared" si="52"/>
        <v>3058.9087725204004</v>
      </c>
      <c r="AF40" s="82">
        <f t="shared" si="52"/>
        <v>527.81537437001157</v>
      </c>
      <c r="AG40" s="80">
        <f t="shared" si="52"/>
        <v>0</v>
      </c>
      <c r="AH40" s="81">
        <f t="shared" si="52"/>
        <v>0</v>
      </c>
      <c r="AI40" s="81">
        <f t="shared" si="52"/>
        <v>83.930491052763188</v>
      </c>
      <c r="AJ40" s="81">
        <f t="shared" si="52"/>
        <v>170.7546860901202</v>
      </c>
      <c r="AK40" s="81">
        <f t="shared" si="52"/>
        <v>0</v>
      </c>
      <c r="AL40" s="81">
        <f t="shared" si="52"/>
        <v>368.48268525834396</v>
      </c>
      <c r="AM40" s="81">
        <f t="shared" si="52"/>
        <v>89.092331924732861</v>
      </c>
      <c r="AN40" s="81">
        <f t="shared" si="52"/>
        <v>224.31997665149603</v>
      </c>
      <c r="AO40" s="82">
        <f t="shared" si="52"/>
        <v>29.610442502157646</v>
      </c>
      <c r="AP40" s="77">
        <f t="shared" si="24"/>
        <v>13310.465084581405</v>
      </c>
      <c r="AQ40" s="97">
        <f t="shared" si="25"/>
        <v>966.19061347961394</v>
      </c>
    </row>
    <row r="41" spans="1:66" x14ac:dyDescent="0.25">
      <c r="A41" s="59">
        <v>32</v>
      </c>
      <c r="B41" s="58" t="s">
        <v>31</v>
      </c>
      <c r="C41" t="s">
        <v>80</v>
      </c>
      <c r="D41" s="60">
        <f>VLOOKUP(C41,IDN_JOULE_2009!$A$2:$N$37,3,FALSE)</f>
        <v>0</v>
      </c>
      <c r="E41" s="60">
        <f>VLOOKUP(C41,IDN_JOULE_2009!$A$2:$N$37,4,FALSE)</f>
        <v>0</v>
      </c>
      <c r="F41" s="60">
        <f>VLOOKUP(C41,IDN_JOULE_2009!$A$2:$N$37,7,FALSE)</f>
        <v>505.98097138501578</v>
      </c>
      <c r="G41" s="60">
        <f>VLOOKUP(C41,IDN_JOULE_2009!$A$2:$N$37,8,FALSE)</f>
        <v>1100.2126060931423</v>
      </c>
      <c r="H41" s="60">
        <f>VLOOKUP(C41,IDN_JOULE_2009!$A$2:$N$37,9,FALSE)</f>
        <v>0</v>
      </c>
      <c r="I41" s="60">
        <f>VLOOKUP(C41,IDN_JOULE_2009!$A$2:$N$37,10,FALSE)</f>
        <v>2848.7755045436525</v>
      </c>
      <c r="J41" s="60">
        <f>VLOOKUP(C41,IDN_JOULE_2009!$A$2:$N$37,11,FALSE)</f>
        <v>659.40218431950871</v>
      </c>
      <c r="K41" s="60">
        <f>VLOOKUP(C41,IDN_JOULE_2009!$A$2:$N$37,13,FALSE)</f>
        <v>1751.5819685224042</v>
      </c>
      <c r="L41" s="60">
        <f>VLOOKUP(C41,IDN_JOULE_2009!$A$2:$N$37,14,FALSE)</f>
        <v>377.76669535363112</v>
      </c>
      <c r="M41" s="65">
        <f>VLOOKUP(C41,IDN_CO2_2009!$A$2:$N$37,3,FALSE)</f>
        <v>0</v>
      </c>
      <c r="N41" s="65">
        <f>VLOOKUP(C41,IDN_CO2_2009!$A$2:$N$37,4,FALSE)</f>
        <v>0</v>
      </c>
      <c r="O41" s="65">
        <f>VLOOKUP(C41,IDN_CO2_2009!$A$2:$N$37,7,FALSE)</f>
        <v>37.476323947250165</v>
      </c>
      <c r="P41" s="65">
        <f>VLOOKUP(C41,IDN_CO2_2009!$A$2:$N$37,8,FALSE)</f>
        <v>76.244733602254769</v>
      </c>
      <c r="Q41" s="65">
        <f>VLOOKUP(C41,IDN_CO2_2009!$A$2:$N$37,9,FALSE)</f>
        <v>0</v>
      </c>
      <c r="R41" s="65">
        <f>VLOOKUP(C41,IDN_CO2_2009!$A$2:$N$37,10,FALSE)</f>
        <v>210.99930570319984</v>
      </c>
      <c r="S41" s="65">
        <f>VLOOKUP(C41,IDN_CO2_2009!$A$2:$N$37,11,FALSE)</f>
        <v>51.015748993519324</v>
      </c>
      <c r="T41" s="65">
        <f>VLOOKUP(C41,IDN_CO2_2009!$A$2:$N$37,13,FALSE)</f>
        <v>128.44934435830965</v>
      </c>
      <c r="U41" s="65">
        <f>VLOOKUP(C41,IDN_CO2_2009!$A$2:$N$37,14,FALSE)</f>
        <v>21.192711609338705</v>
      </c>
      <c r="V41" s="68">
        <f t="shared" si="13"/>
        <v>1</v>
      </c>
      <c r="W41" s="70">
        <f t="shared" si="14"/>
        <v>2</v>
      </c>
      <c r="X41" s="80">
        <f>D$40+D$41</f>
        <v>0</v>
      </c>
      <c r="Y41" s="81">
        <f t="shared" ref="Y41" si="53">E$40+E$41</f>
        <v>0</v>
      </c>
      <c r="Z41" s="81">
        <f t="shared" ref="Z41" si="54">F$40+F$41</f>
        <v>1133.174946706974</v>
      </c>
      <c r="AA41" s="81">
        <f t="shared" ref="AA41" si="55">G$40+G$41</f>
        <v>2463.992584273019</v>
      </c>
      <c r="AB41" s="81">
        <f t="shared" ref="AB41" si="56">H$40+H$41</f>
        <v>0</v>
      </c>
      <c r="AC41" s="81">
        <f t="shared" ref="AC41" si="57">I$40+I$41</f>
        <v>4975.013752362881</v>
      </c>
      <c r="AD41" s="81">
        <f t="shared" ref="AD41" si="58">J$40+J$41</f>
        <v>1151.5596543481197</v>
      </c>
      <c r="AE41" s="81">
        <f t="shared" ref="AE41" si="59">K$40+K$41</f>
        <v>3058.9087725204004</v>
      </c>
      <c r="AF41" s="82">
        <f t="shared" ref="AF41" si="60">L$40+L$41</f>
        <v>527.81537437001157</v>
      </c>
      <c r="AG41" s="80">
        <f t="shared" ref="AG41" si="61">M$40+M$41</f>
        <v>0</v>
      </c>
      <c r="AH41" s="81">
        <f t="shared" ref="AH41" si="62">N$40+N$41</f>
        <v>0</v>
      </c>
      <c r="AI41" s="81">
        <f t="shared" ref="AI41" si="63">O$40+O$41</f>
        <v>83.930491052763188</v>
      </c>
      <c r="AJ41" s="81">
        <f t="shared" ref="AJ41" si="64">P$40+P$41</f>
        <v>170.7546860901202</v>
      </c>
      <c r="AK41" s="81">
        <f t="shared" ref="AK41" si="65">Q$40+Q$41</f>
        <v>0</v>
      </c>
      <c r="AL41" s="81">
        <f t="shared" ref="AL41" si="66">R$40+R$41</f>
        <v>368.48268525834396</v>
      </c>
      <c r="AM41" s="81">
        <f t="shared" ref="AM41" si="67">S$40+S$41</f>
        <v>89.092331924732861</v>
      </c>
      <c r="AN41" s="81">
        <f t="shared" ref="AN41" si="68">T$40+T$41</f>
        <v>224.31997665149603</v>
      </c>
      <c r="AO41" s="82">
        <f t="shared" ref="AO41" si="69">U$40+U$41</f>
        <v>29.610442502157646</v>
      </c>
      <c r="AP41" s="77">
        <f t="shared" si="24"/>
        <v>13310.465084581405</v>
      </c>
      <c r="AQ41" s="97">
        <f t="shared" si="25"/>
        <v>966.19061347961394</v>
      </c>
    </row>
    <row r="42" spans="1:66" x14ac:dyDescent="0.25">
      <c r="A42" s="59">
        <v>33</v>
      </c>
      <c r="B42" t="s">
        <v>32</v>
      </c>
      <c r="C42" t="s">
        <v>82</v>
      </c>
      <c r="D42" s="60">
        <f>VLOOKUP(C42,IDN_JOULE_2009!$A$2:$N$37,3,FALSE)</f>
        <v>0</v>
      </c>
      <c r="E42" s="60">
        <f>VLOOKUP(C42,IDN_JOULE_2009!$A$2:$N$37,4,FALSE)</f>
        <v>0</v>
      </c>
      <c r="F42" s="60">
        <f>VLOOKUP(C42,IDN_JOULE_2009!$A$2:$N$37,7,FALSE)</f>
        <v>3660.0569765722694</v>
      </c>
      <c r="G42" s="60">
        <f>VLOOKUP(C42,IDN_JOULE_2009!$A$2:$N$37,8,FALSE)</f>
        <v>7958.4827342841345</v>
      </c>
      <c r="H42" s="60">
        <f>VLOOKUP(C42,IDN_JOULE_2009!$A$2:$N$37,9,FALSE)</f>
        <v>0</v>
      </c>
      <c r="I42" s="60">
        <f>VLOOKUP(C42,IDN_JOULE_2009!$A$2:$N$37,10,FALSE)</f>
        <v>4052.4372987656488</v>
      </c>
      <c r="J42" s="60">
        <f>VLOOKUP(C42,IDN_JOULE_2009!$A$2:$N$37,11,FALSE)</f>
        <v>938.01213972877724</v>
      </c>
      <c r="K42" s="60">
        <f>VLOOKUP(C42,IDN_JOULE_2009!$A$2:$N$37,13,FALSE)</f>
        <v>2491.6586406209681</v>
      </c>
      <c r="L42" s="60">
        <f>VLOOKUP(C42,IDN_JOULE_2009!$A$2:$N$37,14,FALSE)</f>
        <v>267.46065679873089</v>
      </c>
      <c r="M42" s="65">
        <f>VLOOKUP(C42,IDN_CO2_2009!$A$2:$N$37,3,FALSE)</f>
        <v>0</v>
      </c>
      <c r="N42" s="65">
        <f>VLOOKUP(C42,IDN_CO2_2009!$A$2:$N$37,4,FALSE)</f>
        <v>0</v>
      </c>
      <c r="O42" s="65">
        <f>VLOOKUP(C42,IDN_CO2_2009!$A$2:$N$37,7,FALSE)</f>
        <v>271.08822006478607</v>
      </c>
      <c r="P42" s="65">
        <f>VLOOKUP(C42,IDN_CO2_2009!$A$2:$N$37,8,FALSE)</f>
        <v>551.52285348589055</v>
      </c>
      <c r="Q42" s="65">
        <f>VLOOKUP(C42,IDN_CO2_2009!$A$2:$N$37,9,FALSE)</f>
        <v>0</v>
      </c>
      <c r="R42" s="65">
        <f>VLOOKUP(C42,IDN_CO2_2009!$A$2:$N$37,10,FALSE)</f>
        <v>300.15052259524236</v>
      </c>
      <c r="S42" s="65">
        <f>VLOOKUP(C42,IDN_CO2_2009!$A$2:$N$37,11,FALSE)</f>
        <v>72.570872543683066</v>
      </c>
      <c r="T42" s="65">
        <f>VLOOKUP(C42,IDN_CO2_2009!$A$2:$N$37,13,FALSE)</f>
        <v>182.72163364553765</v>
      </c>
      <c r="U42" s="65">
        <f>VLOOKUP(C42,IDN_CO2_2009!$A$2:$N$37,14,FALSE)</f>
        <v>15.004542846408803</v>
      </c>
      <c r="V42" s="68">
        <f t="shared" si="13"/>
        <v>1</v>
      </c>
      <c r="W42" s="68">
        <f t="shared" si="14"/>
        <v>1</v>
      </c>
      <c r="X42" s="77">
        <f>IF($W42=1,D42/$V42, "NR")</f>
        <v>0</v>
      </c>
      <c r="Y42" s="78">
        <f>IF($W42=1,E42/$V42, "NR")</f>
        <v>0</v>
      </c>
      <c r="Z42" s="78">
        <f>IF($W42=1,F42/$V42, "NR")</f>
        <v>3660.0569765722694</v>
      </c>
      <c r="AA42" s="78">
        <f>IF($W42=1,G42/$V42, "NR")</f>
        <v>7958.4827342841345</v>
      </c>
      <c r="AB42" s="78">
        <f>IF($W42=1,H42/$V42, "NR")</f>
        <v>0</v>
      </c>
      <c r="AC42" s="78">
        <f>IF($W42=1,I42/$V42, "NR")</f>
        <v>4052.4372987656488</v>
      </c>
      <c r="AD42" s="78">
        <f>IF($W42=1,J42/$V42, "NR")</f>
        <v>938.01213972877724</v>
      </c>
      <c r="AE42" s="78">
        <f>IF($W42=1,K42/$V42, "NR")</f>
        <v>2491.6586406209681</v>
      </c>
      <c r="AF42" s="79">
        <f>IF($W42=1,L42/$V42, "NR")</f>
        <v>267.46065679873089</v>
      </c>
      <c r="AG42" s="92">
        <f t="shared" si="15"/>
        <v>0</v>
      </c>
      <c r="AH42" s="93">
        <f t="shared" si="16"/>
        <v>0</v>
      </c>
      <c r="AI42" s="93">
        <f t="shared" si="17"/>
        <v>271.08822006478607</v>
      </c>
      <c r="AJ42" s="93">
        <f t="shared" si="18"/>
        <v>551.52285348589055</v>
      </c>
      <c r="AK42" s="93">
        <f t="shared" si="19"/>
        <v>0</v>
      </c>
      <c r="AL42" s="93">
        <f t="shared" si="20"/>
        <v>300.15052259524236</v>
      </c>
      <c r="AM42" s="93">
        <f t="shared" si="21"/>
        <v>72.570872543683066</v>
      </c>
      <c r="AN42" s="93">
        <f t="shared" si="22"/>
        <v>182.72163364553765</v>
      </c>
      <c r="AO42" s="79">
        <f t="shared" si="23"/>
        <v>15.004542846408803</v>
      </c>
      <c r="AP42" s="77">
        <f t="shared" si="24"/>
        <v>19368.10844677053</v>
      </c>
      <c r="AQ42" s="97">
        <f t="shared" si="25"/>
        <v>1393.0586451815484</v>
      </c>
    </row>
    <row r="43" spans="1:66" x14ac:dyDescent="0.25">
      <c r="A43" s="59">
        <v>34</v>
      </c>
      <c r="B43" s="58" t="s">
        <v>33</v>
      </c>
      <c r="C43" t="s">
        <v>84</v>
      </c>
      <c r="D43" s="60">
        <f>VLOOKUP(C43,IDN_JOULE_2009!$A$2:$N$37,3,FALSE)</f>
        <v>0</v>
      </c>
      <c r="E43" s="60">
        <f>VLOOKUP(C43,IDN_JOULE_2009!$A$2:$N$37,4,FALSE)</f>
        <v>0</v>
      </c>
      <c r="F43" s="60">
        <f>VLOOKUP(C43,IDN_JOULE_2009!$A$2:$N$37,7,FALSE)</f>
        <v>1201.5960706625915</v>
      </c>
      <c r="G43" s="60">
        <f>VLOOKUP(C43,IDN_JOULE_2009!$A$2:$N$37,8,FALSE)</f>
        <v>2612.7685014640838</v>
      </c>
      <c r="H43" s="60">
        <f>VLOOKUP(C43,IDN_JOULE_2009!$A$2:$N$37,9,FALSE)</f>
        <v>0</v>
      </c>
      <c r="I43" s="60">
        <f>VLOOKUP(C43,IDN_JOULE_2009!$A$2:$N$37,10,FALSE)</f>
        <v>218.7800701719807</v>
      </c>
      <c r="J43" s="60">
        <f>VLOOKUP(C43,IDN_JOULE_2009!$A$2:$N$37,11,FALSE)</f>
        <v>50.640724734850323</v>
      </c>
      <c r="K43" s="60">
        <f>VLOOKUP(C43,IDN_JOULE_2009!$A$2:$N$37,13,FALSE)</f>
        <v>134.51787456544233</v>
      </c>
      <c r="L43" s="60">
        <f>VLOOKUP(C43,IDN_JOULE_2009!$A$2:$N$37,14,FALSE)</f>
        <v>38.239866309512827</v>
      </c>
      <c r="M43" s="65">
        <f>VLOOKUP(C43,IDN_CO2_2009!$A$2:$N$37,3,FALSE)</f>
        <v>0</v>
      </c>
      <c r="N43" s="65">
        <f>VLOOKUP(C43,IDN_CO2_2009!$A$2:$N$37,4,FALSE)</f>
        <v>0</v>
      </c>
      <c r="O43" s="65">
        <f>VLOOKUP(C43,IDN_CO2_2009!$A$2:$N$37,7,FALSE)</f>
        <v>88.998215633742603</v>
      </c>
      <c r="P43" s="65">
        <f>VLOOKUP(C43,IDN_CO2_2009!$A$2:$N$37,8,FALSE)</f>
        <v>181.06485715146101</v>
      </c>
      <c r="Q43" s="65">
        <f>VLOOKUP(C43,IDN_CO2_2009!$A$2:$N$37,9,FALSE)</f>
        <v>0</v>
      </c>
      <c r="R43" s="65">
        <f>VLOOKUP(C43,IDN_CO2_2009!$A$2:$N$37,10,FALSE)</f>
        <v>16.204310530738034</v>
      </c>
      <c r="S43" s="65">
        <f>VLOOKUP(C43,IDN_CO2_2009!$A$2:$N$37,11,FALSE)</f>
        <v>3.9179040703195867</v>
      </c>
      <c r="T43" s="65">
        <f>VLOOKUP(C43,IDN_CO2_2009!$A$2:$N$37,13,FALSE)</f>
        <v>9.8646441347991036</v>
      </c>
      <c r="U43" s="65">
        <f>VLOOKUP(C43,IDN_CO2_2009!$A$2:$N$37,14,FALSE)</f>
        <v>2.1452564999636694</v>
      </c>
      <c r="V43" s="68">
        <f t="shared" si="13"/>
        <v>2</v>
      </c>
      <c r="W43" s="70">
        <f t="shared" si="14"/>
        <v>3</v>
      </c>
      <c r="X43" s="80">
        <f>D$43+D$44+$D45</f>
        <v>0</v>
      </c>
      <c r="Y43" s="81">
        <f t="shared" ref="Y43:AO45" si="70">E$43+E$44+$D45</f>
        <v>0</v>
      </c>
      <c r="Z43" s="81">
        <f t="shared" si="70"/>
        <v>6480.2932339183735</v>
      </c>
      <c r="AA43" s="81">
        <f t="shared" si="70"/>
        <v>14090.846712320119</v>
      </c>
      <c r="AB43" s="81">
        <f t="shared" si="70"/>
        <v>0</v>
      </c>
      <c r="AC43" s="81">
        <f t="shared" si="70"/>
        <v>661.06654891846847</v>
      </c>
      <c r="AD43" s="81">
        <f t="shared" si="70"/>
        <v>153.01617331451536</v>
      </c>
      <c r="AE43" s="81">
        <f t="shared" si="70"/>
        <v>406.45963335198303</v>
      </c>
      <c r="AF43" s="82">
        <f t="shared" si="70"/>
        <v>110.5417822947835</v>
      </c>
      <c r="AG43" s="80">
        <f t="shared" si="70"/>
        <v>0</v>
      </c>
      <c r="AH43" s="81">
        <f t="shared" si="70"/>
        <v>0</v>
      </c>
      <c r="AI43" s="81">
        <f t="shared" si="70"/>
        <v>479.97371885888754</v>
      </c>
      <c r="AJ43" s="81">
        <f t="shared" si="70"/>
        <v>976.49567716378442</v>
      </c>
      <c r="AK43" s="81">
        <f t="shared" si="70"/>
        <v>0</v>
      </c>
      <c r="AL43" s="81">
        <f t="shared" si="70"/>
        <v>48.962995723227891</v>
      </c>
      <c r="AM43" s="81">
        <f t="shared" si="70"/>
        <v>11.838351275433006</v>
      </c>
      <c r="AN43" s="81">
        <f t="shared" si="70"/>
        <v>29.80703977914542</v>
      </c>
      <c r="AO43" s="82">
        <f t="shared" si="70"/>
        <v>6.2013939867373544</v>
      </c>
      <c r="AP43" s="77">
        <f t="shared" si="24"/>
        <v>21902.224084118243</v>
      </c>
      <c r="AQ43" s="97">
        <f t="shared" si="25"/>
        <v>1553.2791767872156</v>
      </c>
    </row>
    <row r="44" spans="1:66" x14ac:dyDescent="0.25">
      <c r="A44" s="59">
        <v>34</v>
      </c>
      <c r="B44" s="58" t="s">
        <v>33</v>
      </c>
      <c r="C44" t="s">
        <v>83</v>
      </c>
      <c r="D44" s="60">
        <f>VLOOKUP(C44,IDN_JOULE_2009!$A$2:$N$37,3,FALSE)</f>
        <v>0</v>
      </c>
      <c r="E44" s="60">
        <f>VLOOKUP(C44,IDN_JOULE_2009!$A$2:$N$37,4,FALSE)</f>
        <v>0</v>
      </c>
      <c r="F44" s="60">
        <f>VLOOKUP(C44,IDN_JOULE_2009!$A$2:$N$37,7,FALSE)</f>
        <v>5278.6971632557825</v>
      </c>
      <c r="G44" s="60">
        <f>VLOOKUP(C44,IDN_JOULE_2009!$A$2:$N$37,8,FALSE)</f>
        <v>11478.078210856036</v>
      </c>
      <c r="H44" s="60">
        <f>VLOOKUP(C44,IDN_JOULE_2009!$A$2:$N$37,9,FALSE)</f>
        <v>0</v>
      </c>
      <c r="I44" s="60">
        <f>VLOOKUP(C44,IDN_JOULE_2009!$A$2:$N$37,10,FALSE)</f>
        <v>442.28647874648777</v>
      </c>
      <c r="J44" s="60">
        <f>VLOOKUP(C44,IDN_JOULE_2009!$A$2:$N$37,11,FALSE)</f>
        <v>102.37544857966505</v>
      </c>
      <c r="K44" s="60">
        <f>VLOOKUP(C44,IDN_JOULE_2009!$A$2:$N$37,13,FALSE)</f>
        <v>271.94175878654067</v>
      </c>
      <c r="L44" s="60">
        <f>VLOOKUP(C44,IDN_JOULE_2009!$A$2:$N$37,14,FALSE)</f>
        <v>72.301915985270682</v>
      </c>
      <c r="M44" s="65">
        <f>VLOOKUP(C44,IDN_CO2_2009!$A$2:$N$37,3,FALSE)</f>
        <v>0</v>
      </c>
      <c r="N44" s="65">
        <f>VLOOKUP(C44,IDN_CO2_2009!$A$2:$N$37,4,FALSE)</f>
        <v>0</v>
      </c>
      <c r="O44" s="65">
        <f>VLOOKUP(C44,IDN_CO2_2009!$A$2:$N$37,7,FALSE)</f>
        <v>390.97550322514491</v>
      </c>
      <c r="P44" s="65">
        <f>VLOOKUP(C44,IDN_CO2_2009!$A$2:$N$37,8,FALSE)</f>
        <v>795.43082001232335</v>
      </c>
      <c r="Q44" s="65">
        <f>VLOOKUP(C44,IDN_CO2_2009!$A$2:$N$37,9,FALSE)</f>
        <v>0</v>
      </c>
      <c r="R44" s="65">
        <f>VLOOKUP(C44,IDN_CO2_2009!$A$2:$N$37,10,FALSE)</f>
        <v>32.758685192489857</v>
      </c>
      <c r="S44" s="65">
        <f>VLOOKUP(C44,IDN_CO2_2009!$A$2:$N$37,11,FALSE)</f>
        <v>7.9204472051134189</v>
      </c>
      <c r="T44" s="65">
        <f>VLOOKUP(C44,IDN_CO2_2009!$A$2:$N$37,13,FALSE)</f>
        <v>19.942395644346316</v>
      </c>
      <c r="U44" s="65">
        <f>VLOOKUP(C44,IDN_CO2_2009!$A$2:$N$37,14,FALSE)</f>
        <v>4.056137486773685</v>
      </c>
      <c r="V44" s="68">
        <f t="shared" si="13"/>
        <v>1</v>
      </c>
      <c r="W44" s="70">
        <f t="shared" si="14"/>
        <v>3</v>
      </c>
      <c r="X44" s="80">
        <f t="shared" ref="X44:X45" si="71">D$43+D$44+$D46</f>
        <v>0</v>
      </c>
      <c r="Y44" s="81">
        <f t="shared" si="70"/>
        <v>0</v>
      </c>
      <c r="Z44" s="81">
        <f t="shared" si="70"/>
        <v>6480.2932339183735</v>
      </c>
      <c r="AA44" s="81">
        <f t="shared" si="70"/>
        <v>14090.846712320119</v>
      </c>
      <c r="AB44" s="81">
        <f t="shared" si="70"/>
        <v>0</v>
      </c>
      <c r="AC44" s="81">
        <f t="shared" si="70"/>
        <v>661.06654891846847</v>
      </c>
      <c r="AD44" s="81">
        <f t="shared" si="70"/>
        <v>153.01617331451536</v>
      </c>
      <c r="AE44" s="81">
        <f t="shared" si="70"/>
        <v>406.45963335198303</v>
      </c>
      <c r="AF44" s="82">
        <f t="shared" si="70"/>
        <v>110.5417822947835</v>
      </c>
      <c r="AG44" s="80">
        <f t="shared" si="70"/>
        <v>0</v>
      </c>
      <c r="AH44" s="81">
        <f t="shared" si="70"/>
        <v>0</v>
      </c>
      <c r="AI44" s="81">
        <f t="shared" si="70"/>
        <v>479.97371885888754</v>
      </c>
      <c r="AJ44" s="81">
        <f t="shared" si="70"/>
        <v>976.49567716378442</v>
      </c>
      <c r="AK44" s="81">
        <f t="shared" si="70"/>
        <v>0</v>
      </c>
      <c r="AL44" s="81">
        <f t="shared" si="70"/>
        <v>48.962995723227891</v>
      </c>
      <c r="AM44" s="81">
        <f t="shared" si="70"/>
        <v>11.838351275433006</v>
      </c>
      <c r="AN44" s="81">
        <f t="shared" si="70"/>
        <v>29.80703977914542</v>
      </c>
      <c r="AO44" s="82">
        <f t="shared" si="70"/>
        <v>6.2013939867373544</v>
      </c>
      <c r="AP44" s="77">
        <f t="shared" si="24"/>
        <v>21902.224084118243</v>
      </c>
      <c r="AQ44" s="97">
        <f t="shared" si="25"/>
        <v>1553.2791767872156</v>
      </c>
    </row>
    <row r="45" spans="1:66" x14ac:dyDescent="0.25">
      <c r="A45" s="59">
        <v>34</v>
      </c>
      <c r="B45" s="58" t="s">
        <v>33</v>
      </c>
      <c r="C45" t="s">
        <v>87</v>
      </c>
      <c r="D45" s="60">
        <f>VLOOKUP(C45,IDN_JOULE_2009!$A$2:$N$37,3,FALSE)</f>
        <v>0</v>
      </c>
      <c r="E45" s="60">
        <f>VLOOKUP(C45,IDN_JOULE_2009!$A$2:$N$37,4,FALSE)</f>
        <v>0</v>
      </c>
      <c r="F45" s="60">
        <f>VLOOKUP(C45,IDN_JOULE_2009!$A$2:$N$37,7,FALSE)</f>
        <v>0</v>
      </c>
      <c r="G45" s="60">
        <f>VLOOKUP(C45,IDN_JOULE_2009!$A$2:$N$37,8,FALSE)</f>
        <v>0</v>
      </c>
      <c r="H45" s="60">
        <f>VLOOKUP(C45,IDN_JOULE_2009!$A$2:$N$37,9,FALSE)</f>
        <v>0</v>
      </c>
      <c r="I45" s="60">
        <f>VLOOKUP(C45,IDN_JOULE_2009!$A$2:$N$37,10,FALSE)</f>
        <v>0</v>
      </c>
      <c r="J45" s="60">
        <f>VLOOKUP(C45,IDN_JOULE_2009!$A$2:$N$37,11,FALSE)</f>
        <v>0</v>
      </c>
      <c r="K45" s="60">
        <f>VLOOKUP(C45,IDN_JOULE_2009!$A$2:$N$37,13,FALSE)</f>
        <v>0</v>
      </c>
      <c r="L45" s="60">
        <f>VLOOKUP(C45,IDN_JOULE_2009!$A$2:$N$37,14,FALSE)</f>
        <v>0</v>
      </c>
      <c r="M45" s="65">
        <f>VLOOKUP(C45,IDN_CO2_2009!$A$2:$N$37,3,FALSE)</f>
        <v>0</v>
      </c>
      <c r="N45" s="65">
        <f>VLOOKUP(C45,IDN_CO2_2009!$A$2:$N$37,4,FALSE)</f>
        <v>0</v>
      </c>
      <c r="O45" s="65">
        <f>VLOOKUP(C45,IDN_CO2_2009!$A$2:$N$37,7,FALSE)</f>
        <v>0</v>
      </c>
      <c r="P45" s="65">
        <f>VLOOKUP(C45,IDN_CO2_2009!$A$2:$N$37,8,FALSE)</f>
        <v>0</v>
      </c>
      <c r="Q45" s="65">
        <f>VLOOKUP(C45,IDN_CO2_2009!$A$2:$N$37,9,FALSE)</f>
        <v>0</v>
      </c>
      <c r="R45" s="65">
        <f>VLOOKUP(C45,IDN_CO2_2009!$A$2:$N$37,10,FALSE)</f>
        <v>0</v>
      </c>
      <c r="S45" s="65">
        <f>VLOOKUP(C45,IDN_CO2_2009!$A$2:$N$37,11,FALSE)</f>
        <v>0</v>
      </c>
      <c r="T45" s="65">
        <f>VLOOKUP(C45,IDN_CO2_2009!$A$2:$N$37,13,FALSE)</f>
        <v>0</v>
      </c>
      <c r="U45" s="65">
        <f>VLOOKUP(C45,IDN_CO2_2009!$A$2:$N$37,14,FALSE)</f>
        <v>0</v>
      </c>
      <c r="V45" s="68">
        <f t="shared" si="13"/>
        <v>1</v>
      </c>
      <c r="W45" s="70">
        <f t="shared" si="14"/>
        <v>3</v>
      </c>
      <c r="X45" s="80">
        <f t="shared" si="71"/>
        <v>0</v>
      </c>
      <c r="Y45" s="81">
        <f t="shared" si="70"/>
        <v>0</v>
      </c>
      <c r="Z45" s="81">
        <f t="shared" si="70"/>
        <v>6480.2932339183735</v>
      </c>
      <c r="AA45" s="81">
        <f t="shared" si="70"/>
        <v>14090.846712320119</v>
      </c>
      <c r="AB45" s="81">
        <f t="shared" si="70"/>
        <v>0</v>
      </c>
      <c r="AC45" s="81">
        <f t="shared" si="70"/>
        <v>661.06654891846847</v>
      </c>
      <c r="AD45" s="81">
        <f t="shared" si="70"/>
        <v>153.01617331451536</v>
      </c>
      <c r="AE45" s="81">
        <f t="shared" si="70"/>
        <v>406.45963335198303</v>
      </c>
      <c r="AF45" s="82">
        <f t="shared" si="70"/>
        <v>110.5417822947835</v>
      </c>
      <c r="AG45" s="80">
        <f t="shared" si="70"/>
        <v>0</v>
      </c>
      <c r="AH45" s="81">
        <f t="shared" si="70"/>
        <v>0</v>
      </c>
      <c r="AI45" s="81">
        <f t="shared" si="70"/>
        <v>479.97371885888754</v>
      </c>
      <c r="AJ45" s="81">
        <f t="shared" si="70"/>
        <v>976.49567716378442</v>
      </c>
      <c r="AK45" s="81">
        <f t="shared" si="70"/>
        <v>0</v>
      </c>
      <c r="AL45" s="81">
        <f t="shared" si="70"/>
        <v>48.962995723227891</v>
      </c>
      <c r="AM45" s="81">
        <f t="shared" si="70"/>
        <v>11.838351275433006</v>
      </c>
      <c r="AN45" s="81">
        <f t="shared" si="70"/>
        <v>29.80703977914542</v>
      </c>
      <c r="AO45" s="82">
        <f t="shared" si="70"/>
        <v>6.2013939867373544</v>
      </c>
      <c r="AP45" s="77">
        <f t="shared" si="24"/>
        <v>21902.224084118243</v>
      </c>
      <c r="AQ45" s="97">
        <f t="shared" si="25"/>
        <v>1553.2791767872156</v>
      </c>
    </row>
    <row r="46" spans="1:66" x14ac:dyDescent="0.25">
      <c r="A46" s="59">
        <v>35</v>
      </c>
      <c r="B46" t="s">
        <v>34</v>
      </c>
      <c r="C46" t="s">
        <v>84</v>
      </c>
      <c r="D46" s="60">
        <f>VLOOKUP(C46,IDN_JOULE_2009!$A$2:$N$37,3,FALSE)</f>
        <v>0</v>
      </c>
      <c r="E46" s="60">
        <f>VLOOKUP(C46,IDN_JOULE_2009!$A$2:$N$37,4,FALSE)</f>
        <v>0</v>
      </c>
      <c r="F46" s="60">
        <f>VLOOKUP(C46,IDN_JOULE_2009!$A$2:$N$37,7,FALSE)</f>
        <v>1201.5960706625915</v>
      </c>
      <c r="G46" s="60">
        <f>VLOOKUP(C46,IDN_JOULE_2009!$A$2:$N$37,8,FALSE)</f>
        <v>2612.7685014640838</v>
      </c>
      <c r="H46" s="60">
        <f>VLOOKUP(C46,IDN_JOULE_2009!$A$2:$N$37,9,FALSE)</f>
        <v>0</v>
      </c>
      <c r="I46" s="60">
        <f>VLOOKUP(C46,IDN_JOULE_2009!$A$2:$N$37,10,FALSE)</f>
        <v>218.7800701719807</v>
      </c>
      <c r="J46" s="60">
        <f>VLOOKUP(C46,IDN_JOULE_2009!$A$2:$N$37,11,FALSE)</f>
        <v>50.640724734850323</v>
      </c>
      <c r="K46" s="60">
        <f>VLOOKUP(C46,IDN_JOULE_2009!$A$2:$N$37,13,FALSE)</f>
        <v>134.51787456544233</v>
      </c>
      <c r="L46" s="60">
        <f>VLOOKUP(C46,IDN_JOULE_2009!$A$2:$N$37,14,FALSE)</f>
        <v>38.239866309512827</v>
      </c>
      <c r="M46" s="65">
        <f>VLOOKUP(C46,IDN_CO2_2009!$A$2:$N$37,3,FALSE)</f>
        <v>0</v>
      </c>
      <c r="N46" s="65">
        <f>VLOOKUP(C46,IDN_CO2_2009!$A$2:$N$37,4,FALSE)</f>
        <v>0</v>
      </c>
      <c r="O46" s="65">
        <f>VLOOKUP(C46,IDN_CO2_2009!$A$2:$N$37,7,FALSE)</f>
        <v>88.998215633742603</v>
      </c>
      <c r="P46" s="65">
        <f>VLOOKUP(C46,IDN_CO2_2009!$A$2:$N$37,8,FALSE)</f>
        <v>181.06485715146101</v>
      </c>
      <c r="Q46" s="65">
        <f>VLOOKUP(C46,IDN_CO2_2009!$A$2:$N$37,9,FALSE)</f>
        <v>0</v>
      </c>
      <c r="R46" s="65">
        <f>VLOOKUP(C46,IDN_CO2_2009!$A$2:$N$37,10,FALSE)</f>
        <v>16.204310530738034</v>
      </c>
      <c r="S46" s="65">
        <f>VLOOKUP(C46,IDN_CO2_2009!$A$2:$N$37,11,FALSE)</f>
        <v>3.9179040703195867</v>
      </c>
      <c r="T46" s="65">
        <f>VLOOKUP(C46,IDN_CO2_2009!$A$2:$N$37,13,FALSE)</f>
        <v>9.8646441347991036</v>
      </c>
      <c r="U46" s="65">
        <f>VLOOKUP(C46,IDN_CO2_2009!$A$2:$N$37,14,FALSE)</f>
        <v>2.1452564999636694</v>
      </c>
      <c r="V46" s="68">
        <f t="shared" si="13"/>
        <v>2</v>
      </c>
      <c r="W46" s="68">
        <f t="shared" si="14"/>
        <v>1</v>
      </c>
      <c r="X46" s="77">
        <f>IF($W46=1,D46/$V46, "NR")</f>
        <v>0</v>
      </c>
      <c r="Y46" s="78">
        <f>IF($W46=1,E46/$V46, "NR")</f>
        <v>0</v>
      </c>
      <c r="Z46" s="78">
        <f>IF($W46=1,F46/$V46, "NR")</f>
        <v>600.79803533129575</v>
      </c>
      <c r="AA46" s="78">
        <f>IF($W46=1,G46/$V46, "NR")</f>
        <v>1306.3842507320419</v>
      </c>
      <c r="AB46" s="78">
        <f>IF($W46=1,H46/$V46, "NR")</f>
        <v>0</v>
      </c>
      <c r="AC46" s="78">
        <f>IF($W46=1,I46/$V46, "NR")</f>
        <v>109.39003508599035</v>
      </c>
      <c r="AD46" s="78">
        <f>IF($W46=1,J46/$V46, "NR")</f>
        <v>25.320362367425162</v>
      </c>
      <c r="AE46" s="78">
        <f>IF($W46=1,K46/$V46, "NR")</f>
        <v>67.258937282721163</v>
      </c>
      <c r="AF46" s="79">
        <f>IF($W46=1,L46/$V46, "NR")</f>
        <v>19.119933154756414</v>
      </c>
      <c r="AG46" s="92">
        <f t="shared" si="15"/>
        <v>0</v>
      </c>
      <c r="AH46" s="93">
        <f t="shared" si="16"/>
        <v>0</v>
      </c>
      <c r="AI46" s="93">
        <f t="shared" si="17"/>
        <v>44.499107816871302</v>
      </c>
      <c r="AJ46" s="93">
        <f t="shared" si="18"/>
        <v>90.532428575730506</v>
      </c>
      <c r="AK46" s="93">
        <f t="shared" si="19"/>
        <v>0</v>
      </c>
      <c r="AL46" s="93">
        <f t="shared" si="20"/>
        <v>8.1021552653690172</v>
      </c>
      <c r="AM46" s="93">
        <f t="shared" si="21"/>
        <v>1.9589520351597933</v>
      </c>
      <c r="AN46" s="93">
        <f t="shared" si="22"/>
        <v>4.9323220673995518</v>
      </c>
      <c r="AO46" s="79">
        <f t="shared" si="23"/>
        <v>1.0726282499818347</v>
      </c>
      <c r="AP46" s="77">
        <f t="shared" si="24"/>
        <v>2128.2715539542305</v>
      </c>
      <c r="AQ46" s="97">
        <f t="shared" si="25"/>
        <v>151.09759401051204</v>
      </c>
    </row>
    <row r="47" spans="1:66" x14ac:dyDescent="0.25">
      <c r="A47" s="59">
        <v>36</v>
      </c>
      <c r="B47" s="58" t="s">
        <v>35</v>
      </c>
      <c r="C47" t="s">
        <v>85</v>
      </c>
      <c r="D47" s="60">
        <f>VLOOKUP(C47,IDN_JOULE_2009!$A$2:$N$37,3,FALSE)</f>
        <v>0</v>
      </c>
      <c r="E47" s="60">
        <f>VLOOKUP(C47,IDN_JOULE_2009!$A$2:$N$37,4,FALSE)</f>
        <v>0</v>
      </c>
      <c r="F47" s="60">
        <f>VLOOKUP(C47,IDN_JOULE_2009!$A$2:$N$37,7,FALSE)</f>
        <v>5998.1441227483083</v>
      </c>
      <c r="G47" s="60">
        <f>VLOOKUP(C47,IDN_JOULE_2009!$A$2:$N$37,8,FALSE)</f>
        <v>13042.454460188837</v>
      </c>
      <c r="H47" s="60">
        <f>VLOOKUP(C47,IDN_JOULE_2009!$A$2:$N$37,9,FALSE)</f>
        <v>0</v>
      </c>
      <c r="I47" s="60">
        <f>VLOOKUP(C47,IDN_JOULE_2009!$A$2:$N$37,10,FALSE)</f>
        <v>1555.2784066907634</v>
      </c>
      <c r="J47" s="60">
        <f>VLOOKUP(C47,IDN_JOULE_2009!$A$2:$N$37,11,FALSE)</f>
        <v>359.99817358761612</v>
      </c>
      <c r="K47" s="60">
        <f>VLOOKUP(C47,IDN_JOULE_2009!$A$2:$N$37,13,FALSE)</f>
        <v>956.26967054681529</v>
      </c>
      <c r="L47" s="60">
        <f>VLOOKUP(C47,IDN_JOULE_2009!$A$2:$N$37,14,FALSE)</f>
        <v>608.56259198565363</v>
      </c>
      <c r="M47" s="65">
        <f>VLOOKUP(C47,IDN_CO2_2009!$A$2:$N$37,3,FALSE)</f>
        <v>0</v>
      </c>
      <c r="N47" s="65">
        <f>VLOOKUP(C47,IDN_CO2_2009!$A$2:$N$37,4,FALSE)</f>
        <v>0</v>
      </c>
      <c r="O47" s="65">
        <f>VLOOKUP(C47,IDN_CO2_2009!$A$2:$N$37,7,FALSE)</f>
        <v>444.26254135822455</v>
      </c>
      <c r="P47" s="65">
        <f>VLOOKUP(C47,IDN_CO2_2009!$A$2:$N$37,8,FALSE)</f>
        <v>903.84209409108644</v>
      </c>
      <c r="Q47" s="65">
        <f>VLOOKUP(C47,IDN_CO2_2009!$A$2:$N$37,9,FALSE)</f>
        <v>0</v>
      </c>
      <c r="R47" s="65">
        <f>VLOOKUP(C47,IDN_CO2_2009!$A$2:$N$37,10,FALSE)</f>
        <v>115.1942873222292</v>
      </c>
      <c r="S47" s="65">
        <f>VLOOKUP(C47,IDN_CO2_2009!$A$2:$N$37,11,FALSE)</f>
        <v>27.851858696561898</v>
      </c>
      <c r="T47" s="65">
        <f>VLOOKUP(C47,IDN_CO2_2009!$A$2:$N$37,13,FALSE)</f>
        <v>70.126442506766452</v>
      </c>
      <c r="U47" s="65">
        <f>VLOOKUP(C47,IDN_CO2_2009!$A$2:$N$37,14,FALSE)</f>
        <v>34.140361410395172</v>
      </c>
      <c r="V47" s="68">
        <f t="shared" si="13"/>
        <v>1</v>
      </c>
      <c r="W47" s="70">
        <f t="shared" si="14"/>
        <v>2</v>
      </c>
      <c r="X47" s="80">
        <f>D$47+D$48</f>
        <v>0</v>
      </c>
      <c r="Y47" s="81">
        <f t="shared" ref="Y47:AO48" si="72">E$47+E$48</f>
        <v>0</v>
      </c>
      <c r="Z47" s="81">
        <f t="shared" si="72"/>
        <v>5998.1441227483083</v>
      </c>
      <c r="AA47" s="81">
        <f t="shared" si="72"/>
        <v>13042.454460188837</v>
      </c>
      <c r="AB47" s="81">
        <f t="shared" si="72"/>
        <v>0</v>
      </c>
      <c r="AC47" s="81">
        <f t="shared" si="72"/>
        <v>1555.2784066907634</v>
      </c>
      <c r="AD47" s="81">
        <f t="shared" si="72"/>
        <v>359.99817358761612</v>
      </c>
      <c r="AE47" s="81">
        <f t="shared" si="72"/>
        <v>956.26967054681529</v>
      </c>
      <c r="AF47" s="82">
        <f t="shared" si="72"/>
        <v>608.56259198565363</v>
      </c>
      <c r="AG47" s="80">
        <f t="shared" si="72"/>
        <v>0</v>
      </c>
      <c r="AH47" s="81">
        <f t="shared" si="72"/>
        <v>0</v>
      </c>
      <c r="AI47" s="81">
        <f t="shared" si="72"/>
        <v>444.26254135822455</v>
      </c>
      <c r="AJ47" s="81">
        <f t="shared" si="72"/>
        <v>903.84209409108644</v>
      </c>
      <c r="AK47" s="81">
        <f t="shared" si="72"/>
        <v>0</v>
      </c>
      <c r="AL47" s="81">
        <f t="shared" si="72"/>
        <v>115.1942873222292</v>
      </c>
      <c r="AM47" s="81">
        <f t="shared" si="72"/>
        <v>27.851858696561898</v>
      </c>
      <c r="AN47" s="81">
        <f t="shared" si="72"/>
        <v>70.126442506766452</v>
      </c>
      <c r="AO47" s="82">
        <f t="shared" si="72"/>
        <v>34.140361410395172</v>
      </c>
      <c r="AP47" s="77">
        <f t="shared" si="24"/>
        <v>22520.707425747994</v>
      </c>
      <c r="AQ47" s="97">
        <f t="shared" si="25"/>
        <v>1595.4175853852637</v>
      </c>
    </row>
    <row r="48" spans="1:66" x14ac:dyDescent="0.25">
      <c r="A48" s="59">
        <v>36</v>
      </c>
      <c r="B48" s="58" t="s">
        <v>35</v>
      </c>
      <c r="C48" t="s">
        <v>86</v>
      </c>
      <c r="D48" s="60">
        <f>VLOOKUP(C48,IDN_JOULE_2009!$A$2:$N$37,3,FALSE)</f>
        <v>0</v>
      </c>
      <c r="E48" s="60">
        <f>VLOOKUP(C48,IDN_JOULE_2009!$A$2:$N$37,4,FALSE)</f>
        <v>0</v>
      </c>
      <c r="F48" s="60">
        <f>VLOOKUP(C48,IDN_JOULE_2009!$A$2:$N$37,7,FALSE)</f>
        <v>0</v>
      </c>
      <c r="G48" s="60">
        <f>VLOOKUP(C48,IDN_JOULE_2009!$A$2:$N$37,8,FALSE)</f>
        <v>0</v>
      </c>
      <c r="H48" s="60">
        <f>VLOOKUP(C48,IDN_JOULE_2009!$A$2:$N$37,9,FALSE)</f>
        <v>0</v>
      </c>
      <c r="I48" s="60">
        <f>VLOOKUP(C48,IDN_JOULE_2009!$A$2:$N$37,10,FALSE)</f>
        <v>0</v>
      </c>
      <c r="J48" s="60">
        <f>VLOOKUP(C48,IDN_JOULE_2009!$A$2:$N$37,11,FALSE)</f>
        <v>0</v>
      </c>
      <c r="K48" s="60">
        <f>VLOOKUP(C48,IDN_JOULE_2009!$A$2:$N$37,13,FALSE)</f>
        <v>0</v>
      </c>
      <c r="L48" s="60">
        <f>VLOOKUP(C48,IDN_JOULE_2009!$A$2:$N$37,14,FALSE)</f>
        <v>0</v>
      </c>
      <c r="M48" s="65">
        <f>VLOOKUP(C48,IDN_CO2_2009!$A$2:$N$37,3,FALSE)</f>
        <v>0</v>
      </c>
      <c r="N48" s="65">
        <f>VLOOKUP(C48,IDN_CO2_2009!$A$2:$N$37,4,FALSE)</f>
        <v>0</v>
      </c>
      <c r="O48" s="65">
        <f>VLOOKUP(C48,IDN_CO2_2009!$A$2:$N$37,7,FALSE)</f>
        <v>0</v>
      </c>
      <c r="P48" s="65">
        <f>VLOOKUP(C48,IDN_CO2_2009!$A$2:$N$37,8,FALSE)</f>
        <v>0</v>
      </c>
      <c r="Q48" s="65">
        <f>VLOOKUP(C48,IDN_CO2_2009!$A$2:$N$37,9,FALSE)</f>
        <v>0</v>
      </c>
      <c r="R48" s="65">
        <f>VLOOKUP(C48,IDN_CO2_2009!$A$2:$N$37,10,FALSE)</f>
        <v>0</v>
      </c>
      <c r="S48" s="65">
        <f>VLOOKUP(C48,IDN_CO2_2009!$A$2:$N$37,11,FALSE)</f>
        <v>0</v>
      </c>
      <c r="T48" s="65">
        <f>VLOOKUP(C48,IDN_CO2_2009!$A$2:$N$37,13,FALSE)</f>
        <v>0</v>
      </c>
      <c r="U48" s="65">
        <f>VLOOKUP(C48,IDN_CO2_2009!$A$2:$N$37,14,FALSE)</f>
        <v>0</v>
      </c>
      <c r="V48" s="68">
        <f t="shared" si="13"/>
        <v>1</v>
      </c>
      <c r="W48" s="70">
        <f t="shared" si="14"/>
        <v>2</v>
      </c>
      <c r="X48" s="80">
        <f>D$47+D$48</f>
        <v>0</v>
      </c>
      <c r="Y48" s="81">
        <f t="shared" si="72"/>
        <v>0</v>
      </c>
      <c r="Z48" s="81">
        <f t="shared" si="72"/>
        <v>5998.1441227483083</v>
      </c>
      <c r="AA48" s="81">
        <f t="shared" si="72"/>
        <v>13042.454460188837</v>
      </c>
      <c r="AB48" s="81">
        <f t="shared" si="72"/>
        <v>0</v>
      </c>
      <c r="AC48" s="81">
        <f t="shared" si="72"/>
        <v>1555.2784066907634</v>
      </c>
      <c r="AD48" s="81">
        <f t="shared" si="72"/>
        <v>359.99817358761612</v>
      </c>
      <c r="AE48" s="81">
        <f t="shared" si="72"/>
        <v>956.26967054681529</v>
      </c>
      <c r="AF48" s="82">
        <f t="shared" si="72"/>
        <v>608.56259198565363</v>
      </c>
      <c r="AG48" s="80">
        <f t="shared" si="72"/>
        <v>0</v>
      </c>
      <c r="AH48" s="81">
        <f t="shared" si="72"/>
        <v>0</v>
      </c>
      <c r="AI48" s="81">
        <f t="shared" si="72"/>
        <v>444.26254135822455</v>
      </c>
      <c r="AJ48" s="81">
        <f t="shared" si="72"/>
        <v>903.84209409108644</v>
      </c>
      <c r="AK48" s="81">
        <f t="shared" si="72"/>
        <v>0</v>
      </c>
      <c r="AL48" s="81">
        <f t="shared" si="72"/>
        <v>115.1942873222292</v>
      </c>
      <c r="AM48" s="81">
        <f t="shared" si="72"/>
        <v>27.851858696561898</v>
      </c>
      <c r="AN48" s="81">
        <f t="shared" si="72"/>
        <v>70.126442506766452</v>
      </c>
      <c r="AO48" s="82">
        <f t="shared" si="72"/>
        <v>34.140361410395172</v>
      </c>
      <c r="AP48" s="77">
        <f t="shared" si="24"/>
        <v>22520.707425747994</v>
      </c>
      <c r="AQ48" s="97">
        <f t="shared" si="25"/>
        <v>1595.4175853852637</v>
      </c>
    </row>
    <row r="49" spans="1:43" ht="15.75" thickBot="1" x14ac:dyDescent="0.3">
      <c r="A49" s="59">
        <v>37</v>
      </c>
      <c r="B49" t="s">
        <v>36</v>
      </c>
      <c r="C49" t="s">
        <v>88</v>
      </c>
      <c r="D49" s="60">
        <v>0</v>
      </c>
      <c r="E49" s="60">
        <v>0</v>
      </c>
      <c r="F49" s="60">
        <v>0</v>
      </c>
      <c r="G49" s="60">
        <v>0</v>
      </c>
      <c r="H49" s="60">
        <v>0</v>
      </c>
      <c r="I49" s="60">
        <v>0</v>
      </c>
      <c r="J49" s="60">
        <v>0</v>
      </c>
      <c r="K49" s="60">
        <v>0</v>
      </c>
      <c r="L49" s="60">
        <v>0</v>
      </c>
      <c r="M49" s="65">
        <v>0</v>
      </c>
      <c r="N49" s="65">
        <v>0</v>
      </c>
      <c r="O49" s="65">
        <v>0</v>
      </c>
      <c r="P49" s="65">
        <v>0</v>
      </c>
      <c r="Q49" s="65">
        <v>0</v>
      </c>
      <c r="R49" s="65">
        <v>0</v>
      </c>
      <c r="S49" s="65">
        <v>0</v>
      </c>
      <c r="T49" s="65">
        <v>0</v>
      </c>
      <c r="U49" s="65">
        <v>0</v>
      </c>
      <c r="V49" s="68">
        <f t="shared" si="13"/>
        <v>1</v>
      </c>
      <c r="W49" s="68">
        <f t="shared" si="14"/>
        <v>1</v>
      </c>
      <c r="X49" s="83">
        <f>IF($W49=1,D49/$V49, "NR")</f>
        <v>0</v>
      </c>
      <c r="Y49" s="84">
        <f>IF($W49=1,E49/$V49, "NR")</f>
        <v>0</v>
      </c>
      <c r="Z49" s="84">
        <f>IF($W49=1,F49/$V49, "NR")</f>
        <v>0</v>
      </c>
      <c r="AA49" s="84">
        <f>IF($W49=1,G49/$V49, "NR")</f>
        <v>0</v>
      </c>
      <c r="AB49" s="84">
        <f>IF($W49=1,H49/$V49, "NR")</f>
        <v>0</v>
      </c>
      <c r="AC49" s="84">
        <f>IF($W49=1,I49/$V49, "NR")</f>
        <v>0</v>
      </c>
      <c r="AD49" s="84">
        <f>IF($W49=1,J49/$V49, "NR")</f>
        <v>0</v>
      </c>
      <c r="AE49" s="84">
        <f>IF($W49=1,K49/$V49, "NR")</f>
        <v>0</v>
      </c>
      <c r="AF49" s="85">
        <f>IF($W49=1,L49/$V49, "NR")</f>
        <v>0</v>
      </c>
      <c r="AG49" s="94">
        <f t="shared" si="15"/>
        <v>0</v>
      </c>
      <c r="AH49" s="95">
        <f t="shared" si="16"/>
        <v>0</v>
      </c>
      <c r="AI49" s="95">
        <f t="shared" si="17"/>
        <v>0</v>
      </c>
      <c r="AJ49" s="95">
        <f t="shared" si="18"/>
        <v>0</v>
      </c>
      <c r="AK49" s="95">
        <f t="shared" si="19"/>
        <v>0</v>
      </c>
      <c r="AL49" s="95">
        <f t="shared" si="20"/>
        <v>0</v>
      </c>
      <c r="AM49" s="95">
        <f t="shared" si="21"/>
        <v>0</v>
      </c>
      <c r="AN49" s="95">
        <f t="shared" si="22"/>
        <v>0</v>
      </c>
      <c r="AO49" s="85">
        <f t="shared" si="23"/>
        <v>0</v>
      </c>
      <c r="AP49" s="83">
        <f t="shared" si="24"/>
        <v>0</v>
      </c>
      <c r="AQ49" s="98">
        <f t="shared" si="25"/>
        <v>0</v>
      </c>
    </row>
  </sheetData>
  <mergeCells count="6">
    <mergeCell ref="AP1:AP2"/>
    <mergeCell ref="AQ1:AQ2"/>
    <mergeCell ref="D1:L1"/>
    <mergeCell ref="M1:U1"/>
    <mergeCell ref="X1:AF1"/>
    <mergeCell ref="AG1:AO1"/>
  </mergeCells>
  <conditionalFormatting sqref="W3:W49">
    <cfRule type="cellIs" dxfId="0" priority="1" operator="greaterThan">
      <formula>1</formula>
    </cfRule>
    <cfRule type="cellIs" priority="2" operator="greaterThan">
      <formula>1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IDN_CO2_2009!$A$2:$A$37</xm:f>
          </x14:formula1>
          <xm:sqref>C3:C48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Tabel I-O Prov Kaltim 2000</vt:lpstr>
      <vt:lpstr>I-O Prov Kaltim 2005</vt:lpstr>
      <vt:lpstr>I-O Prov Kaltim 2010</vt:lpstr>
      <vt:lpstr>IDN_CO2_2009</vt:lpstr>
      <vt:lpstr>IDN_JOULE_2009</vt:lpstr>
      <vt:lpstr>SECTOR_MAPPING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Panasonic</dc:creator>
  <cp:lastModifiedBy>Admin0</cp:lastModifiedBy>
  <dcterms:created xsi:type="dcterms:W3CDTF">2016-03-29T13:52:54Z</dcterms:created>
  <dcterms:modified xsi:type="dcterms:W3CDTF">2018-09-05T03:46:57Z</dcterms:modified>
</cp:coreProperties>
</file>