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Balikpapan\"/>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6" i="4" l="1"/>
  <c r="E17" i="4"/>
  <c r="E18" i="4"/>
  <c r="E19" i="4"/>
  <c r="E20" i="4"/>
  <c r="E21" i="4"/>
  <c r="E22" i="4"/>
  <c r="E23" i="4"/>
  <c r="E24" i="4"/>
  <c r="E25" i="4"/>
  <c r="E15" i="4"/>
  <c r="O8" i="6" l="1"/>
  <c r="N8" i="6"/>
  <c r="M8" i="6"/>
  <c r="L8" i="6"/>
  <c r="K8" i="6"/>
  <c r="J8" i="6"/>
  <c r="I8" i="6"/>
  <c r="F8" i="6"/>
  <c r="E8" i="6"/>
  <c r="C25" i="6" l="1"/>
  <c r="C26" i="6"/>
  <c r="C27" i="6"/>
  <c r="C28" i="6"/>
  <c r="C29" i="6"/>
  <c r="C30" i="6"/>
  <c r="C31" i="6"/>
  <c r="C32" i="6"/>
  <c r="C33" i="6"/>
  <c r="C34" i="6"/>
  <c r="C35" i="6"/>
  <c r="C36" i="6"/>
  <c r="C37" i="6"/>
  <c r="C38" i="6"/>
  <c r="C39" i="6"/>
  <c r="C40" i="6"/>
  <c r="C41" i="6"/>
  <c r="C42" i="6"/>
  <c r="C43" i="6"/>
  <c r="C24" i="6"/>
  <c r="C14" i="6" l="1"/>
  <c r="C15" i="6"/>
  <c r="C16" i="6"/>
  <c r="C17" i="6"/>
  <c r="C18" i="6"/>
  <c r="C19" i="6"/>
  <c r="C20" i="6"/>
  <c r="C21" i="6"/>
  <c r="C22" i="6"/>
  <c r="C23"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G26" i="7" s="1"/>
  <c r="P31" i="34" s="1"/>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K63" i="7" s="1"/>
  <c r="N62" i="6"/>
  <c r="M63" i="6"/>
  <c r="N63" i="6"/>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J55" i="7" s="1"/>
  <c r="K23" i="6"/>
  <c r="K88" i="6"/>
  <c r="I89" i="7" s="1"/>
  <c r="L40" i="6"/>
  <c r="L24" i="6"/>
  <c r="L42" i="6"/>
  <c r="K65" i="6"/>
  <c r="F18" i="6"/>
  <c r="K26" i="6"/>
  <c r="K44" i="7"/>
  <c r="L34" i="6"/>
  <c r="F41" i="6"/>
  <c r="F93" i="6"/>
  <c r="O23" i="7"/>
  <c r="F20" i="6"/>
  <c r="L71" i="6"/>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H39" i="7"/>
  <c r="C44" i="33" s="1"/>
  <c r="K48" i="6"/>
  <c r="I49" i="7" s="1"/>
  <c r="L46" i="6"/>
  <c r="O68" i="7"/>
  <c r="F19" i="6"/>
  <c r="L68" i="6"/>
  <c r="L39" i="6"/>
  <c r="L29" i="6"/>
  <c r="J30" i="7" s="1"/>
  <c r="K77" i="6"/>
  <c r="K55" i="6"/>
  <c r="K81" i="6"/>
  <c r="K59" i="6"/>
  <c r="K74" i="6"/>
  <c r="L64" i="7"/>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K48" i="7"/>
  <c r="J48" i="7"/>
  <c r="O24" i="7"/>
  <c r="P29" i="37" s="1"/>
  <c r="D24" i="7"/>
  <c r="O52" i="7"/>
  <c r="C57" i="37" s="1"/>
  <c r="G22" i="7"/>
  <c r="P27" i="34" s="1"/>
  <c r="O26" i="7"/>
  <c r="C31" i="37" s="1"/>
  <c r="D26" i="7"/>
  <c r="C31" i="31" s="1"/>
  <c r="L93" i="7"/>
  <c r="L77" i="7"/>
  <c r="H50" i="7"/>
  <c r="L30" i="7"/>
  <c r="O89" i="7"/>
  <c r="P94" i="37" s="1"/>
  <c r="D79" i="7"/>
  <c r="C84" i="31" s="1"/>
  <c r="O79" i="7"/>
  <c r="C84" i="37" s="1"/>
  <c r="L37" i="7"/>
  <c r="G16" i="7"/>
  <c r="P21" i="34" s="1"/>
  <c r="J16" i="7"/>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G33" i="7"/>
  <c r="P38" i="34" s="1"/>
  <c r="O74" i="7"/>
  <c r="O45" i="7"/>
  <c r="G92" i="7"/>
  <c r="P97" i="34" s="1"/>
  <c r="J92" i="7"/>
  <c r="K92" i="7"/>
  <c r="C92" i="7"/>
  <c r="P97" i="18" s="1"/>
  <c r="O92" i="7"/>
  <c r="P97" i="37" s="1"/>
  <c r="L49" i="7"/>
  <c r="F81" i="7"/>
  <c r="D81" i="7"/>
  <c r="C86" i="31" s="1"/>
  <c r="H81" i="7"/>
  <c r="G54" i="7"/>
  <c r="P59" i="34" s="1"/>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C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R98" i="8"/>
  <c r="E99" i="37" s="1"/>
  <c r="R26" i="8"/>
  <c r="E27" i="34" s="1"/>
  <c r="H30" i="8"/>
  <c r="R37" i="8"/>
  <c r="E38" i="40"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R23" i="8"/>
  <c r="E24" i="18" s="1"/>
  <c r="R69" i="8"/>
  <c r="E70" i="33" s="1"/>
  <c r="Q96" i="31"/>
  <c r="R73" i="8"/>
  <c r="R55" i="8"/>
  <c r="H55" i="8"/>
  <c r="R59" i="8"/>
  <c r="Q60" i="40" s="1"/>
  <c r="H59" i="8"/>
  <c r="Q82" i="33"/>
  <c r="H77" i="8"/>
  <c r="R77" i="8"/>
  <c r="R93" i="8"/>
  <c r="Q94" i="35" s="1"/>
  <c r="H93" i="8"/>
  <c r="R39" i="8"/>
  <c r="H98" i="8"/>
  <c r="H22" i="8"/>
  <c r="R29" i="8"/>
  <c r="E30" i="36" s="1"/>
  <c r="H43" i="8"/>
  <c r="H47" i="8"/>
  <c r="H54" i="8"/>
  <c r="R61" i="8"/>
  <c r="H65" i="8"/>
  <c r="H68" i="8"/>
  <c r="H72" i="8"/>
  <c r="R87" i="8"/>
  <c r="E88" i="31" s="1"/>
  <c r="R91" i="8"/>
  <c r="Q92" i="40" s="1"/>
  <c r="E35" i="18"/>
  <c r="E35" i="33"/>
  <c r="R85" i="8"/>
  <c r="H85" i="8"/>
  <c r="Q96" i="34"/>
  <c r="R89" i="8"/>
  <c r="R27" i="8"/>
  <c r="R53" i="8"/>
  <c r="H53" i="8"/>
  <c r="E96" i="34"/>
  <c r="H87" i="8"/>
  <c r="I88" i="7"/>
  <c r="P79" i="32"/>
  <c r="C79" i="34"/>
  <c r="C79" i="32"/>
  <c r="C83" i="34"/>
  <c r="P83" i="32"/>
  <c r="C67" i="32"/>
  <c r="P67" i="32"/>
  <c r="C67" i="34"/>
  <c r="C62" i="34"/>
  <c r="P62" i="32"/>
  <c r="C42" i="34"/>
  <c r="F46" i="7"/>
  <c r="E16" i="7"/>
  <c r="P21" i="35" s="1"/>
  <c r="E56" i="7"/>
  <c r="P61" i="35" s="1"/>
  <c r="O62" i="6"/>
  <c r="M63" i="7" s="1"/>
  <c r="O74" i="6"/>
  <c r="M75" i="7" s="1"/>
  <c r="O23" i="6"/>
  <c r="M24" i="7" s="1"/>
  <c r="J26" i="7"/>
  <c r="P82" i="33"/>
  <c r="C82" i="33"/>
  <c r="P51" i="33"/>
  <c r="O89" i="6"/>
  <c r="M90" i="7" s="1"/>
  <c r="O76" i="6"/>
  <c r="M77" i="7" s="1"/>
  <c r="P78" i="33"/>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P78" i="18"/>
  <c r="C78"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0" i="32"/>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4"/>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93" i="32"/>
  <c r="P33" i="31"/>
  <c r="P86" i="31"/>
  <c r="C83" i="32"/>
  <c r="P76" i="33"/>
  <c r="P44" i="33"/>
  <c r="P88" i="18"/>
  <c r="C86" i="35"/>
  <c r="C97" i="18"/>
  <c r="C38" i="18"/>
  <c r="C33" i="31"/>
  <c r="C93" i="34"/>
  <c r="C68" i="18"/>
  <c r="P82" i="18"/>
  <c r="P31" i="31"/>
  <c r="P90" i="32"/>
  <c r="C94" i="31"/>
  <c r="P78" i="31"/>
  <c r="P94" i="31"/>
  <c r="C90" i="34"/>
  <c r="P41" i="31"/>
  <c r="C41" i="35"/>
  <c r="C63" i="32"/>
  <c r="E32" i="36" l="1"/>
  <c r="Q96" i="32"/>
  <c r="E96" i="31"/>
  <c r="Q96" i="40"/>
  <c r="Q96" i="33"/>
  <c r="E35" i="31"/>
  <c r="Q96" i="37"/>
  <c r="E35" i="40"/>
  <c r="F35" i="40" s="1"/>
  <c r="E82" i="40"/>
  <c r="F82" i="40" s="1"/>
  <c r="Q35" i="32"/>
  <c r="E82" i="31"/>
  <c r="E35" i="32"/>
  <c r="E82" i="35"/>
  <c r="Q35" i="36"/>
  <c r="R35" i="36" s="1"/>
  <c r="Q82" i="40"/>
  <c r="R82" i="40" s="1"/>
  <c r="E96" i="36"/>
  <c r="E35" i="34"/>
  <c r="E68" i="36"/>
  <c r="E58" i="31"/>
  <c r="Q82" i="34"/>
  <c r="Q20" i="32"/>
  <c r="E36" i="36"/>
  <c r="Q61" i="35"/>
  <c r="R61" i="35" s="1"/>
  <c r="T61" i="35" s="1"/>
  <c r="E36" i="34"/>
  <c r="Q82" i="32"/>
  <c r="Q84" i="40"/>
  <c r="Q36" i="18"/>
  <c r="Q82" i="37"/>
  <c r="R82" i="37" s="1"/>
  <c r="T82" i="37" s="1"/>
  <c r="Q36" i="37"/>
  <c r="E82" i="37"/>
  <c r="E82" i="34"/>
  <c r="F82" i="34" s="1"/>
  <c r="H82" i="34" s="1"/>
  <c r="E36" i="32"/>
  <c r="E36" i="37"/>
  <c r="Q92" i="34"/>
  <c r="R92" i="34" s="1"/>
  <c r="E82" i="18"/>
  <c r="E34" i="40"/>
  <c r="F34" i="40" s="1"/>
  <c r="E36" i="40"/>
  <c r="F36" i="40" s="1"/>
  <c r="E82" i="36"/>
  <c r="E36" i="18"/>
  <c r="F82" i="33"/>
  <c r="G82" i="33" s="1"/>
  <c r="Q82" i="31"/>
  <c r="R82" i="31" s="1"/>
  <c r="Q36" i="35"/>
  <c r="R36" i="35" s="1"/>
  <c r="T36" i="35" s="1"/>
  <c r="E82" i="32"/>
  <c r="Q52" i="33"/>
  <c r="Q36" i="34"/>
  <c r="R36" i="34" s="1"/>
  <c r="Q82" i="36"/>
  <c r="R82" i="36" s="1"/>
  <c r="Q82" i="35"/>
  <c r="R82" i="35" s="1"/>
  <c r="E83" i="32"/>
  <c r="F83" i="32" s="1"/>
  <c r="E76" i="31"/>
  <c r="E36" i="35"/>
  <c r="Q20" i="31"/>
  <c r="Q82" i="18"/>
  <c r="R82" i="18" s="1"/>
  <c r="M69" i="7"/>
  <c r="P72" i="6"/>
  <c r="P82" i="6"/>
  <c r="C79" i="33"/>
  <c r="P88" i="33"/>
  <c r="C64" i="33"/>
  <c r="C82" i="31"/>
  <c r="C82" i="35"/>
  <c r="C67" i="18"/>
  <c r="P42" i="18"/>
  <c r="C42" i="31"/>
  <c r="C44" i="18"/>
  <c r="C41" i="32"/>
  <c r="C34" i="31"/>
  <c r="C39" i="32"/>
  <c r="C41" i="34"/>
  <c r="P42" i="31"/>
  <c r="O20" i="32"/>
  <c r="O20" i="18"/>
  <c r="B20" i="36"/>
  <c r="O20" i="36"/>
  <c r="O20" i="37"/>
  <c r="B20" i="40"/>
  <c r="P31" i="32"/>
  <c r="P26" i="18"/>
  <c r="C31" i="34"/>
  <c r="C31" i="33"/>
  <c r="O20" i="40"/>
  <c r="O20" i="35"/>
  <c r="B20" i="31"/>
  <c r="B20" i="32"/>
  <c r="B20" i="34"/>
  <c r="B20" i="18"/>
  <c r="P22" i="37"/>
  <c r="P28" i="18"/>
  <c r="P21" i="37"/>
  <c r="C45" i="34"/>
  <c r="P63" i="32"/>
  <c r="P54" i="18"/>
  <c r="C52" i="18"/>
  <c r="P54" i="37"/>
  <c r="C61" i="33"/>
  <c r="P41" i="33"/>
  <c r="P34" i="18"/>
  <c r="C68" i="37"/>
  <c r="P48" i="18"/>
  <c r="P53" i="37"/>
  <c r="C35" i="33"/>
  <c r="F35" i="33" s="1"/>
  <c r="H35" i="33" s="1"/>
  <c r="C50" i="32"/>
  <c r="C50" i="34"/>
  <c r="C89" i="33"/>
  <c r="C39" i="35"/>
  <c r="P47" i="33"/>
  <c r="C45" i="33"/>
  <c r="P52" i="32"/>
  <c r="F88" i="31"/>
  <c r="G88" i="31" s="1"/>
  <c r="P68" i="32"/>
  <c r="C58" i="33"/>
  <c r="P80" i="18"/>
  <c r="P45" i="32"/>
  <c r="P77" i="37"/>
  <c r="C28" i="32"/>
  <c r="P28" i="32"/>
  <c r="P32" i="37"/>
  <c r="C35" i="31"/>
  <c r="F35" i="31" s="1"/>
  <c r="G35" i="31" s="1"/>
  <c r="C45" i="31"/>
  <c r="C38" i="35"/>
  <c r="P38" i="31"/>
  <c r="C48" i="33"/>
  <c r="P34" i="33"/>
  <c r="P45" i="31"/>
  <c r="C35" i="35"/>
  <c r="P38" i="32"/>
  <c r="C34" i="34"/>
  <c r="C32" i="35"/>
  <c r="C34" i="32"/>
  <c r="C35" i="18"/>
  <c r="F35" i="18" s="1"/>
  <c r="C32" i="31"/>
  <c r="P21" i="18"/>
  <c r="C19" i="32"/>
  <c r="Q76" i="18"/>
  <c r="R76" i="18" s="1"/>
  <c r="Q20" i="40"/>
  <c r="R20" i="40" s="1"/>
  <c r="Q76" i="33"/>
  <c r="R76" i="33" s="1"/>
  <c r="T76" i="33" s="1"/>
  <c r="E52" i="33"/>
  <c r="F52" i="33" s="1"/>
  <c r="E52" i="34"/>
  <c r="F52" i="34" s="1"/>
  <c r="H52" i="34" s="1"/>
  <c r="Q52" i="37"/>
  <c r="C53" i="34"/>
  <c r="C53" i="32"/>
  <c r="P53" i="32"/>
  <c r="P85" i="32"/>
  <c r="P77" i="18"/>
  <c r="E99" i="36"/>
  <c r="C79" i="18"/>
  <c r="C38" i="32"/>
  <c r="Q58" i="35"/>
  <c r="R58" i="35" s="1"/>
  <c r="S58" i="35" s="1"/>
  <c r="E83" i="40"/>
  <c r="F83" i="40" s="1"/>
  <c r="Q34" i="40"/>
  <c r="R34" i="40" s="1"/>
  <c r="B20" i="33"/>
  <c r="O20" i="31"/>
  <c r="O20" i="33"/>
  <c r="B16" i="7"/>
  <c r="P78" i="37"/>
  <c r="C78" i="37"/>
  <c r="C88" i="32"/>
  <c r="C31" i="18"/>
  <c r="Q83" i="33"/>
  <c r="C85" i="32"/>
  <c r="P55" i="18"/>
  <c r="P88" i="32"/>
  <c r="C28" i="33"/>
  <c r="P76" i="6"/>
  <c r="Q58" i="37"/>
  <c r="C35" i="32"/>
  <c r="C35" i="34"/>
  <c r="F35" i="34" s="1"/>
  <c r="C30" i="32"/>
  <c r="P51" i="18"/>
  <c r="C48" i="35"/>
  <c r="P24" i="6"/>
  <c r="E83" i="37"/>
  <c r="P22" i="31"/>
  <c r="M94" i="7"/>
  <c r="E83" i="31"/>
  <c r="F83" i="31" s="1"/>
  <c r="G83" i="31" s="1"/>
  <c r="P73" i="33"/>
  <c r="C73" i="33"/>
  <c r="P68" i="31"/>
  <c r="C52" i="34"/>
  <c r="C52" i="37"/>
  <c r="P52" i="37"/>
  <c r="C69" i="18"/>
  <c r="C68" i="31"/>
  <c r="P44" i="31"/>
  <c r="P96" i="32"/>
  <c r="P34" i="31"/>
  <c r="C61" i="34"/>
  <c r="C43" i="32"/>
  <c r="C61" i="31"/>
  <c r="C92" i="33"/>
  <c r="C56" i="34"/>
  <c r="C90" i="37"/>
  <c r="C56" i="32"/>
  <c r="P52" i="33"/>
  <c r="P42" i="33"/>
  <c r="C68" i="34"/>
  <c r="F68" i="34" s="1"/>
  <c r="P57" i="31"/>
  <c r="P44" i="37"/>
  <c r="P20" i="33"/>
  <c r="P59" i="31"/>
  <c r="C44" i="35"/>
  <c r="C92" i="34"/>
  <c r="C82" i="32"/>
  <c r="F82" i="32" s="1"/>
  <c r="C39" i="31"/>
  <c r="C29" i="18"/>
  <c r="C37" i="33"/>
  <c r="C77" i="31"/>
  <c r="C55" i="32"/>
  <c r="C83" i="37"/>
  <c r="P83" i="37"/>
  <c r="C28" i="31"/>
  <c r="C28" i="35"/>
  <c r="P98" i="32"/>
  <c r="P49" i="33"/>
  <c r="C45" i="37"/>
  <c r="C76" i="37"/>
  <c r="Q35" i="33"/>
  <c r="R35" i="33" s="1"/>
  <c r="T35" i="33" s="1"/>
  <c r="E35" i="37"/>
  <c r="E69" i="34"/>
  <c r="E34" i="34"/>
  <c r="Q58" i="40"/>
  <c r="R58" i="40" s="1"/>
  <c r="Q96" i="35"/>
  <c r="R96" i="35" s="1"/>
  <c r="E96" i="33"/>
  <c r="E96" i="32"/>
  <c r="F96" i="32" s="1"/>
  <c r="E58" i="34"/>
  <c r="E68" i="18"/>
  <c r="Q35" i="40"/>
  <c r="R35" i="40" s="1"/>
  <c r="Q58" i="34"/>
  <c r="R58" i="34" s="1"/>
  <c r="E76" i="36"/>
  <c r="E72" i="18"/>
  <c r="E52" i="32"/>
  <c r="F52" i="32" s="1"/>
  <c r="E20" i="40"/>
  <c r="F20" i="40" s="1"/>
  <c r="R96" i="18"/>
  <c r="S96" i="18" s="1"/>
  <c r="Q35" i="18"/>
  <c r="R35" i="18" s="1"/>
  <c r="Q35" i="35"/>
  <c r="R35" i="35" s="1"/>
  <c r="E68" i="31"/>
  <c r="F68" i="31" s="1"/>
  <c r="G68" i="31" s="1"/>
  <c r="E35" i="35"/>
  <c r="Q96" i="36"/>
  <c r="R96" i="36" s="1"/>
  <c r="Q35" i="31"/>
  <c r="R35" i="31" s="1"/>
  <c r="Q96" i="18"/>
  <c r="E96" i="40"/>
  <c r="F96" i="40" s="1"/>
  <c r="E35" i="36"/>
  <c r="Q76" i="36"/>
  <c r="R76" i="36" s="1"/>
  <c r="E96" i="35"/>
  <c r="Q20" i="33"/>
  <c r="E96" i="37"/>
  <c r="E61" i="18"/>
  <c r="Q70" i="36"/>
  <c r="R70" i="36" s="1"/>
  <c r="Q92" i="32"/>
  <c r="Q32" i="33"/>
  <c r="Q32" i="37"/>
  <c r="Q32" i="31"/>
  <c r="R32" i="31" s="1"/>
  <c r="Q80" i="31"/>
  <c r="R80" i="31" s="1"/>
  <c r="E32" i="40"/>
  <c r="F32" i="40" s="1"/>
  <c r="Q53" i="33"/>
  <c r="R53" i="33" s="1"/>
  <c r="S53" i="33" s="1"/>
  <c r="Q61" i="31"/>
  <c r="R61" i="31" s="1"/>
  <c r="E94" i="32"/>
  <c r="Q61" i="40"/>
  <c r="R61" i="40" s="1"/>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Q61" i="18"/>
  <c r="Q61" i="34"/>
  <c r="R61" i="34" s="1"/>
  <c r="Q61" i="37"/>
  <c r="R61" i="37" s="1"/>
  <c r="S61" i="37" s="1"/>
  <c r="E52" i="40"/>
  <c r="F52" i="40" s="1"/>
  <c r="Q32" i="32"/>
  <c r="E61" i="35"/>
  <c r="E32" i="18"/>
  <c r="E61" i="34"/>
  <c r="F61" i="34" s="1"/>
  <c r="G61" i="34" s="1"/>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Q52" i="34"/>
  <c r="R52" i="34" s="1"/>
  <c r="Q68" i="32"/>
  <c r="Q68" i="31"/>
  <c r="Q68" i="34"/>
  <c r="R68" i="34" s="1"/>
  <c r="E76" i="37"/>
  <c r="Q76" i="31"/>
  <c r="R76" i="31" s="1"/>
  <c r="E76" i="34"/>
  <c r="Q22" i="35"/>
  <c r="R22" i="35" s="1"/>
  <c r="E20" i="36"/>
  <c r="E52" i="36"/>
  <c r="Q20" i="34"/>
  <c r="R20" i="34" s="1"/>
  <c r="E20" i="35"/>
  <c r="Q76" i="34"/>
  <c r="R76" i="34" s="1"/>
  <c r="E76" i="33"/>
  <c r="Q76" i="37"/>
  <c r="R76" i="37" s="1"/>
  <c r="S76" i="37" s="1"/>
  <c r="E22" i="31"/>
  <c r="Q52" i="31"/>
  <c r="R52" i="31" s="1"/>
  <c r="T52" i="31" s="1"/>
  <c r="Q20" i="18"/>
  <c r="Q20" i="35"/>
  <c r="R20" i="35" s="1"/>
  <c r="E72" i="34"/>
  <c r="E22" i="36"/>
  <c r="E22" i="37"/>
  <c r="Q22" i="40"/>
  <c r="R22" i="40" s="1"/>
  <c r="Q68" i="40"/>
  <c r="R68" i="40" s="1"/>
  <c r="Q38" i="40"/>
  <c r="R38" i="40" s="1"/>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Q34" i="31"/>
  <c r="E34" i="18"/>
  <c r="Q34" i="33"/>
  <c r="E34" i="36"/>
  <c r="Q34" i="32"/>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R40" i="40" s="1"/>
  <c r="E40" i="32"/>
  <c r="F40" i="32" s="1"/>
  <c r="E26" i="34"/>
  <c r="E26" i="36"/>
  <c r="Q26" i="37"/>
  <c r="R26" i="37" s="1"/>
  <c r="Q26" i="35"/>
  <c r="R26" i="35" s="1"/>
  <c r="Q26" i="33"/>
  <c r="R26" i="33" s="1"/>
  <c r="T26" i="33" s="1"/>
  <c r="E26" i="37"/>
  <c r="E26" i="40"/>
  <c r="F26" i="40" s="1"/>
  <c r="Q26" i="34"/>
  <c r="R26" i="34" s="1"/>
  <c r="Q26" i="40"/>
  <c r="R26" i="40" s="1"/>
  <c r="E26" i="31"/>
  <c r="Q26" i="18"/>
  <c r="Q26" i="32"/>
  <c r="Q26" i="31"/>
  <c r="E26" i="18"/>
  <c r="Q80" i="35"/>
  <c r="R80" i="35" s="1"/>
  <c r="S80" i="35" s="1"/>
  <c r="Q80" i="18"/>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Q69" i="31"/>
  <c r="Q69" i="35"/>
  <c r="R69" i="35" s="1"/>
  <c r="S69" i="35" s="1"/>
  <c r="Q69" i="37"/>
  <c r="Q99" i="31"/>
  <c r="Q99" i="35"/>
  <c r="R99" i="35" s="1"/>
  <c r="S99"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R34" i="34" s="1"/>
  <c r="E34" i="35"/>
  <c r="F34" i="35" s="1"/>
  <c r="H34" i="35" s="1"/>
  <c r="Q34" i="18"/>
  <c r="E34" i="33"/>
  <c r="Q34" i="37"/>
  <c r="Q34" i="35"/>
  <c r="R34" i="35" s="1"/>
  <c r="Q69" i="18"/>
  <c r="R69" i="18" s="1"/>
  <c r="Q69" i="34"/>
  <c r="R69" i="34" s="1"/>
  <c r="Q69" i="36"/>
  <c r="R69" i="36" s="1"/>
  <c r="T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R19" i="35" s="1"/>
  <c r="S19" i="35" s="1"/>
  <c r="U19" i="35" s="1"/>
  <c r="E19" i="36"/>
  <c r="Q19" i="33"/>
  <c r="E38" i="35"/>
  <c r="E38" i="18"/>
  <c r="Q38" i="34"/>
  <c r="R38" i="34" s="1"/>
  <c r="E38" i="31"/>
  <c r="E38" i="34"/>
  <c r="F38" i="34" s="1"/>
  <c r="G38" i="34" s="1"/>
  <c r="Q38" i="37"/>
  <c r="Q38" i="33"/>
  <c r="Q38" i="31"/>
  <c r="E38" i="37"/>
  <c r="E38" i="33"/>
  <c r="E38" i="36"/>
  <c r="Q38" i="32"/>
  <c r="E38" i="32"/>
  <c r="Q38" i="35"/>
  <c r="R38" i="35" s="1"/>
  <c r="Q38" i="18"/>
  <c r="R38" i="18" s="1"/>
  <c r="S38" i="18" s="1"/>
  <c r="Q38" i="36"/>
  <c r="R38" i="36" s="1"/>
  <c r="Q19" i="36"/>
  <c r="R19" i="36" s="1"/>
  <c r="Q66" i="35"/>
  <c r="R66" i="35" s="1"/>
  <c r="E66" i="37"/>
  <c r="E98" i="34"/>
  <c r="F98" i="34" s="1"/>
  <c r="Q98" i="18"/>
  <c r="E27" i="33"/>
  <c r="Q27" i="40"/>
  <c r="R27" i="40" s="1"/>
  <c r="E27" i="32"/>
  <c r="E27" i="40"/>
  <c r="F27" i="40" s="1"/>
  <c r="Q27" i="31"/>
  <c r="Q27" i="35"/>
  <c r="R27" i="35" s="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T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R56" i="40" s="1"/>
  <c r="E56" i="32"/>
  <c r="Q5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R78" i="35" s="1"/>
  <c r="S78" i="35" s="1"/>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R70" i="31" s="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C74" i="34"/>
  <c r="P49" i="32"/>
  <c r="C25" i="34"/>
  <c r="P39" i="32"/>
  <c r="C51" i="32"/>
  <c r="C51" i="34"/>
  <c r="P51" i="32"/>
  <c r="P74" i="32"/>
  <c r="P72" i="32"/>
  <c r="P30" i="32"/>
  <c r="C36" i="32"/>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P47" i="37"/>
  <c r="C47" i="37"/>
  <c r="C72" i="37"/>
  <c r="P72" i="37"/>
  <c r="C72" i="35"/>
  <c r="P72" i="31"/>
  <c r="C72" i="31"/>
  <c r="C64" i="37"/>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P99" i="32"/>
  <c r="C99" i="34"/>
  <c r="C99" i="32"/>
  <c r="C49" i="37"/>
  <c r="P49" i="37"/>
  <c r="P23" i="31"/>
  <c r="C23" i="35"/>
  <c r="C66" i="18"/>
  <c r="P66" i="18"/>
  <c r="P66" i="33"/>
  <c r="C98" i="33"/>
  <c r="P98" i="33"/>
  <c r="P60" i="32"/>
  <c r="C60" i="32"/>
  <c r="C60" i="34"/>
  <c r="P60" i="31"/>
  <c r="C60" i="35"/>
  <c r="C74" i="33"/>
  <c r="P74" i="33"/>
  <c r="P58" i="37"/>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C47" i="34"/>
  <c r="C74" i="35"/>
  <c r="P49" i="18"/>
  <c r="P89" i="31"/>
  <c r="P25" i="31"/>
  <c r="P30" i="31"/>
  <c r="P51" i="31"/>
  <c r="C96" i="35"/>
  <c r="C30" i="33"/>
  <c r="C29" i="33"/>
  <c r="P39" i="18"/>
  <c r="P36" i="33"/>
  <c r="C93" i="35"/>
  <c r="C93" i="31"/>
  <c r="P93" i="31"/>
  <c r="C94" i="32"/>
  <c r="C94" i="34"/>
  <c r="P94" i="32"/>
  <c r="C97" i="34"/>
  <c r="P97" i="32"/>
  <c r="C97" i="32"/>
  <c r="C19" i="33"/>
  <c r="P19" i="33"/>
  <c r="P96" i="37"/>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P27" i="37"/>
  <c r="C27" i="37"/>
  <c r="C37" i="34"/>
  <c r="F76" i="18"/>
  <c r="F52" i="37"/>
  <c r="H52" i="37" s="1"/>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C36" i="35"/>
  <c r="C36" i="31"/>
  <c r="C90" i="18"/>
  <c r="C65" i="35"/>
  <c r="C65" i="31"/>
  <c r="P65" i="31"/>
  <c r="C50" i="35"/>
  <c r="C50" i="31"/>
  <c r="P50" i="31"/>
  <c r="C79" i="35"/>
  <c r="P79" i="31"/>
  <c r="C79" i="31"/>
  <c r="P74" i="18"/>
  <c r="C74" i="18"/>
  <c r="C76" i="32"/>
  <c r="C76" i="34"/>
  <c r="C32" i="33"/>
  <c r="P32" i="33"/>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S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C37" i="31"/>
  <c r="C37" i="35"/>
  <c r="P37" i="31"/>
  <c r="P37" i="18"/>
  <c r="C37" i="18"/>
  <c r="C63" i="35"/>
  <c r="P63" i="31"/>
  <c r="C63" i="31"/>
  <c r="P85" i="33"/>
  <c r="C85" i="33"/>
  <c r="C87" i="35"/>
  <c r="P87" i="31"/>
  <c r="C87" i="31"/>
  <c r="P87" i="18"/>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F97" i="32" s="1"/>
  <c r="E97" i="18"/>
  <c r="Q97" i="36"/>
  <c r="R97" i="36" s="1"/>
  <c r="E97" i="35"/>
  <c r="E97" i="33"/>
  <c r="E97" i="31"/>
  <c r="Q97" i="40"/>
  <c r="R97" i="40" s="1"/>
  <c r="E97" i="40"/>
  <c r="AD30" i="5"/>
  <c r="C40" i="31"/>
  <c r="C40" i="35"/>
  <c r="P40" i="31"/>
  <c r="C35" i="37"/>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C68" i="33"/>
  <c r="P68" i="33"/>
  <c r="K9" i="36"/>
  <c r="K12" i="36"/>
  <c r="K10" i="36"/>
  <c r="K8" i="40"/>
  <c r="W8" i="40"/>
  <c r="F24" i="18"/>
  <c r="W8" i="32"/>
  <c r="K8" i="32"/>
  <c r="K10" i="18"/>
  <c r="K12" i="18"/>
  <c r="R60" i="40"/>
  <c r="R84" i="40"/>
  <c r="R92" i="40"/>
  <c r="R96" i="40"/>
  <c r="R94" i="35"/>
  <c r="F69" i="36"/>
  <c r="F64" i="36"/>
  <c r="F30" i="36"/>
  <c r="F32" i="36"/>
  <c r="W10" i="18"/>
  <c r="W9" i="18"/>
  <c r="W12" i="18"/>
  <c r="F11" i="39"/>
  <c r="W6" i="32"/>
  <c r="W12" i="36"/>
  <c r="W9" i="36"/>
  <c r="W10" i="36"/>
  <c r="W12" i="31"/>
  <c r="W9" i="31"/>
  <c r="W10" i="31"/>
  <c r="F82" i="31"/>
  <c r="G82" i="31" s="1"/>
  <c r="F99" i="37"/>
  <c r="H99" i="37" s="1"/>
  <c r="F84" i="31"/>
  <c r="G84" i="31" s="1"/>
  <c r="R32" i="34"/>
  <c r="R96" i="34"/>
  <c r="R82" i="34"/>
  <c r="R35" i="34"/>
  <c r="R83" i="34"/>
  <c r="F36" i="36" l="1"/>
  <c r="H36" i="36" s="1"/>
  <c r="R96" i="37"/>
  <c r="S96" i="37" s="1"/>
  <c r="F82" i="35"/>
  <c r="H82" i="35" s="1"/>
  <c r="H88" i="31"/>
  <c r="F86" i="36"/>
  <c r="G86" i="36" s="1"/>
  <c r="D51" i="38"/>
  <c r="R87" i="18"/>
  <c r="T87" i="18" s="1"/>
  <c r="D28" i="38"/>
  <c r="F82" i="18"/>
  <c r="H82" i="18" s="1"/>
  <c r="F87" i="31"/>
  <c r="G87" i="31" s="1"/>
  <c r="F68" i="36"/>
  <c r="G68" i="36" s="1"/>
  <c r="F64" i="34"/>
  <c r="H64" i="34" s="1"/>
  <c r="E76" i="38"/>
  <c r="F58" i="31"/>
  <c r="H58" i="31" s="1"/>
  <c r="F96" i="36"/>
  <c r="G96" i="36" s="1"/>
  <c r="F36" i="35"/>
  <c r="H36" i="35" s="1"/>
  <c r="F35" i="32"/>
  <c r="F36" i="37"/>
  <c r="G36" i="37" s="1"/>
  <c r="F72" i="18"/>
  <c r="H72" i="18" s="1"/>
  <c r="F35" i="35"/>
  <c r="G35" i="35" s="1"/>
  <c r="F82" i="37"/>
  <c r="G82" i="37" s="1"/>
  <c r="F99" i="18"/>
  <c r="G99" i="18" s="1"/>
  <c r="F76" i="36"/>
  <c r="H76" i="36" s="1"/>
  <c r="R52" i="37"/>
  <c r="T52" i="37" s="1"/>
  <c r="R58" i="37"/>
  <c r="S58" i="37" s="1"/>
  <c r="F61" i="33"/>
  <c r="H61" i="33" s="1"/>
  <c r="F76" i="31"/>
  <c r="H76" i="31" s="1"/>
  <c r="F96" i="35"/>
  <c r="G96" i="35" s="1"/>
  <c r="F36" i="34"/>
  <c r="G36" i="34" s="1"/>
  <c r="R64" i="31"/>
  <c r="S64" i="31" s="1"/>
  <c r="F96" i="37"/>
  <c r="H96" i="37" s="1"/>
  <c r="R52" i="33"/>
  <c r="T52" i="33" s="1"/>
  <c r="F72" i="31"/>
  <c r="H72" i="31" s="1"/>
  <c r="R32" i="33"/>
  <c r="T32" i="33" s="1"/>
  <c r="F68" i="18"/>
  <c r="G68" i="18" s="1"/>
  <c r="H82" i="33"/>
  <c r="F35" i="36"/>
  <c r="G35" i="36" s="1"/>
  <c r="D20" i="38"/>
  <c r="F87" i="35"/>
  <c r="G87" i="35" s="1"/>
  <c r="R36" i="31"/>
  <c r="T36" i="31" s="1"/>
  <c r="F19" i="37"/>
  <c r="H19" i="37" s="1"/>
  <c r="J19" i="37" s="1"/>
  <c r="K19" i="37" s="1"/>
  <c r="J17" i="17" s="1"/>
  <c r="F50" i="33"/>
  <c r="G50" i="33" s="1"/>
  <c r="F61" i="35"/>
  <c r="G61" i="35" s="1"/>
  <c r="E75" i="38"/>
  <c r="E53" i="38"/>
  <c r="F36" i="32"/>
  <c r="S69" i="36"/>
  <c r="F84" i="34"/>
  <c r="H84" i="34" s="1"/>
  <c r="F64" i="37"/>
  <c r="H64" i="37" s="1"/>
  <c r="E69" i="38"/>
  <c r="E65" i="38"/>
  <c r="F61" i="36"/>
  <c r="G61" i="36" s="1"/>
  <c r="F35" i="37"/>
  <c r="H35" i="37" s="1"/>
  <c r="R36" i="37"/>
  <c r="T36" i="37" s="1"/>
  <c r="F54" i="31"/>
  <c r="H54" i="31" s="1"/>
  <c r="R42" i="18"/>
  <c r="T42" i="18" s="1"/>
  <c r="R42" i="31"/>
  <c r="S42" i="31" s="1"/>
  <c r="E13" i="38"/>
  <c r="F68" i="37"/>
  <c r="H68" i="37" s="1"/>
  <c r="F76" i="40"/>
  <c r="F52" i="18"/>
  <c r="G52" i="18" s="1"/>
  <c r="D13" i="38"/>
  <c r="E89" i="38"/>
  <c r="F72" i="34"/>
  <c r="G72" i="34" s="1"/>
  <c r="E25" i="38"/>
  <c r="F82" i="36"/>
  <c r="H82" i="36" s="1"/>
  <c r="F90" i="36"/>
  <c r="G90" i="36" s="1"/>
  <c r="D89" i="38"/>
  <c r="R83" i="33"/>
  <c r="T83" i="33" s="1"/>
  <c r="F32" i="33"/>
  <c r="G32" i="33" s="1"/>
  <c r="D27" i="38"/>
  <c r="F83" i="37"/>
  <c r="H83" i="37" s="1"/>
  <c r="T99" i="35"/>
  <c r="T64" i="35"/>
  <c r="D25" i="38"/>
  <c r="F66" i="18"/>
  <c r="H66" i="18" s="1"/>
  <c r="F36" i="18"/>
  <c r="H36" i="18" s="1"/>
  <c r="F99" i="36"/>
  <c r="G99" i="36" s="1"/>
  <c r="F58" i="34"/>
  <c r="G58" i="34" s="1"/>
  <c r="E29" i="38"/>
  <c r="E27" i="38"/>
  <c r="F58" i="36"/>
  <c r="G58" i="36" s="1"/>
  <c r="F76" i="37"/>
  <c r="H76" i="37" s="1"/>
  <c r="D29" i="38"/>
  <c r="R20" i="31"/>
  <c r="S20" i="31" s="1"/>
  <c r="F34" i="34"/>
  <c r="H34" i="34" s="1"/>
  <c r="G82" i="34"/>
  <c r="R38" i="31"/>
  <c r="T38" i="31" s="1"/>
  <c r="R21" i="37"/>
  <c r="S21" i="37" s="1"/>
  <c r="R94" i="33"/>
  <c r="S94" i="33" s="1"/>
  <c r="R93" i="33"/>
  <c r="S93" i="33" s="1"/>
  <c r="R59" i="31"/>
  <c r="S59" i="31" s="1"/>
  <c r="F75" i="31"/>
  <c r="G75" i="31" s="1"/>
  <c r="F57" i="35"/>
  <c r="G57" i="35" s="1"/>
  <c r="R80" i="18"/>
  <c r="T80" i="18" s="1"/>
  <c r="F41" i="32"/>
  <c r="F42" i="31"/>
  <c r="H42" i="31" s="1"/>
  <c r="F39" i="32"/>
  <c r="R48" i="18"/>
  <c r="S48" i="18" s="1"/>
  <c r="R28" i="18"/>
  <c r="T28" i="18" s="1"/>
  <c r="F43" i="32"/>
  <c r="F48" i="35"/>
  <c r="H48" i="35" s="1"/>
  <c r="R22" i="37"/>
  <c r="S22" i="37" s="1"/>
  <c r="R47" i="33"/>
  <c r="S47" i="33" s="1"/>
  <c r="R44" i="31"/>
  <c r="S44" i="31" s="1"/>
  <c r="R44" i="37"/>
  <c r="T44" i="37" s="1"/>
  <c r="F45" i="34"/>
  <c r="G45" i="34" s="1"/>
  <c r="R26" i="18"/>
  <c r="S26" i="18" s="1"/>
  <c r="F31" i="34"/>
  <c r="H31" i="34" s="1"/>
  <c r="R34" i="18"/>
  <c r="S34" i="18" s="1"/>
  <c r="F34" i="32"/>
  <c r="F21" i="34"/>
  <c r="G21" i="34" s="1"/>
  <c r="R22" i="31"/>
  <c r="T22" i="31" s="1"/>
  <c r="F25" i="34"/>
  <c r="H25" i="34" s="1"/>
  <c r="R21" i="18"/>
  <c r="T21" i="18" s="1"/>
  <c r="F19" i="32"/>
  <c r="S68" i="37"/>
  <c r="F73" i="34"/>
  <c r="G73" i="34" s="1"/>
  <c r="S35" i="33"/>
  <c r="R33" i="33"/>
  <c r="S33" i="33" s="1"/>
  <c r="R45" i="18"/>
  <c r="T45" i="18" s="1"/>
  <c r="T61" i="37"/>
  <c r="R57" i="33"/>
  <c r="T57" i="33" s="1"/>
  <c r="R49" i="33"/>
  <c r="S49" i="33" s="1"/>
  <c r="F50" i="32"/>
  <c r="S64" i="33"/>
  <c r="F48" i="32"/>
  <c r="R51" i="18"/>
  <c r="S51" i="18" s="1"/>
  <c r="R41" i="33"/>
  <c r="S41" i="33" s="1"/>
  <c r="R47" i="37"/>
  <c r="S47" i="37" s="1"/>
  <c r="G52" i="34"/>
  <c r="F50" i="34"/>
  <c r="H50" i="34" s="1"/>
  <c r="R55" i="18"/>
  <c r="T55" i="18" s="1"/>
  <c r="R54" i="18"/>
  <c r="T54" i="18" s="1"/>
  <c r="R32" i="37"/>
  <c r="T32" i="37" s="1"/>
  <c r="R63" i="31"/>
  <c r="T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F96" i="33"/>
  <c r="H96" i="33" s="1"/>
  <c r="F53" i="31"/>
  <c r="H53" i="31" s="1"/>
  <c r="F87" i="36"/>
  <c r="H87" i="36" s="1"/>
  <c r="F80" i="31"/>
  <c r="H80" i="31" s="1"/>
  <c r="R69" i="31"/>
  <c r="S69" i="31" s="1"/>
  <c r="H35" i="34"/>
  <c r="G35" i="34"/>
  <c r="G68" i="34"/>
  <c r="H68" i="34"/>
  <c r="T77" i="18"/>
  <c r="H76" i="18"/>
  <c r="T86" i="31"/>
  <c r="R90" i="31"/>
  <c r="T90" i="31" s="1"/>
  <c r="T94" i="36"/>
  <c r="S88" i="18"/>
  <c r="T38" i="18"/>
  <c r="S69" i="18"/>
  <c r="T40" i="18"/>
  <c r="S83" i="18"/>
  <c r="S44" i="18"/>
  <c r="T97" i="36"/>
  <c r="T29" i="18"/>
  <c r="S31" i="18"/>
  <c r="T54" i="31"/>
  <c r="T74" i="31"/>
  <c r="S78" i="31"/>
  <c r="S88" i="31"/>
  <c r="S62" i="18"/>
  <c r="T96" i="31"/>
  <c r="S39" i="36"/>
  <c r="T97" i="18"/>
  <c r="T85" i="36"/>
  <c r="T45" i="36"/>
  <c r="T41" i="36"/>
  <c r="T90" i="18"/>
  <c r="T94" i="31"/>
  <c r="T82" i="18"/>
  <c r="T80" i="31"/>
  <c r="S22" i="18"/>
  <c r="H68" i="36"/>
  <c r="R76" i="32"/>
  <c r="S52" i="31"/>
  <c r="S68" i="18"/>
  <c r="S81" i="18"/>
  <c r="S46" i="36"/>
  <c r="S97" i="31"/>
  <c r="S87" i="36"/>
  <c r="T91" i="18"/>
  <c r="H68" i="18"/>
  <c r="S54" i="36"/>
  <c r="S78" i="18"/>
  <c r="S84" i="36"/>
  <c r="T84" i="18"/>
  <c r="S80" i="36"/>
  <c r="T53" i="18"/>
  <c r="R20" i="33"/>
  <c r="S20" i="33" s="1"/>
  <c r="B21" i="40"/>
  <c r="B17" i="7"/>
  <c r="B21" i="34"/>
  <c r="O21" i="31"/>
  <c r="O21" i="34"/>
  <c r="O21" i="33"/>
  <c r="O21" i="37"/>
  <c r="O21" i="35"/>
  <c r="B21" i="36"/>
  <c r="B21" i="32"/>
  <c r="B21" i="31"/>
  <c r="O21" i="18"/>
  <c r="O21" i="32"/>
  <c r="B21" i="33"/>
  <c r="B21" i="35"/>
  <c r="O21" i="36"/>
  <c r="B21" i="18"/>
  <c r="B21" i="37"/>
  <c r="O21" i="40"/>
  <c r="F49" i="34"/>
  <c r="H49" i="34" s="1"/>
  <c r="S76" i="33"/>
  <c r="F48" i="31"/>
  <c r="H48" i="31" s="1"/>
  <c r="R23" i="33"/>
  <c r="S23" i="33" s="1"/>
  <c r="F73" i="32"/>
  <c r="R91" i="37"/>
  <c r="S91" i="37" s="1"/>
  <c r="F71" i="32"/>
  <c r="F27" i="37"/>
  <c r="G27" i="37" s="1"/>
  <c r="R83" i="37"/>
  <c r="R68" i="31"/>
  <c r="T68" i="31" s="1"/>
  <c r="R61" i="18"/>
  <c r="T61" i="18" s="1"/>
  <c r="T22" i="18"/>
  <c r="R81" i="31"/>
  <c r="T81" i="31" s="1"/>
  <c r="R79" i="31"/>
  <c r="S79" i="31" s="1"/>
  <c r="F57" i="32"/>
  <c r="R46" i="31"/>
  <c r="T46" i="31" s="1"/>
  <c r="R65" i="37"/>
  <c r="T65" i="37" s="1"/>
  <c r="F58" i="18"/>
  <c r="H58" i="18" s="1"/>
  <c r="R81" i="32"/>
  <c r="R55" i="37"/>
  <c r="T55" i="37" s="1"/>
  <c r="F56" i="32"/>
  <c r="R27" i="31"/>
  <c r="S27" i="31" s="1"/>
  <c r="F22" i="36"/>
  <c r="H22" i="36" s="1"/>
  <c r="T76" i="37"/>
  <c r="F20" i="34"/>
  <c r="H20" i="34" s="1"/>
  <c r="R36" i="33"/>
  <c r="S36" i="33" s="1"/>
  <c r="F69" i="34"/>
  <c r="H69" i="34" s="1"/>
  <c r="S22" i="33"/>
  <c r="F69" i="18"/>
  <c r="G69" i="18" s="1"/>
  <c r="D46" i="38"/>
  <c r="F34" i="18"/>
  <c r="H34" i="18" s="1"/>
  <c r="R32" i="18"/>
  <c r="T32" i="18" s="1"/>
  <c r="F36" i="31"/>
  <c r="G36" i="31" s="1"/>
  <c r="F66" i="35"/>
  <c r="H66" i="35" s="1"/>
  <c r="F64" i="35"/>
  <c r="H64" i="35" s="1"/>
  <c r="T88" i="33"/>
  <c r="D33" i="38"/>
  <c r="D65" i="38"/>
  <c r="F61" i="18"/>
  <c r="G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74" i="31"/>
  <c r="T72" i="33"/>
  <c r="F97" i="31"/>
  <c r="H97" i="31" s="1"/>
  <c r="F19" i="36"/>
  <c r="G19" i="36" s="1"/>
  <c r="I19" i="36" s="1"/>
  <c r="F84" i="18"/>
  <c r="G84" i="18" s="1"/>
  <c r="F74" i="36"/>
  <c r="H74" i="36" s="1"/>
  <c r="S54" i="37"/>
  <c r="D26" i="38"/>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F40" i="34"/>
  <c r="G40" i="34" s="1"/>
  <c r="F62" i="40"/>
  <c r="F50" i="37"/>
  <c r="H50" i="37" s="1"/>
  <c r="H53" i="35"/>
  <c r="G53" i="35"/>
  <c r="S90" i="33"/>
  <c r="E57" i="38"/>
  <c r="R66" i="31"/>
  <c r="T66" i="31" s="1"/>
  <c r="F26" i="18"/>
  <c r="G26" i="18" s="1"/>
  <c r="E31" i="38"/>
  <c r="F94" i="36"/>
  <c r="G94" i="36" s="1"/>
  <c r="F79" i="36"/>
  <c r="H79" i="36" s="1"/>
  <c r="F26" i="31"/>
  <c r="H26" i="31" s="1"/>
  <c r="F93" i="31"/>
  <c r="G93" i="31" s="1"/>
  <c r="F48" i="40"/>
  <c r="F44" i="40"/>
  <c r="F26" i="37"/>
  <c r="G26" i="37" s="1"/>
  <c r="F26" i="36"/>
  <c r="G26" i="36" s="1"/>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T48" i="35"/>
  <c r="E20" i="38"/>
  <c r="E19" i="38"/>
  <c r="E5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H26" i="33"/>
  <c r="H38" i="34"/>
  <c r="H82" i="31"/>
  <c r="G52" i="37"/>
  <c r="H98" i="34"/>
  <c r="G98" i="34"/>
  <c r="H50" i="18"/>
  <c r="G50" i="18"/>
  <c r="T88" i="31"/>
  <c r="T51" i="33"/>
  <c r="S86" i="33"/>
  <c r="T37" i="35"/>
  <c r="T69" i="18"/>
  <c r="S54" i="31"/>
  <c r="S53" i="35"/>
  <c r="H51" i="31"/>
  <c r="F45" i="18"/>
  <c r="G45" i="18" s="1"/>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T50" i="37"/>
  <c r="F55" i="18"/>
  <c r="H55" i="18" s="1"/>
  <c r="F77" i="18"/>
  <c r="G77" i="18" s="1"/>
  <c r="F93" i="18"/>
  <c r="G93" i="18" s="1"/>
  <c r="D31" i="38"/>
  <c r="F38" i="31"/>
  <c r="H38" i="31" s="1"/>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R75" i="31"/>
  <c r="T75" i="31" s="1"/>
  <c r="F91" i="40"/>
  <c r="F65" i="36"/>
  <c r="G65" i="36" s="1"/>
  <c r="F47" i="36"/>
  <c r="G47" i="36" s="1"/>
  <c r="F45" i="35"/>
  <c r="H45" i="35" s="1"/>
  <c r="F43" i="33"/>
  <c r="F95" i="40"/>
  <c r="D88" i="38"/>
  <c r="F37" i="40"/>
  <c r="D30" i="38"/>
  <c r="F55" i="31"/>
  <c r="G55" i="31" s="1"/>
  <c r="F71" i="40"/>
  <c r="D64" i="38"/>
  <c r="F77" i="35"/>
  <c r="G77" i="35" s="1"/>
  <c r="F77" i="36"/>
  <c r="G77" i="36" s="1"/>
  <c r="F88" i="18"/>
  <c r="F94" i="34"/>
  <c r="F30" i="33"/>
  <c r="F70" i="36"/>
  <c r="H70" i="36" s="1"/>
  <c r="F74" i="40"/>
  <c r="D67" i="38"/>
  <c r="F60" i="31"/>
  <c r="H60" i="31" s="1"/>
  <c r="F78" i="35"/>
  <c r="F56" i="40"/>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G90" i="34"/>
  <c r="T39" i="36"/>
  <c r="S46" i="35"/>
  <c r="E24" i="38"/>
  <c r="E36" i="38"/>
  <c r="F23" i="37"/>
  <c r="H23" i="37" s="1"/>
  <c r="F23" i="36"/>
  <c r="G23" i="36" s="1"/>
  <c r="F29" i="36"/>
  <c r="G29" i="36" s="1"/>
  <c r="F91" i="34"/>
  <c r="G91" i="34" s="1"/>
  <c r="F54" i="32"/>
  <c r="R51" i="31"/>
  <c r="T51" i="31" s="1"/>
  <c r="F47" i="31"/>
  <c r="F25" i="31"/>
  <c r="H25" i="31" s="1"/>
  <c r="F71" i="18"/>
  <c r="G71" i="18" s="1"/>
  <c r="F46" i="31"/>
  <c r="G46" i="31" s="1"/>
  <c r="F54" i="35"/>
  <c r="S66" i="35"/>
  <c r="T66" i="35"/>
  <c r="F28" i="36"/>
  <c r="F28" i="33"/>
  <c r="D79" i="38"/>
  <c r="F86" i="31"/>
  <c r="F81" i="37"/>
  <c r="G81" i="37" s="1"/>
  <c r="F81" i="36"/>
  <c r="G81" i="36" s="1"/>
  <c r="F67" i="36"/>
  <c r="G67" i="36" s="1"/>
  <c r="F57" i="37"/>
  <c r="F73" i="37"/>
  <c r="D38" i="38"/>
  <c r="D50" i="38"/>
  <c r="S31" i="33"/>
  <c r="E14" i="38"/>
  <c r="S71" i="37"/>
  <c r="F21" i="36"/>
  <c r="G21" i="36" s="1"/>
  <c r="F85" i="37"/>
  <c r="T81" i="35"/>
  <c r="S81" i="35"/>
  <c r="F46" i="37"/>
  <c r="H46" i="37" s="1"/>
  <c r="F31" i="18"/>
  <c r="G31" i="18" s="1"/>
  <c r="F85" i="40"/>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T97" i="37"/>
  <c r="S41" i="37"/>
  <c r="G56" i="31"/>
  <c r="H56" i="31"/>
  <c r="G27" i="34"/>
  <c r="H27" i="34"/>
  <c r="T43" i="33"/>
  <c r="T67" i="37"/>
  <c r="R75" i="18"/>
  <c r="S75" i="18" s="1"/>
  <c r="S41" i="35"/>
  <c r="T78" i="35"/>
  <c r="G96" i="31"/>
  <c r="T37" i="33"/>
  <c r="S81" i="37"/>
  <c r="G31" i="31"/>
  <c r="H31" i="31"/>
  <c r="S73" i="37"/>
  <c r="G72" i="18"/>
  <c r="R91" i="33"/>
  <c r="F71" i="31"/>
  <c r="R25" i="37"/>
  <c r="R25" i="33"/>
  <c r="F81" i="35"/>
  <c r="H81" i="35" s="1"/>
  <c r="F46" i="34"/>
  <c r="H46" i="34" s="1"/>
  <c r="F23" i="32"/>
  <c r="R49" i="37"/>
  <c r="R43" i="18"/>
  <c r="S43" i="18" s="1"/>
  <c r="R95" i="37"/>
  <c r="F89" i="35"/>
  <c r="H87" i="31"/>
  <c r="S61" i="35"/>
  <c r="S77" i="35"/>
  <c r="R25" i="31"/>
  <c r="S25" i="31" s="1"/>
  <c r="F46" i="35"/>
  <c r="R42" i="37"/>
  <c r="R39" i="18"/>
  <c r="F23" i="34"/>
  <c r="H23" i="34" s="1"/>
  <c r="F51" i="35"/>
  <c r="H51" i="35" s="1"/>
  <c r="R47" i="18"/>
  <c r="R71" i="18"/>
  <c r="S71" i="18" s="1"/>
  <c r="R71" i="31"/>
  <c r="R89" i="37"/>
  <c r="S33" i="37"/>
  <c r="S29" i="37"/>
  <c r="H35" i="31"/>
  <c r="H19" i="35"/>
  <c r="J19" i="35" s="1"/>
  <c r="K19" i="35" s="1"/>
  <c r="E17" i="17" s="1"/>
  <c r="H20" i="31"/>
  <c r="G58" i="31"/>
  <c r="G36" i="36"/>
  <c r="G96" i="37"/>
  <c r="T57" i="31"/>
  <c r="S57" i="31"/>
  <c r="S33" i="31"/>
  <c r="T33" i="31"/>
  <c r="S31" i="31"/>
  <c r="T31" i="31"/>
  <c r="G93" i="34"/>
  <c r="H93" i="34"/>
  <c r="T44" i="33"/>
  <c r="S44" i="33"/>
  <c r="H85" i="34"/>
  <c r="G85" i="34"/>
  <c r="S41" i="31"/>
  <c r="T41" i="31"/>
  <c r="S86" i="31"/>
  <c r="T78" i="31"/>
  <c r="R63" i="32"/>
  <c r="R93" i="32"/>
  <c r="R74" i="32"/>
  <c r="T56" i="36"/>
  <c r="S78" i="36"/>
  <c r="S64" i="36"/>
  <c r="S34" i="36"/>
  <c r="T46" i="36"/>
  <c r="R96" i="32"/>
  <c r="R90" i="32"/>
  <c r="R68" i="32"/>
  <c r="R85" i="32"/>
  <c r="R49" i="32"/>
  <c r="T32" i="36"/>
  <c r="T50" i="36"/>
  <c r="S89" i="36"/>
  <c r="F25" i="33"/>
  <c r="F59" i="40"/>
  <c r="F59" i="18"/>
  <c r="F81" i="33"/>
  <c r="H67" i="34"/>
  <c r="G67" i="34"/>
  <c r="F79" i="33"/>
  <c r="F75" i="18"/>
  <c r="S48" i="37"/>
  <c r="T48" i="37"/>
  <c r="H42" i="34"/>
  <c r="G42" i="34"/>
  <c r="F42" i="37"/>
  <c r="F42" i="33"/>
  <c r="R46" i="33"/>
  <c r="F29" i="33"/>
  <c r="F97" i="18"/>
  <c r="R97" i="33"/>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H35" i="36"/>
  <c r="S23" i="35"/>
  <c r="T23" i="35"/>
  <c r="T96" i="35"/>
  <c r="S96" i="35"/>
  <c r="T42" i="35"/>
  <c r="S42" i="35"/>
  <c r="S90" i="35"/>
  <c r="T90" i="35"/>
  <c r="K10" i="32"/>
  <c r="K9" i="32"/>
  <c r="K12" i="32"/>
  <c r="H35" i="18"/>
  <c r="G35" i="18"/>
  <c r="S55" i="31"/>
  <c r="T55" i="31"/>
  <c r="S29" i="31"/>
  <c r="T29" i="31"/>
  <c r="T76" i="31"/>
  <c r="S76" i="31"/>
  <c r="S59" i="18"/>
  <c r="T89" i="18"/>
  <c r="T59" i="18"/>
  <c r="S86" i="18"/>
  <c r="S98" i="18"/>
  <c r="T86" i="18"/>
  <c r="S97" i="18"/>
  <c r="S43" i="35"/>
  <c r="T43" i="35"/>
  <c r="T97" i="35"/>
  <c r="S97" i="35"/>
  <c r="T40" i="35"/>
  <c r="S40" i="35"/>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69" i="36"/>
  <c r="G69" i="36"/>
  <c r="T84" i="35"/>
  <c r="S84" i="35"/>
  <c r="T72" i="35"/>
  <c r="S72" i="35"/>
  <c r="T35" i="35"/>
  <c r="S35" i="35"/>
  <c r="S57" i="35"/>
  <c r="T57" i="35"/>
  <c r="T20" i="35"/>
  <c r="V20" i="35" s="1"/>
  <c r="W20" i="35" s="1"/>
  <c r="V18" i="17" s="1"/>
  <c r="S20" i="35"/>
  <c r="U20" i="35" s="1"/>
  <c r="V21" i="35" s="1"/>
  <c r="W21" i="35" s="1"/>
  <c r="V19" i="17" s="1"/>
  <c r="S32" i="35"/>
  <c r="T32" i="35"/>
  <c r="T85" i="35"/>
  <c r="S85" i="35"/>
  <c r="G34" i="37"/>
  <c r="H34" i="37"/>
  <c r="S91" i="35"/>
  <c r="S76" i="35"/>
  <c r="T73" i="35"/>
  <c r="S59" i="35"/>
  <c r="D40" i="38"/>
  <c r="S79" i="18"/>
  <c r="T67" i="18"/>
  <c r="T73" i="18"/>
  <c r="S76" i="18"/>
  <c r="T25" i="35"/>
  <c r="T96" i="18"/>
  <c r="T81" i="18"/>
  <c r="S91" i="18"/>
  <c r="S82" i="18"/>
  <c r="T52" i="18"/>
  <c r="S35" i="18"/>
  <c r="T56" i="35"/>
  <c r="T88" i="18"/>
  <c r="S84" i="18"/>
  <c r="S29" i="18"/>
  <c r="T68" i="18"/>
  <c r="E90" i="38"/>
  <c r="T49" i="35"/>
  <c r="S50" i="35"/>
  <c r="S36" i="18"/>
  <c r="S56" i="36"/>
  <c r="T78" i="36"/>
  <c r="T64" i="36"/>
  <c r="T34" i="36"/>
  <c r="T74" i="36"/>
  <c r="T33" i="36"/>
  <c r="D70" i="38"/>
  <c r="S38" i="36"/>
  <c r="S50" i="36"/>
  <c r="T89" i="36"/>
  <c r="T74" i="35"/>
  <c r="S74" i="35"/>
  <c r="T35" i="31"/>
  <c r="S35" i="31"/>
  <c r="T21" i="31"/>
  <c r="S21" i="31"/>
  <c r="H96"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S98" i="40"/>
  <c r="S93" i="40"/>
  <c r="T95" i="40"/>
  <c r="T99" i="40"/>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G32" i="36"/>
  <c r="H32" i="36"/>
  <c r="G64" i="36"/>
  <c r="H64"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K9" i="40"/>
  <c r="K12" i="40"/>
  <c r="K10" i="40"/>
  <c r="S89" i="18"/>
  <c r="T79" i="18"/>
  <c r="S67" i="18"/>
  <c r="S73" i="18"/>
  <c r="T76" i="18"/>
  <c r="S53" i="18"/>
  <c r="S52" i="18"/>
  <c r="T35" i="18"/>
  <c r="S77" i="18"/>
  <c r="T31" i="18"/>
  <c r="E71" i="38"/>
  <c r="T36"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47" i="38"/>
  <c r="E15" i="38"/>
  <c r="E67" i="38"/>
  <c r="E61" i="38"/>
  <c r="E52"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30" i="38"/>
  <c r="E77" i="38"/>
  <c r="E43" i="38"/>
  <c r="S72" i="34"/>
  <c r="T72" i="34"/>
  <c r="S31" i="34"/>
  <c r="T31" i="34"/>
  <c r="S77" i="34"/>
  <c r="T77" i="34"/>
  <c r="S49" i="34"/>
  <c r="T49" i="34"/>
  <c r="S75" i="34"/>
  <c r="T75" i="34"/>
  <c r="T97" i="34"/>
  <c r="S97" i="34"/>
  <c r="T89" i="34"/>
  <c r="S89" i="34"/>
  <c r="T88" i="34"/>
  <c r="S88" i="34"/>
  <c r="T36" i="34"/>
  <c r="S36" i="34"/>
  <c r="E68"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84" i="38"/>
  <c r="H36" i="34" l="1"/>
  <c r="H36" i="37"/>
  <c r="H35" i="35"/>
  <c r="S36" i="31"/>
  <c r="T20" i="31"/>
  <c r="G87" i="36"/>
  <c r="G76" i="31"/>
  <c r="G63" i="18"/>
  <c r="H86" i="36"/>
  <c r="T59" i="31"/>
  <c r="G64" i="34"/>
  <c r="D55" i="38"/>
  <c r="G66" i="18"/>
  <c r="S42" i="18"/>
  <c r="G84" i="34"/>
  <c r="H94" i="36"/>
  <c r="S32" i="33"/>
  <c r="H96" i="35"/>
  <c r="H72" i="34"/>
  <c r="S55" i="37"/>
  <c r="E33" i="38"/>
  <c r="G82" i="18"/>
  <c r="H94" i="37"/>
  <c r="T42" i="31"/>
  <c r="S52" i="33"/>
  <c r="T64" i="31"/>
  <c r="S87" i="18"/>
  <c r="E45" i="38"/>
  <c r="H92" i="37"/>
  <c r="H61" i="35"/>
  <c r="G34" i="34"/>
  <c r="H50" i="33"/>
  <c r="H44" i="36"/>
  <c r="G19" i="37"/>
  <c r="I19" i="37" s="1"/>
  <c r="J20" i="37" s="1"/>
  <c r="K20" i="37" s="1"/>
  <c r="J18" i="17" s="1"/>
  <c r="D87" i="38"/>
  <c r="H90" i="36"/>
  <c r="H61" i="18"/>
  <c r="T58" i="37"/>
  <c r="H99" i="18"/>
  <c r="G84" i="36"/>
  <c r="G61" i="33"/>
  <c r="G86" i="18"/>
  <c r="G60" i="37"/>
  <c r="G64" i="37"/>
  <c r="G35" i="37"/>
  <c r="G36" i="35"/>
  <c r="S38" i="31"/>
  <c r="H53" i="37"/>
  <c r="G72" i="31"/>
  <c r="H98" i="18"/>
  <c r="H82" i="37"/>
  <c r="G48" i="36"/>
  <c r="S52" i="37"/>
  <c r="D76" i="38"/>
  <c r="T51" i="18"/>
  <c r="E78" i="38"/>
  <c r="G53" i="36"/>
  <c r="H62" i="37"/>
  <c r="H87" i="35"/>
  <c r="G83" i="37"/>
  <c r="G76" i="36"/>
  <c r="T69" i="31"/>
  <c r="G54" i="31"/>
  <c r="S54" i="18"/>
  <c r="S72" i="18"/>
  <c r="T79" i="31"/>
  <c r="H61" i="36"/>
  <c r="G68" i="37"/>
  <c r="E83" i="38"/>
  <c r="H69" i="18"/>
  <c r="G82" i="36"/>
  <c r="H58" i="36"/>
  <c r="S81" i="31"/>
  <c r="H67" i="31"/>
  <c r="S36" i="37"/>
  <c r="T93" i="33"/>
  <c r="T94" i="33"/>
  <c r="E41" i="38"/>
  <c r="T21" i="37"/>
  <c r="S45" i="18"/>
  <c r="T47" i="33"/>
  <c r="H99" i="36"/>
  <c r="S55" i="18"/>
  <c r="S83" i="33"/>
  <c r="S90" i="31"/>
  <c r="G36" i="18"/>
  <c r="T60" i="18"/>
  <c r="S57" i="33"/>
  <c r="S80" i="18"/>
  <c r="H52" i="31"/>
  <c r="H52" i="18"/>
  <c r="H19" i="36"/>
  <c r="J19" i="36" s="1"/>
  <c r="K19" i="36" s="1"/>
  <c r="I17" i="17" s="1"/>
  <c r="H51" i="36"/>
  <c r="H58" i="34"/>
  <c r="H81" i="34"/>
  <c r="G64" i="35"/>
  <c r="D48" i="38"/>
  <c r="T69" i="37"/>
  <c r="S61" i="18"/>
  <c r="G59" i="36"/>
  <c r="G84" i="37"/>
  <c r="H81" i="36"/>
  <c r="H83" i="34"/>
  <c r="S68" i="31"/>
  <c r="H65" i="18"/>
  <c r="S72" i="37"/>
  <c r="H32" i="33"/>
  <c r="D53" i="38"/>
  <c r="T85" i="37"/>
  <c r="D37" i="38"/>
  <c r="G76" i="37"/>
  <c r="G31" i="34"/>
  <c r="H73" i="34"/>
  <c r="H99" i="34"/>
  <c r="G22" i="36"/>
  <c r="G34" i="36"/>
  <c r="G96" i="33"/>
  <c r="G50" i="34"/>
  <c r="H75" i="31"/>
  <c r="G83" i="36"/>
  <c r="H24" i="36"/>
  <c r="H37" i="36"/>
  <c r="G80" i="31"/>
  <c r="G78" i="36"/>
  <c r="H57" i="35"/>
  <c r="G55" i="18"/>
  <c r="G48" i="31"/>
  <c r="S62" i="33"/>
  <c r="G42" i="31"/>
  <c r="D59" i="38"/>
  <c r="G66" i="35"/>
  <c r="S63" i="31"/>
  <c r="G60" i="18"/>
  <c r="G70" i="18"/>
  <c r="G58" i="18"/>
  <c r="G83" i="18"/>
  <c r="T48" i="18"/>
  <c r="G48" i="35"/>
  <c r="H45" i="34"/>
  <c r="T33" i="33"/>
  <c r="T49" i="33"/>
  <c r="S28" i="18"/>
  <c r="T26" i="18"/>
  <c r="T22" i="37"/>
  <c r="G43" i="34"/>
  <c r="T34" i="31"/>
  <c r="S44" i="37"/>
  <c r="T41" i="33"/>
  <c r="T47" i="37"/>
  <c r="S46" i="31"/>
  <c r="S40" i="37"/>
  <c r="T44" i="31"/>
  <c r="H21" i="34"/>
  <c r="T34" i="18"/>
  <c r="S42" i="33"/>
  <c r="G44" i="35"/>
  <c r="J20" i="31"/>
  <c r="K13" i="38"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7" l="1"/>
  <c r="I21" i="37" s="1"/>
  <c r="I22" i="37" s="1"/>
  <c r="I20" i="40"/>
  <c r="I22" i="36"/>
  <c r="J23" i="36" s="1"/>
  <c r="K23" i="36" s="1"/>
  <c r="I21" i="17" s="1"/>
  <c r="K20" i="31"/>
  <c r="D18" i="17" s="1"/>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U21" i="18"/>
  <c r="U22" i="18"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7" l="1"/>
  <c r="K21" i="37" s="1"/>
  <c r="J19" i="17" s="1"/>
  <c r="I23" i="36"/>
  <c r="J24" i="36" s="1"/>
  <c r="K24" i="36" s="1"/>
  <c r="I22" i="17" s="1"/>
  <c r="J22" i="34"/>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1" i="34" l="1"/>
  <c r="G19" i="17" s="1"/>
  <c r="L19" i="17" s="1"/>
  <c r="O19" i="17" s="1"/>
  <c r="L15" i="38"/>
  <c r="K22" i="34"/>
  <c r="G20"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I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J30" i="34" l="1"/>
  <c r="L23" i="38"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30" i="34" l="1"/>
  <c r="G28" i="17" s="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<sst xmlns="http://schemas.openxmlformats.org/spreadsheetml/2006/main" count="1446" uniqueCount="343">
  <si>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</si>
  <si>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</si>
  <si>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</si>
  <si>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</si>
  <si>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</si>
  <si>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</si>
  <si>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</si>
  <si>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</si>
  <si>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</si>
  <si>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</si>
  <si>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</si>
  <si>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</si>
  <si>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</si>
  <si>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</si>
  <si>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</si>
  <si>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</si>
  <si>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</si>
  <si>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</si>
  <si>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</si>
  <si>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</si>
  <si>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</si>
  <si>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</si>
  <si>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</si>
  <si>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</si>
  <si>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</si>
  <si>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</si>
  <si>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</si>
  <si>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</si>
  <si>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</si>
  <si>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</si>
  <si>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</si>
  <si>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</si>
  <si>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</si>
  <si>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</si>
  <si>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</si>
  <si>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</si>
  <si>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</si>
  <si>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</si>
  <si>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</si>
  <si>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</si>
  <si>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</si>
  <si>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</si>
  <si>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</si>
  <si>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</si>
  <si>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</si>
  <si>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</si>
  <si>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</si>
  <si>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</si>
  <si>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</si>
  <si>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</si>
  <si>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</si>
  <si>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</si>
  <si>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</si>
  <si>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</si>
  <si>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</si>
  <si>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</si>
  <si>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</si>
  <si>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</si>
  <si>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</si>
  <si>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</si>
  <si>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</si>
  <si>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</si>
  <si>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</si>
  <si>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</si>
  <si>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</si>
  <si>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</si>
  <si>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</si>
  <si>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</si>
  <si>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</si>
  <si>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</si>
  <si>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</si>
  <si>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</si>
  <si>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</si>
  <si>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</si>
  <si>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</si>
  <si>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</si>
  <si>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</si>
  <si>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</si>
  <si>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</si>
  <si>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</si>
  <si>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</si>
  <si>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</si>
  <si>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</si>
  <si>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</si>
  <si>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</si>
  <si>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</si>
  <si>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</si>
  <si>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</si>
  <si>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</si>
  <si>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</si>
  <si>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</si>
  <si>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</si>
  <si>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</si>
  <si>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</si>
  <si>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</si>
  <si>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</si>
  <si>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</si>
  <si>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</si>
  <si>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</si>
  <si>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</si>
  <si>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</si>
  <si>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</si>
  <si>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</si>
  <si>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</si>
  <si>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</si>
  <si>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</si>
  <si>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</si>
  <si>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</si>
  <si>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</si>
  <si>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</si>
  <si>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</si>
  <si>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</si>
  <si>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</si>
  <si>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</si>
  <si>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</si>
  <si>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</si>
  <si>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</si>
  <si>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</si>
  <si>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</si>
  <si>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</si>
  <si>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</si>
  <si>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</si>
  <si>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</si>
  <si>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</si>
  <si>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</si>
  <si>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</si>
  <si>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</si>
  <si>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</si>
  <si>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</si>
  <si>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</si>
  <si>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</si>
  <si>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</si>
  <si>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</si>
  <si>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</si>
  <si>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</si>
  <si>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</si>
  <si>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</si>
  <si>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</si>
  <si>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</si>
  <si>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</si>
  <si>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</si>
  <si>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</si>
  <si>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</si>
  <si>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</si>
  <si>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</si>
  <si>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</si>
  <si>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</si>
  <si>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</si>
  <si>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</si>
  <si>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</si>
  <si>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</si>
  <si>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</si>
  <si>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</si>
  <si>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</si>
  <si>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</si>
  <si>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</si>
  <si>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</si>
  <si>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</si>
  <si>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</si>
  <si>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</si>
  <si>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</si>
  <si>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</si>
  <si>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</si>
  <si>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</si>
  <si>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</si>
  <si>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</si>
  <si>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</si>
  <si>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</si>
  <si>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</si>
  <si>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</si>
  <si>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</si>
  <si>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</si>
  <si>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</si>
  <si>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</si>
  <si>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</si>
  <si>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</si>
  <si>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</si>
  <si>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</si>
  <si>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</si>
  <si>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</si>
  <si>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</si>
  <si>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</si>
  <si>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</si>
  <si>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</si>
  <si>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</si>
  <si>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</si>
  <si>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</si>
  <si>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</si>
  <si>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</si>
  <si>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</si>
  <si>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</si>
  <si>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</si>
  <si>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</si>
  <si>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</si>
  <si>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</si>
  <si>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</si>
  <si>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</si>
  <si>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</si>
  <si>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</si>
  <si>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</si>
  <si>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</si>
  <si>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</si>
  <si>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</si>
  <si>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</si>
  <si>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</si>
  <si>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</si>
  <si>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</si>
  <si>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</si>
  <si>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</si>
  <si>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</si>
  <si>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</si>
  <si>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</si>
  <si>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</si>
  <si>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</si>
  <si>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</si>
  <si>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</si>
  <si>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</si>
  <si>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</si>
  <si>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</si>
  <si>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</si>
  <si>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</si>
  <si>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</si>
  <si>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</si>
  <si>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</si>
  <si>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</si>
  <si>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</si>
  <si>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</si>
  <si>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</si>
  <si>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</si>
  <si>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</si>
  <si>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</si>
  <si>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</si>
  <si>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</si>
  <si>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</si>
  <si>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</si>
  <si>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</si>
  <si>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</si>
  <si>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</si>
  <si>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</si>
  <si>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</si>
  <si>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</si>
  <si>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</si>
  <si>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</si>
  <si>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</si>
  <si>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</si>
  <si>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</si>
  <si>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</si>
  <si>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</si>
  <si>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</si>
  <si>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</si>
  <si>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</si>
  <si>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</si>
  <si>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</si>
  <si>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</si>
  <si>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</si>
  <si>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</si>
  <si>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</si>
  <si>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</si>
  <si>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</si>
  <si>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</si>
  <si>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</si>
  <si>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</si>
  <si>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</si>
  <si>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</si>
  <si>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</si>
  <si>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</si>
  <si>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</si>
  <si>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</si>
  <si>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</si>
  <si>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</si>
  <si>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</si>
  <si>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</si>
  <si>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</si>
  <si>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</si>
  <si>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</si>
  <si>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</si>
  <si>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</si>
  <si>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</si>
  <si>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</si>
  <si>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</si>
  <si>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</si>
  <si>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</si>
  <si>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</si>
  <si>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</si>
  <si>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</si>
  <si>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</si>
  <si>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</si>
  <si>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</si>
  <si>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</si>
  <si>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</si>
  <si>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</si>
  <si>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</si>
  <si>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</si>
  <si>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</si>
  <si>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</si>
  <si>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</si>
  <si>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</si>
  <si>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</si>
  <si>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</si>
  <si>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</si>
  <si>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</si>
  <si>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</si>
  <si>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</si>
  <si>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</si>
  <si>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</si>
  <si>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</si>
  <si>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</si>
  <si>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</si>
  <si>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</si>
  <si>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</si>
  <si>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</si>
  <si>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</si>
  <si>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</si>
  <si>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</si>
  <si>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</si>
  <si>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</si>
  <si>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</si>
  <si>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</si>
  <si>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</si>
  <si>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</si>
  <si>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</si>
  <si>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</si>
  <si>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</si>
  <si>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</si>
  <si>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</si>
  <si>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</si>
  <si>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</si>
  <si>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</si>
  <si>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</si>
  <si>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</si>
  <si>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</si>
  <si>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</si>
  <si>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</si>
  <si>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</si>
  <si>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</si>
  <si>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</si>
  <si>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</si>
  <si>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</si>
  <si>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</si>
  <si>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</si>
  <si>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</si>
  <si>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</si>
  <si>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Balikpapan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</si>
</sst>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8">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3">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auto="1"/>
      </left>
      <right/>
      <top style="thin">
        <color auto="1"/>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7" fillId="0" borderId="0" applyFont="0" applyFill="0" applyBorder="0" applyAlignment="0" applyProtection="0"/>
  </cellStyleXfs>
  <cellXfs count="878">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0" xfId="2" applyNumberFormat="1" applyFont="1" applyFill="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3" borderId="78" xfId="0" applyFill="1" applyBorder="1"/>
    <xf numFmtId="0" fontId="0" fillId="3" borderId="82" xfId="0" applyFill="1" applyBorder="1"/>
    <xf numFmtId="0" fontId="0" fillId="5" borderId="47" xfId="0" applyFill="1" applyBorder="1" applyProtection="1">
      <protection locked="0"/>
    </xf>
    <xf numFmtId="0" fontId="0" fillId="5" borderId="48" xfId="0" applyFill="1" applyBorder="1" applyProtection="1">
      <protection locked="0"/>
    </xf>
    <xf numFmtId="0" fontId="0" fillId="5" borderId="30" xfId="0" applyFill="1" applyBorder="1" applyProtection="1">
      <protection locked="0"/>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36"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25" xfId="4" applyFont="1" applyFill="1" applyBorder="1" applyAlignment="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alikpapan/BPP_Hitungan%20BaU-skenario-Rekap%20Emisi_2000-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PP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30">
          <cell r="C30">
            <v>25.078813451999999</v>
          </cell>
        </row>
        <row r="31">
          <cell r="C31">
            <v>25.400101979999999</v>
          </cell>
        </row>
        <row r="32">
          <cell r="C32">
            <v>25.972466520000001</v>
          </cell>
        </row>
        <row r="33">
          <cell r="C33">
            <v>26.434118436000002</v>
          </cell>
        </row>
        <row r="34">
          <cell r="C34">
            <v>26.575529771999999</v>
          </cell>
        </row>
        <row r="35">
          <cell r="C35">
            <v>29.43685932</v>
          </cell>
        </row>
        <row r="36">
          <cell r="C36">
            <v>30.042388332000002</v>
          </cell>
        </row>
        <row r="37">
          <cell r="C37">
            <v>30.647424192000003</v>
          </cell>
        </row>
        <row r="38">
          <cell r="C38">
            <v>31.24826826</v>
          </cell>
        </row>
        <row r="39">
          <cell r="C39">
            <v>31.840482168000001</v>
          </cell>
        </row>
        <row r="40">
          <cell r="C40">
            <v>34.371399876000005</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ormat Rekap"/>
      <sheetName val="Rekapitulasi BaU Emisi GRK"/>
      <sheetName val="Rekap BAU Emisi Industri Sawitt"/>
      <sheetName val="Frksi pengelolaan smph Mitigasi"/>
      <sheetName val="Rekaptlasi Mitigasi Emisi GRK"/>
    </sheetNames>
    <sheetDataSet>
      <sheetData sheetId="0"/>
      <sheetData sheetId="1">
        <row r="29">
          <cell r="C29">
            <v>35.271710495999997</v>
          </cell>
        </row>
        <row r="30">
          <cell r="C30">
            <v>35.955219167999999</v>
          </cell>
        </row>
        <row r="31">
          <cell r="C31">
            <v>36.636385367999999</v>
          </cell>
        </row>
        <row r="32">
          <cell r="C32">
            <v>37.300537823999996</v>
          </cell>
        </row>
        <row r="33">
          <cell r="C33">
            <v>37.946443656</v>
          </cell>
        </row>
        <row r="34">
          <cell r="C34">
            <v>38.587171391999995</v>
          </cell>
        </row>
        <row r="35">
          <cell r="C35">
            <v>40.067921916000003</v>
          </cell>
        </row>
        <row r="36">
          <cell r="C36">
            <v>40.998684672000003</v>
          </cell>
        </row>
        <row r="37">
          <cell r="C37">
            <v>41.929447428000003</v>
          </cell>
        </row>
        <row r="38">
          <cell r="C38">
            <v>42.86021018400001</v>
          </cell>
        </row>
        <row r="39">
          <cell r="C39">
            <v>43.790972940000003</v>
          </cell>
        </row>
        <row r="40">
          <cell r="C40">
            <v>44.721735696000003</v>
          </cell>
        </row>
        <row r="41">
          <cell r="C41">
            <v>45.65249845200001</v>
          </cell>
        </row>
        <row r="42">
          <cell r="C42">
            <v>46.583261208000003</v>
          </cell>
        </row>
        <row r="43">
          <cell r="C43">
            <v>47.514023964000003</v>
          </cell>
        </row>
        <row r="44">
          <cell r="C44">
            <v>48.444786719999996</v>
          </cell>
        </row>
        <row r="45">
          <cell r="C45">
            <v>49.375549476000003</v>
          </cell>
        </row>
        <row r="46">
          <cell r="C46">
            <v>50.306312232000003</v>
          </cell>
        </row>
        <row r="47">
          <cell r="C47">
            <v>51.237074987999996</v>
          </cell>
        </row>
        <row r="48">
          <cell r="C48">
            <v>52.167837744000003</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0" t="s">
        <v>212</v>
      </c>
      <c r="C7" s="780"/>
      <c r="D7" s="780"/>
      <c r="E7" s="780"/>
      <c r="F7" s="780"/>
      <c r="G7" s="780"/>
      <c r="H7" s="780"/>
      <c r="I7" s="780"/>
      <c r="J7" s="360"/>
      <c r="K7" s="360"/>
    </row>
    <row r="8" spans="2:11" s="9" customFormat="1">
      <c r="B8" s="10"/>
      <c r="C8" s="10"/>
      <c r="D8" s="10"/>
      <c r="E8" s="10"/>
      <c r="F8" s="10"/>
      <c r="G8" s="10"/>
      <c r="H8" s="10"/>
      <c r="I8" s="10"/>
      <c r="J8" s="10"/>
      <c r="K8" s="10"/>
    </row>
    <row r="9" spans="2:11" ht="44.1" customHeight="1">
      <c r="B9" s="781" t="s">
        <v>227</v>
      </c>
      <c r="C9" s="781"/>
      <c r="D9" s="781"/>
      <c r="E9" s="781"/>
      <c r="F9" s="781"/>
      <c r="G9" s="781"/>
      <c r="H9" s="781"/>
      <c r="I9" s="781"/>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4" t="str">
        <f>city</f>
        <v>Balikpapan</v>
      </c>
      <c r="E2" s="845"/>
      <c r="F2" s="846"/>
    </row>
    <row r="3" spans="2:15" ht="13.5" thickBot="1">
      <c r="C3" s="490" t="s">
        <v>276</v>
      </c>
      <c r="D3" s="844" t="str">
        <f>province</f>
        <v>Kalimantan Timur</v>
      </c>
      <c r="E3" s="845"/>
      <c r="F3" s="846"/>
    </row>
    <row r="4" spans="2:15" ht="13.5" thickBot="1">
      <c r="B4" s="489"/>
      <c r="C4" s="490" t="s">
        <v>30</v>
      </c>
      <c r="D4" s="844">
        <v>0</v>
      </c>
      <c r="E4" s="845"/>
      <c r="F4" s="846"/>
      <c r="H4" s="847"/>
      <c r="I4" s="847"/>
      <c r="J4" s="847"/>
      <c r="K4" s="847"/>
    </row>
    <row r="5" spans="2:15">
      <c r="B5" s="489"/>
      <c r="H5" s="848"/>
      <c r="I5" s="848"/>
      <c r="J5" s="848"/>
      <c r="K5" s="848"/>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0.65455703109719998</v>
      </c>
      <c r="E18" s="535">
        <v>0</v>
      </c>
      <c r="F18" s="535">
        <v>0.51762670964928004</v>
      </c>
      <c r="G18" s="535">
        <v>0.427042035460656</v>
      </c>
      <c r="H18" s="535">
        <v>6.5004284467583995E-2</v>
      </c>
      <c r="I18" s="536">
        <v>0</v>
      </c>
      <c r="J18" s="537">
        <v>0</v>
      </c>
      <c r="K18" s="538">
        <v>0</v>
      </c>
      <c r="L18" s="535">
        <v>0</v>
      </c>
      <c r="M18" s="536">
        <v>0</v>
      </c>
      <c r="N18" s="471">
        <v>1.66423006067472</v>
      </c>
      <c r="O18" s="473">
        <f t="shared" ref="O18:O81" si="0">O17+N18</f>
        <v>1.66423006067472</v>
      </c>
    </row>
    <row r="19" spans="2:15">
      <c r="B19" s="470">
        <f>B18+1</f>
        <v>1951</v>
      </c>
      <c r="C19" s="533">
        <v>0</v>
      </c>
      <c r="D19" s="534">
        <v>0.66294266167800009</v>
      </c>
      <c r="E19" s="535">
        <v>0</v>
      </c>
      <c r="F19" s="535">
        <v>0.52425810486720004</v>
      </c>
      <c r="G19" s="535">
        <v>0.43251293651544009</v>
      </c>
      <c r="H19" s="535">
        <v>6.5837064332160009E-2</v>
      </c>
      <c r="I19" s="536">
        <v>0</v>
      </c>
      <c r="J19" s="537">
        <v>0</v>
      </c>
      <c r="K19" s="538">
        <v>0</v>
      </c>
      <c r="L19" s="535">
        <v>0</v>
      </c>
      <c r="M19" s="536">
        <v>0</v>
      </c>
      <c r="N19" s="471">
        <v>1.6855507673928001</v>
      </c>
      <c r="O19" s="473">
        <f t="shared" si="0"/>
        <v>3.3497808280675203</v>
      </c>
    </row>
    <row r="20" spans="2:15">
      <c r="B20" s="470">
        <f t="shared" ref="B20:B83" si="1">B19+1</f>
        <v>1952</v>
      </c>
      <c r="C20" s="533">
        <v>0</v>
      </c>
      <c r="D20" s="534">
        <v>0.67788137617200006</v>
      </c>
      <c r="E20" s="535">
        <v>0</v>
      </c>
      <c r="F20" s="535">
        <v>0.5360717089728001</v>
      </c>
      <c r="G20" s="535">
        <v>0.44225915990256004</v>
      </c>
      <c r="H20" s="535">
        <v>6.7320633219839998E-2</v>
      </c>
      <c r="I20" s="536">
        <v>0</v>
      </c>
      <c r="J20" s="537">
        <v>0</v>
      </c>
      <c r="K20" s="538">
        <v>0</v>
      </c>
      <c r="L20" s="535">
        <v>0</v>
      </c>
      <c r="M20" s="536">
        <v>0</v>
      </c>
      <c r="N20" s="471">
        <v>1.7235328782672001</v>
      </c>
      <c r="O20" s="473">
        <f t="shared" si="0"/>
        <v>5.0733137063347202</v>
      </c>
    </row>
    <row r="21" spans="2:15">
      <c r="B21" s="470">
        <f t="shared" si="1"/>
        <v>1953</v>
      </c>
      <c r="C21" s="533">
        <v>0</v>
      </c>
      <c r="D21" s="534">
        <v>0.68993049117960004</v>
      </c>
      <c r="E21" s="535">
        <v>0</v>
      </c>
      <c r="F21" s="535">
        <v>0.54560020451904012</v>
      </c>
      <c r="G21" s="535">
        <v>0.45012016872820804</v>
      </c>
      <c r="H21" s="535">
        <v>6.8517234986111994E-2</v>
      </c>
      <c r="I21" s="536">
        <v>0</v>
      </c>
      <c r="J21" s="537">
        <v>0</v>
      </c>
      <c r="K21" s="538">
        <v>0</v>
      </c>
      <c r="L21" s="535">
        <v>0</v>
      </c>
      <c r="M21" s="536">
        <v>0</v>
      </c>
      <c r="N21" s="471">
        <v>1.7541680994129603</v>
      </c>
      <c r="O21" s="473">
        <f t="shared" si="0"/>
        <v>6.8274818057476807</v>
      </c>
    </row>
    <row r="22" spans="2:15">
      <c r="B22" s="470">
        <f t="shared" si="1"/>
        <v>1954</v>
      </c>
      <c r="C22" s="533">
        <v>0</v>
      </c>
      <c r="D22" s="534">
        <v>0.69362132704919999</v>
      </c>
      <c r="E22" s="535">
        <v>0</v>
      </c>
      <c r="F22" s="535">
        <v>0.54851893449408007</v>
      </c>
      <c r="G22" s="535">
        <v>0.45252812095761608</v>
      </c>
      <c r="H22" s="535">
        <v>6.8883773169023998E-2</v>
      </c>
      <c r="I22" s="536">
        <v>0</v>
      </c>
      <c r="J22" s="537">
        <v>0</v>
      </c>
      <c r="K22" s="538">
        <v>0</v>
      </c>
      <c r="L22" s="535">
        <v>0</v>
      </c>
      <c r="M22" s="536">
        <v>0</v>
      </c>
      <c r="N22" s="471">
        <v>1.7635521556699199</v>
      </c>
      <c r="O22" s="473">
        <f t="shared" si="0"/>
        <v>8.591033961417601</v>
      </c>
    </row>
    <row r="23" spans="2:15">
      <c r="B23" s="470">
        <f t="shared" si="1"/>
        <v>1955</v>
      </c>
      <c r="C23" s="533">
        <v>0</v>
      </c>
      <c r="D23" s="534">
        <v>0.76830202825200011</v>
      </c>
      <c r="E23" s="535">
        <v>0</v>
      </c>
      <c r="F23" s="535">
        <v>0.60757677636480012</v>
      </c>
      <c r="G23" s="535">
        <v>0.50125084050096003</v>
      </c>
      <c r="H23" s="535">
        <v>7.6300339357440003E-2</v>
      </c>
      <c r="I23" s="536">
        <v>0</v>
      </c>
      <c r="J23" s="537">
        <v>0</v>
      </c>
      <c r="K23" s="538">
        <v>0</v>
      </c>
      <c r="L23" s="535">
        <v>0</v>
      </c>
      <c r="M23" s="536">
        <v>0</v>
      </c>
      <c r="N23" s="471">
        <v>1.9534299844752001</v>
      </c>
      <c r="O23" s="473">
        <f t="shared" si="0"/>
        <v>10.544463945892801</v>
      </c>
    </row>
    <row r="24" spans="2:15">
      <c r="B24" s="470">
        <f t="shared" si="1"/>
        <v>1956</v>
      </c>
      <c r="C24" s="533">
        <v>0</v>
      </c>
      <c r="D24" s="534">
        <v>0.78410633546520003</v>
      </c>
      <c r="E24" s="535">
        <v>0</v>
      </c>
      <c r="F24" s="535">
        <v>0.62007489517248016</v>
      </c>
      <c r="G24" s="535">
        <v>0.51156178851729606</v>
      </c>
      <c r="H24" s="535">
        <v>7.7869870556543999E-2</v>
      </c>
      <c r="I24" s="536">
        <v>0</v>
      </c>
      <c r="J24" s="537">
        <v>0</v>
      </c>
      <c r="K24" s="538">
        <v>0</v>
      </c>
      <c r="L24" s="535">
        <v>0</v>
      </c>
      <c r="M24" s="536">
        <v>0</v>
      </c>
      <c r="N24" s="471">
        <v>1.9936128897115202</v>
      </c>
      <c r="O24" s="473">
        <f t="shared" si="0"/>
        <v>12.538076835604322</v>
      </c>
    </row>
    <row r="25" spans="2:15">
      <c r="B25" s="470">
        <f t="shared" si="1"/>
        <v>1957</v>
      </c>
      <c r="C25" s="533">
        <v>0</v>
      </c>
      <c r="D25" s="534">
        <v>0.7998977714112</v>
      </c>
      <c r="E25" s="535">
        <v>0</v>
      </c>
      <c r="F25" s="535">
        <v>0.63256283532288016</v>
      </c>
      <c r="G25" s="535">
        <v>0.52186433914137609</v>
      </c>
      <c r="H25" s="535">
        <v>7.943812350566401E-2</v>
      </c>
      <c r="I25" s="536">
        <v>0</v>
      </c>
      <c r="J25" s="537">
        <v>0</v>
      </c>
      <c r="K25" s="538">
        <v>0</v>
      </c>
      <c r="L25" s="535">
        <v>0</v>
      </c>
      <c r="M25" s="536">
        <v>0</v>
      </c>
      <c r="N25" s="471">
        <v>2.0337630693811204</v>
      </c>
      <c r="O25" s="473">
        <f t="shared" si="0"/>
        <v>14.571839904985442</v>
      </c>
    </row>
    <row r="26" spans="2:15">
      <c r="B26" s="470">
        <f t="shared" si="1"/>
        <v>1958</v>
      </c>
      <c r="C26" s="533">
        <v>0</v>
      </c>
      <c r="D26" s="534">
        <v>0.81557980158600007</v>
      </c>
      <c r="E26" s="535">
        <v>0</v>
      </c>
      <c r="F26" s="535">
        <v>0.64496425688640002</v>
      </c>
      <c r="G26" s="535">
        <v>0.53209551193128002</v>
      </c>
      <c r="H26" s="535">
        <v>8.099551132992E-2</v>
      </c>
      <c r="I26" s="536">
        <v>0</v>
      </c>
      <c r="J26" s="537">
        <v>0</v>
      </c>
      <c r="K26" s="538">
        <v>0</v>
      </c>
      <c r="L26" s="535">
        <v>0</v>
      </c>
      <c r="M26" s="536">
        <v>0</v>
      </c>
      <c r="N26" s="471">
        <v>2.0736350817336002</v>
      </c>
      <c r="O26" s="473">
        <f t="shared" si="0"/>
        <v>16.645474986719041</v>
      </c>
    </row>
    <row r="27" spans="2:15">
      <c r="B27" s="470">
        <f t="shared" si="1"/>
        <v>1959</v>
      </c>
      <c r="C27" s="533">
        <v>0</v>
      </c>
      <c r="D27" s="534">
        <v>0.8310365845847999</v>
      </c>
      <c r="E27" s="535">
        <v>0</v>
      </c>
      <c r="F27" s="535">
        <v>0.6571875519475201</v>
      </c>
      <c r="G27" s="535">
        <v>0.54217973035670408</v>
      </c>
      <c r="H27" s="535">
        <v>8.2530529779456005E-2</v>
      </c>
      <c r="I27" s="536">
        <v>0</v>
      </c>
      <c r="J27" s="537">
        <v>0</v>
      </c>
      <c r="K27" s="538">
        <v>0</v>
      </c>
      <c r="L27" s="535">
        <v>0</v>
      </c>
      <c r="M27" s="536">
        <v>0</v>
      </c>
      <c r="N27" s="471">
        <v>2.1129343966684799</v>
      </c>
      <c r="O27" s="473">
        <f t="shared" si="0"/>
        <v>18.758409383387519</v>
      </c>
    </row>
    <row r="28" spans="2:15">
      <c r="B28" s="470">
        <f t="shared" si="1"/>
        <v>1960</v>
      </c>
      <c r="C28" s="533">
        <v>0</v>
      </c>
      <c r="D28" s="534">
        <v>0.89709353676360015</v>
      </c>
      <c r="E28" s="535">
        <v>0</v>
      </c>
      <c r="F28" s="535">
        <v>0.70942569344064021</v>
      </c>
      <c r="G28" s="535">
        <v>0.58527619708852807</v>
      </c>
      <c r="H28" s="535">
        <v>8.9090668478592011E-2</v>
      </c>
      <c r="I28" s="536">
        <v>0</v>
      </c>
      <c r="J28" s="537">
        <v>0</v>
      </c>
      <c r="K28" s="538">
        <v>0</v>
      </c>
      <c r="L28" s="535">
        <v>0</v>
      </c>
      <c r="M28" s="536">
        <v>0</v>
      </c>
      <c r="N28" s="471">
        <v>2.2808860957713604</v>
      </c>
      <c r="O28" s="473">
        <f t="shared" si="0"/>
        <v>21.039295479158881</v>
      </c>
    </row>
    <row r="29" spans="2:15">
      <c r="B29" s="470">
        <f t="shared" si="1"/>
        <v>1961</v>
      </c>
      <c r="C29" s="533">
        <v>0</v>
      </c>
      <c r="D29" s="534">
        <v>0.92059164394559989</v>
      </c>
      <c r="E29" s="535">
        <v>0</v>
      </c>
      <c r="F29" s="535">
        <v>0.72800810463744003</v>
      </c>
      <c r="G29" s="535">
        <v>0.6006066863258881</v>
      </c>
      <c r="H29" s="535">
        <v>9.1424273605631989E-2</v>
      </c>
      <c r="I29" s="536">
        <v>0</v>
      </c>
      <c r="J29" s="537">
        <v>0</v>
      </c>
      <c r="K29" s="538">
        <v>0</v>
      </c>
      <c r="L29" s="535">
        <v>0</v>
      </c>
      <c r="M29" s="536">
        <v>0</v>
      </c>
      <c r="N29" s="471">
        <v>2.3406307085145599</v>
      </c>
      <c r="O29" s="473">
        <f t="shared" si="0"/>
        <v>23.379926187673441</v>
      </c>
    </row>
    <row r="30" spans="2:15">
      <c r="B30" s="470">
        <f t="shared" si="1"/>
        <v>1962</v>
      </c>
      <c r="C30" s="533">
        <v>0</v>
      </c>
      <c r="D30" s="534">
        <v>0.93843122028479997</v>
      </c>
      <c r="E30" s="535">
        <v>0</v>
      </c>
      <c r="F30" s="535">
        <v>0.74211572362751999</v>
      </c>
      <c r="G30" s="535">
        <v>0.61224547199270407</v>
      </c>
      <c r="H30" s="535">
        <v>9.3195928083456003E-2</v>
      </c>
      <c r="I30" s="536">
        <v>0</v>
      </c>
      <c r="J30" s="537">
        <v>0</v>
      </c>
      <c r="K30" s="538">
        <v>0</v>
      </c>
      <c r="L30" s="535">
        <v>0</v>
      </c>
      <c r="M30" s="536">
        <v>0</v>
      </c>
      <c r="N30" s="471">
        <v>2.3859883439884801</v>
      </c>
      <c r="O30" s="473">
        <f t="shared" si="0"/>
        <v>25.76591453166192</v>
      </c>
    </row>
    <row r="31" spans="2:15">
      <c r="B31" s="470">
        <f t="shared" si="1"/>
        <v>1963</v>
      </c>
      <c r="C31" s="533">
        <v>0</v>
      </c>
      <c r="D31" s="534">
        <v>0.95620965810479996</v>
      </c>
      <c r="E31" s="535">
        <v>0</v>
      </c>
      <c r="F31" s="535">
        <v>0.75617499399552013</v>
      </c>
      <c r="G31" s="535">
        <v>0.623844370046304</v>
      </c>
      <c r="H31" s="535">
        <v>9.4961510873856E-2</v>
      </c>
      <c r="I31" s="536">
        <v>0</v>
      </c>
      <c r="J31" s="537">
        <v>0</v>
      </c>
      <c r="K31" s="538">
        <v>0</v>
      </c>
      <c r="L31" s="535">
        <v>0</v>
      </c>
      <c r="M31" s="536">
        <v>0</v>
      </c>
      <c r="N31" s="471">
        <v>2.4311905330204802</v>
      </c>
      <c r="O31" s="473">
        <f t="shared" si="0"/>
        <v>28.1971050646824</v>
      </c>
    </row>
    <row r="32" spans="2:15">
      <c r="B32" s="470">
        <f t="shared" si="1"/>
        <v>1964</v>
      </c>
      <c r="C32" s="533">
        <v>0</v>
      </c>
      <c r="D32" s="534">
        <v>0.97354403720640004</v>
      </c>
      <c r="E32" s="535">
        <v>0</v>
      </c>
      <c r="F32" s="535">
        <v>0.7698831006873601</v>
      </c>
      <c r="G32" s="535">
        <v>0.63515355806707197</v>
      </c>
      <c r="H32" s="535">
        <v>9.6682994039807998E-2</v>
      </c>
      <c r="I32" s="536">
        <v>0</v>
      </c>
      <c r="J32" s="537">
        <v>0</v>
      </c>
      <c r="K32" s="538">
        <v>0</v>
      </c>
      <c r="L32" s="535">
        <v>0</v>
      </c>
      <c r="M32" s="536">
        <v>0</v>
      </c>
      <c r="N32" s="471">
        <v>2.4752636900006402</v>
      </c>
      <c r="O32" s="473">
        <f t="shared" si="0"/>
        <v>30.672368754683042</v>
      </c>
    </row>
    <row r="33" spans="2:15">
      <c r="B33" s="470">
        <f t="shared" si="1"/>
        <v>1965</v>
      </c>
      <c r="C33" s="533">
        <v>0</v>
      </c>
      <c r="D33" s="534">
        <v>0.99040217942160003</v>
      </c>
      <c r="E33" s="535">
        <v>0</v>
      </c>
      <c r="F33" s="535">
        <v>0.78321459705984009</v>
      </c>
      <c r="G33" s="535">
        <v>0.64615204257436809</v>
      </c>
      <c r="H33" s="535">
        <v>9.8357181956351999E-2</v>
      </c>
      <c r="I33" s="536">
        <v>0</v>
      </c>
      <c r="J33" s="537">
        <v>0</v>
      </c>
      <c r="K33" s="538">
        <v>0</v>
      </c>
      <c r="L33" s="535">
        <v>0</v>
      </c>
      <c r="M33" s="536">
        <v>0</v>
      </c>
      <c r="N33" s="471">
        <v>2.5181260010121602</v>
      </c>
      <c r="O33" s="473">
        <f t="shared" si="0"/>
        <v>33.190494755695205</v>
      </c>
    </row>
    <row r="34" spans="2:15">
      <c r="B34" s="470">
        <f t="shared" si="1"/>
        <v>1966</v>
      </c>
      <c r="C34" s="533">
        <v>0</v>
      </c>
      <c r="D34" s="534">
        <v>1.0071251733311999</v>
      </c>
      <c r="E34" s="535">
        <v>0</v>
      </c>
      <c r="F34" s="535">
        <v>0.79643921753087998</v>
      </c>
      <c r="G34" s="535">
        <v>0.65706235446297601</v>
      </c>
      <c r="H34" s="535">
        <v>0.10001794824806398</v>
      </c>
      <c r="I34" s="536">
        <v>0</v>
      </c>
      <c r="J34" s="537">
        <v>0</v>
      </c>
      <c r="K34" s="538">
        <v>0</v>
      </c>
      <c r="L34" s="535">
        <v>0</v>
      </c>
      <c r="M34" s="536">
        <v>0</v>
      </c>
      <c r="N34" s="471">
        <v>2.5606446935731197</v>
      </c>
      <c r="O34" s="473">
        <f t="shared" si="0"/>
        <v>35.751139449268322</v>
      </c>
    </row>
    <row r="35" spans="2:15">
      <c r="B35" s="470">
        <f t="shared" si="1"/>
        <v>1967</v>
      </c>
      <c r="C35" s="533">
        <v>0</v>
      </c>
      <c r="D35" s="534">
        <v>1.0457727620076003</v>
      </c>
      <c r="E35" s="535">
        <v>0</v>
      </c>
      <c r="F35" s="535">
        <v>0.8270019083462401</v>
      </c>
      <c r="G35" s="535">
        <v>0.68227657438564815</v>
      </c>
      <c r="H35" s="535">
        <v>0.10385605360627199</v>
      </c>
      <c r="I35" s="536">
        <v>0</v>
      </c>
      <c r="J35" s="537">
        <v>0</v>
      </c>
      <c r="K35" s="538">
        <v>0</v>
      </c>
      <c r="L35" s="535">
        <v>0</v>
      </c>
      <c r="M35" s="536">
        <v>0</v>
      </c>
      <c r="N35" s="471">
        <v>2.6589072983457602</v>
      </c>
      <c r="O35" s="473">
        <f t="shared" si="0"/>
        <v>38.410046747614082</v>
      </c>
    </row>
    <row r="36" spans="2:15">
      <c r="B36" s="470">
        <f t="shared" si="1"/>
        <v>1968</v>
      </c>
      <c r="C36" s="533">
        <v>0</v>
      </c>
      <c r="D36" s="534">
        <v>1.0700656699392002</v>
      </c>
      <c r="E36" s="535">
        <v>0</v>
      </c>
      <c r="F36" s="535">
        <v>0.8462128516300802</v>
      </c>
      <c r="G36" s="535">
        <v>0.69812560259481604</v>
      </c>
      <c r="H36" s="535">
        <v>0.106268590669824</v>
      </c>
      <c r="I36" s="536">
        <v>0</v>
      </c>
      <c r="J36" s="537">
        <v>0</v>
      </c>
      <c r="K36" s="538">
        <v>0</v>
      </c>
      <c r="L36" s="535">
        <v>0</v>
      </c>
      <c r="M36" s="536">
        <v>0</v>
      </c>
      <c r="N36" s="471">
        <v>2.7206727148339205</v>
      </c>
      <c r="O36" s="473">
        <f t="shared" si="0"/>
        <v>41.130719462447999</v>
      </c>
    </row>
    <row r="37" spans="2:15">
      <c r="B37" s="470">
        <f t="shared" si="1"/>
        <v>1969</v>
      </c>
      <c r="C37" s="533">
        <v>0</v>
      </c>
      <c r="D37" s="534">
        <v>1.0943585778708003</v>
      </c>
      <c r="E37" s="535">
        <v>0</v>
      </c>
      <c r="F37" s="535">
        <v>0.86542379491392019</v>
      </c>
      <c r="G37" s="535">
        <v>0.71397463080398416</v>
      </c>
      <c r="H37" s="535">
        <v>0.10868112773337602</v>
      </c>
      <c r="I37" s="536">
        <v>0</v>
      </c>
      <c r="J37" s="537">
        <v>0</v>
      </c>
      <c r="K37" s="538">
        <v>0</v>
      </c>
      <c r="L37" s="535">
        <v>0</v>
      </c>
      <c r="M37" s="536">
        <v>0</v>
      </c>
      <c r="N37" s="471">
        <v>2.7824381313220807</v>
      </c>
      <c r="O37" s="473">
        <f t="shared" si="0"/>
        <v>43.91315759377008</v>
      </c>
    </row>
    <row r="38" spans="2:15">
      <c r="B38" s="470">
        <f t="shared" si="1"/>
        <v>1970</v>
      </c>
      <c r="C38" s="533">
        <v>0</v>
      </c>
      <c r="D38" s="534">
        <v>1.1186514858024001</v>
      </c>
      <c r="E38" s="535">
        <v>0</v>
      </c>
      <c r="F38" s="535">
        <v>0.8846347381977604</v>
      </c>
      <c r="G38" s="535">
        <v>0.72982365901315227</v>
      </c>
      <c r="H38" s="535">
        <v>0.11109366479692805</v>
      </c>
      <c r="I38" s="536">
        <v>0</v>
      </c>
      <c r="J38" s="537">
        <v>0</v>
      </c>
      <c r="K38" s="538">
        <v>0</v>
      </c>
      <c r="L38" s="535">
        <v>0</v>
      </c>
      <c r="M38" s="536">
        <v>0</v>
      </c>
      <c r="N38" s="471">
        <v>2.844203547810241</v>
      </c>
      <c r="O38" s="473">
        <f t="shared" si="0"/>
        <v>46.757361141580319</v>
      </c>
    </row>
    <row r="39" spans="2:15">
      <c r="B39" s="470">
        <f t="shared" si="1"/>
        <v>1971</v>
      </c>
      <c r="C39" s="533">
        <v>0</v>
      </c>
      <c r="D39" s="534">
        <v>1.1429443937340003</v>
      </c>
      <c r="E39" s="535">
        <v>0</v>
      </c>
      <c r="F39" s="535">
        <v>0.90384568148160016</v>
      </c>
      <c r="G39" s="535">
        <v>0.74567268722232027</v>
      </c>
      <c r="H39" s="535">
        <v>0.11350620186047999</v>
      </c>
      <c r="I39" s="536">
        <v>0</v>
      </c>
      <c r="J39" s="537">
        <v>0</v>
      </c>
      <c r="K39" s="538">
        <v>0</v>
      </c>
      <c r="L39" s="535">
        <v>0</v>
      </c>
      <c r="M39" s="536">
        <v>0</v>
      </c>
      <c r="N39" s="471">
        <v>2.9059689642984008</v>
      </c>
      <c r="O39" s="473">
        <f t="shared" si="0"/>
        <v>49.663330105878721</v>
      </c>
    </row>
    <row r="40" spans="2:15">
      <c r="B40" s="470">
        <f t="shared" si="1"/>
        <v>1972</v>
      </c>
      <c r="C40" s="533">
        <v>0</v>
      </c>
      <c r="D40" s="534">
        <v>1.1672373016656001</v>
      </c>
      <c r="E40" s="535">
        <v>0</v>
      </c>
      <c r="F40" s="535">
        <v>0.92305662476544015</v>
      </c>
      <c r="G40" s="535">
        <v>0.76152171543148817</v>
      </c>
      <c r="H40" s="535">
        <v>0.115918738924032</v>
      </c>
      <c r="I40" s="536">
        <v>0</v>
      </c>
      <c r="J40" s="537">
        <v>0</v>
      </c>
      <c r="K40" s="538">
        <v>0</v>
      </c>
      <c r="L40" s="535">
        <v>0</v>
      </c>
      <c r="M40" s="536">
        <v>0</v>
      </c>
      <c r="N40" s="471">
        <v>2.9677343807865606</v>
      </c>
      <c r="O40" s="473">
        <f t="shared" si="0"/>
        <v>52.631064486665281</v>
      </c>
    </row>
    <row r="41" spans="2:15">
      <c r="B41" s="470">
        <f t="shared" si="1"/>
        <v>1973</v>
      </c>
      <c r="C41" s="533">
        <v>0</v>
      </c>
      <c r="D41" s="534">
        <v>1.1915302095972</v>
      </c>
      <c r="E41" s="535">
        <v>0</v>
      </c>
      <c r="F41" s="535">
        <v>0.94226756804928036</v>
      </c>
      <c r="G41" s="535">
        <v>0.77737074364065617</v>
      </c>
      <c r="H41" s="535">
        <v>0.11833127598758404</v>
      </c>
      <c r="I41" s="536">
        <v>0</v>
      </c>
      <c r="J41" s="537">
        <v>0</v>
      </c>
      <c r="K41" s="538">
        <v>0</v>
      </c>
      <c r="L41" s="535">
        <v>0</v>
      </c>
      <c r="M41" s="536">
        <v>0</v>
      </c>
      <c r="N41" s="471">
        <v>3.0294997972747204</v>
      </c>
      <c r="O41" s="473">
        <f t="shared" si="0"/>
        <v>55.660564283940005</v>
      </c>
    </row>
    <row r="42" spans="2:15">
      <c r="B42" s="470">
        <f t="shared" si="1"/>
        <v>1974</v>
      </c>
      <c r="C42" s="533">
        <v>0</v>
      </c>
      <c r="D42" s="534">
        <v>1.2158231175288003</v>
      </c>
      <c r="E42" s="535">
        <v>0</v>
      </c>
      <c r="F42" s="535">
        <v>0.96147851133312023</v>
      </c>
      <c r="G42" s="535">
        <v>0.79321977184982417</v>
      </c>
      <c r="H42" s="535">
        <v>0.120743813051136</v>
      </c>
      <c r="I42" s="536">
        <v>0</v>
      </c>
      <c r="J42" s="537">
        <v>0</v>
      </c>
      <c r="K42" s="538">
        <v>0</v>
      </c>
      <c r="L42" s="535">
        <v>0</v>
      </c>
      <c r="M42" s="536">
        <v>0</v>
      </c>
      <c r="N42" s="471">
        <v>3.0912652137628807</v>
      </c>
      <c r="O42" s="473">
        <f t="shared" si="0"/>
        <v>58.751829497702886</v>
      </c>
    </row>
    <row r="43" spans="2:15">
      <c r="B43" s="470">
        <f t="shared" si="1"/>
        <v>1975</v>
      </c>
      <c r="C43" s="533">
        <v>0</v>
      </c>
      <c r="D43" s="534">
        <v>1.2401160254604002</v>
      </c>
      <c r="E43" s="535">
        <v>0</v>
      </c>
      <c r="F43" s="535">
        <v>0.98068945461696022</v>
      </c>
      <c r="G43" s="535">
        <v>0.80906880005899218</v>
      </c>
      <c r="H43" s="535">
        <v>0.12315635011468801</v>
      </c>
      <c r="I43" s="536">
        <v>0</v>
      </c>
      <c r="J43" s="537">
        <v>0</v>
      </c>
      <c r="K43" s="538">
        <v>0</v>
      </c>
      <c r="L43" s="535">
        <v>0</v>
      </c>
      <c r="M43" s="536">
        <v>0</v>
      </c>
      <c r="N43" s="471">
        <v>3.1530306302510409</v>
      </c>
      <c r="O43" s="473">
        <f t="shared" si="0"/>
        <v>61.904860127953924</v>
      </c>
    </row>
    <row r="44" spans="2:15">
      <c r="B44" s="470">
        <f t="shared" si="1"/>
        <v>1976</v>
      </c>
      <c r="C44" s="533">
        <v>0</v>
      </c>
      <c r="D44" s="534">
        <v>1.2644089333919999</v>
      </c>
      <c r="E44" s="535">
        <v>0</v>
      </c>
      <c r="F44" s="535">
        <v>0.9999003979008001</v>
      </c>
      <c r="G44" s="535">
        <v>0.82491782826815996</v>
      </c>
      <c r="H44" s="535">
        <v>0.12556888717824</v>
      </c>
      <c r="I44" s="536">
        <v>0</v>
      </c>
      <c r="J44" s="537">
        <v>0</v>
      </c>
      <c r="K44" s="538">
        <v>0</v>
      </c>
      <c r="L44" s="535">
        <v>0</v>
      </c>
      <c r="M44" s="536">
        <v>0</v>
      </c>
      <c r="N44" s="471">
        <v>3.2147960467392003</v>
      </c>
      <c r="O44" s="473">
        <f t="shared" si="0"/>
        <v>65.11965617469312</v>
      </c>
    </row>
    <row r="45" spans="2:15">
      <c r="B45" s="470">
        <f t="shared" si="1"/>
        <v>1977</v>
      </c>
      <c r="C45" s="533">
        <v>0</v>
      </c>
      <c r="D45" s="534">
        <v>1.2887018413236002</v>
      </c>
      <c r="E45" s="535">
        <v>0</v>
      </c>
      <c r="F45" s="535">
        <v>1.0191113411846402</v>
      </c>
      <c r="G45" s="535">
        <v>0.84076685647732807</v>
      </c>
      <c r="H45" s="535">
        <v>0.12798142424179201</v>
      </c>
      <c r="I45" s="536">
        <v>0</v>
      </c>
      <c r="J45" s="537">
        <v>0</v>
      </c>
      <c r="K45" s="538">
        <v>0</v>
      </c>
      <c r="L45" s="535">
        <v>0</v>
      </c>
      <c r="M45" s="536">
        <v>0</v>
      </c>
      <c r="N45" s="471">
        <v>3.2765614632273605</v>
      </c>
      <c r="O45" s="473">
        <f t="shared" si="0"/>
        <v>68.396217637920486</v>
      </c>
    </row>
    <row r="46" spans="2:15">
      <c r="B46" s="470">
        <f t="shared" si="1"/>
        <v>1978</v>
      </c>
      <c r="C46" s="533">
        <v>0</v>
      </c>
      <c r="D46" s="534">
        <v>1.3129947492552001</v>
      </c>
      <c r="E46" s="535">
        <v>0</v>
      </c>
      <c r="F46" s="535">
        <v>1.0383222844684803</v>
      </c>
      <c r="G46" s="535">
        <v>0.85661588468649619</v>
      </c>
      <c r="H46" s="535">
        <v>0.130393961305344</v>
      </c>
      <c r="I46" s="536">
        <v>0</v>
      </c>
      <c r="J46" s="537">
        <v>0</v>
      </c>
      <c r="K46" s="538">
        <v>0</v>
      </c>
      <c r="L46" s="535">
        <v>0</v>
      </c>
      <c r="M46" s="536">
        <v>0</v>
      </c>
      <c r="N46" s="471">
        <v>3.3383268797155208</v>
      </c>
      <c r="O46" s="473">
        <f t="shared" si="0"/>
        <v>71.73454451763601</v>
      </c>
    </row>
    <row r="47" spans="2:15">
      <c r="B47" s="470">
        <f t="shared" si="1"/>
        <v>1979</v>
      </c>
      <c r="C47" s="533">
        <v>0</v>
      </c>
      <c r="D47" s="534">
        <v>1.3372876571868</v>
      </c>
      <c r="E47" s="535">
        <v>0</v>
      </c>
      <c r="F47" s="535">
        <v>1.0575332277523202</v>
      </c>
      <c r="G47" s="535">
        <v>0.87246491289566386</v>
      </c>
      <c r="H47" s="535">
        <v>0.13280649836889599</v>
      </c>
      <c r="I47" s="536">
        <v>0</v>
      </c>
      <c r="J47" s="537">
        <v>0</v>
      </c>
      <c r="K47" s="538">
        <v>0</v>
      </c>
      <c r="L47" s="535">
        <v>0</v>
      </c>
      <c r="M47" s="536">
        <v>0</v>
      </c>
      <c r="N47" s="471">
        <v>3.4000922962036801</v>
      </c>
      <c r="O47" s="473">
        <f t="shared" si="0"/>
        <v>75.134636813839691</v>
      </c>
    </row>
    <row r="48" spans="2:15">
      <c r="B48" s="470">
        <f t="shared" si="1"/>
        <v>1980</v>
      </c>
      <c r="C48" s="533">
        <v>0</v>
      </c>
      <c r="D48" s="534">
        <v>1.3615805651184001</v>
      </c>
      <c r="E48" s="535">
        <v>0</v>
      </c>
      <c r="F48" s="535">
        <v>1.0767441710361603</v>
      </c>
      <c r="G48" s="535">
        <v>0.88831394110483208</v>
      </c>
      <c r="H48" s="535">
        <v>0.13521903543244804</v>
      </c>
      <c r="I48" s="536">
        <v>0</v>
      </c>
      <c r="J48" s="537">
        <v>0</v>
      </c>
      <c r="K48" s="538">
        <v>0</v>
      </c>
      <c r="L48" s="535">
        <v>0</v>
      </c>
      <c r="M48" s="536">
        <v>0</v>
      </c>
      <c r="N48" s="471">
        <v>3.46185771269184</v>
      </c>
      <c r="O48" s="473">
        <f t="shared" si="0"/>
        <v>78.596494526531529</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78.596494526531529</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78.596494526531529</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78.596494526531529</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78.596494526531529</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78.596494526531529</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78.596494526531529</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78.596494526531529</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78.596494526531529</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78.596494526531529</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78.596494526531529</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78.596494526531529</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78.596494526531529</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78.596494526531529</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78.596494526531529</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78.596494526531529</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78.596494526531529</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78.596494526531529</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78.596494526531529</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78.596494526531529</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78.596494526531529</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78.596494526531529</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78.596494526531529</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78.596494526531529</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78.596494526531529</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78.596494526531529</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78.596494526531529</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78.596494526531529</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78.596494526531529</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78.596494526531529</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78.596494526531529</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78.596494526531529</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78.596494526531529</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78.596494526531529</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78.596494526531529</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78.596494526531529</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78.596494526531529</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78.596494526531529</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78.596494526531529</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78.596494526531529</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78.596494526531529</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78.596494526531529</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78.596494526531529</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78.596494526531529</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78.596494526531529</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78.596494526531529</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78.596494526531529</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78.596494526531529</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78.596494526531529</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78.596494526531529</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78.596494526531529</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58" t="s">
        <v>52</v>
      </c>
      <c r="C2" s="858"/>
      <c r="D2" s="858"/>
      <c r="E2" s="858"/>
      <c r="F2" s="858"/>
      <c r="G2" s="858"/>
      <c r="H2" s="858"/>
    </row>
    <row r="3" spans="1:35" ht="13.5" thickBot="1">
      <c r="B3" s="858"/>
      <c r="C3" s="858"/>
      <c r="D3" s="858"/>
      <c r="E3" s="858"/>
      <c r="F3" s="858"/>
      <c r="G3" s="858"/>
      <c r="H3" s="858"/>
    </row>
    <row r="4" spans="1:35" ht="13.5" thickBot="1">
      <c r="P4" s="862" t="s">
        <v>242</v>
      </c>
      <c r="Q4" s="863"/>
      <c r="R4" s="864" t="s">
        <v>243</v>
      </c>
      <c r="S4" s="865"/>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59" t="s">
        <v>47</v>
      </c>
      <c r="E5" s="860"/>
      <c r="F5" s="860"/>
      <c r="G5" s="861"/>
      <c r="H5" s="860" t="s">
        <v>57</v>
      </c>
      <c r="I5" s="860"/>
      <c r="J5" s="860"/>
      <c r="K5" s="861"/>
      <c r="L5" s="135"/>
      <c r="M5" s="135"/>
      <c r="N5" s="135"/>
      <c r="O5" s="163"/>
      <c r="P5" s="207" t="s">
        <v>116</v>
      </c>
      <c r="Q5" s="208" t="s">
        <v>113</v>
      </c>
      <c r="R5" s="207" t="s">
        <v>116</v>
      </c>
      <c r="S5" s="208" t="s">
        <v>113</v>
      </c>
      <c r="V5" s="305" t="s">
        <v>118</v>
      </c>
      <c r="W5" s="306">
        <v>3</v>
      </c>
      <c r="AF5" s="849" t="s">
        <v>126</v>
      </c>
      <c r="AG5" s="849" t="s">
        <v>129</v>
      </c>
      <c r="AH5" s="849" t="s">
        <v>154</v>
      </c>
      <c r="AI5"/>
    </row>
    <row r="6" spans="1:35" ht="13.5" thickBot="1">
      <c r="B6" s="166"/>
      <c r="C6" s="152"/>
      <c r="D6" s="854" t="s">
        <v>45</v>
      </c>
      <c r="E6" s="854"/>
      <c r="F6" s="854" t="s">
        <v>46</v>
      </c>
      <c r="G6" s="854"/>
      <c r="H6" s="854" t="s">
        <v>45</v>
      </c>
      <c r="I6" s="854"/>
      <c r="J6" s="854" t="s">
        <v>99</v>
      </c>
      <c r="K6" s="854"/>
      <c r="L6" s="135"/>
      <c r="M6" s="135"/>
      <c r="N6" s="135"/>
      <c r="O6" s="203" t="s">
        <v>6</v>
      </c>
      <c r="P6" s="162">
        <v>0.38</v>
      </c>
      <c r="Q6" s="164" t="s">
        <v>234</v>
      </c>
      <c r="R6" s="162">
        <v>0.15</v>
      </c>
      <c r="S6" s="164" t="s">
        <v>244</v>
      </c>
      <c r="W6" s="855" t="s">
        <v>125</v>
      </c>
      <c r="X6" s="857"/>
      <c r="Y6" s="857"/>
      <c r="Z6" s="857"/>
      <c r="AA6" s="857"/>
      <c r="AB6" s="857"/>
      <c r="AC6" s="857"/>
      <c r="AD6" s="857"/>
      <c r="AE6" s="857"/>
      <c r="AF6" s="850"/>
      <c r="AG6" s="850"/>
      <c r="AH6" s="850"/>
      <c r="AI6"/>
    </row>
    <row r="7" spans="1:35" ht="26.25" thickBot="1">
      <c r="B7" s="855" t="s">
        <v>133</v>
      </c>
      <c r="C7" s="856"/>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51"/>
      <c r="AG7" s="851"/>
      <c r="AH7" s="851"/>
      <c r="AI7"/>
    </row>
    <row r="8" spans="1:35" ht="25.5" customHeight="1">
      <c r="B8" s="852"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53"/>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5" t="s">
        <v>264</v>
      </c>
      <c r="P13" s="876"/>
      <c r="Q13" s="876"/>
      <c r="R13" s="876"/>
      <c r="S13" s="877"/>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8" t="s">
        <v>70</v>
      </c>
      <c r="C26" s="868"/>
      <c r="D26" s="868"/>
      <c r="E26" s="868"/>
      <c r="F26" s="868"/>
      <c r="G26" s="868"/>
      <c r="H26" s="868"/>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69"/>
      <c r="C27" s="869"/>
      <c r="D27" s="869"/>
      <c r="E27" s="869"/>
      <c r="F27" s="869"/>
      <c r="G27" s="869"/>
      <c r="H27" s="869"/>
      <c r="O27" s="84"/>
      <c r="P27" s="402"/>
      <c r="Q27" s="84"/>
      <c r="R27" s="84"/>
      <c r="S27" s="84"/>
      <c r="U27" s="171"/>
      <c r="V27" s="173"/>
    </row>
    <row r="28" spans="1:35">
      <c r="B28" s="869"/>
      <c r="C28" s="869"/>
      <c r="D28" s="869"/>
      <c r="E28" s="869"/>
      <c r="F28" s="869"/>
      <c r="G28" s="869"/>
      <c r="H28" s="869"/>
      <c r="O28" s="84"/>
      <c r="P28" s="402"/>
      <c r="Q28" s="84"/>
      <c r="R28" s="84"/>
      <c r="S28" s="84"/>
      <c r="V28" s="173"/>
    </row>
    <row r="29" spans="1:35">
      <c r="B29" s="869"/>
      <c r="C29" s="869"/>
      <c r="D29" s="869"/>
      <c r="E29" s="869"/>
      <c r="F29" s="869"/>
      <c r="G29" s="869"/>
      <c r="H29" s="869"/>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69"/>
      <c r="C30" s="869"/>
      <c r="D30" s="869"/>
      <c r="E30" s="869"/>
      <c r="F30" s="869"/>
      <c r="G30" s="869"/>
      <c r="H30" s="869"/>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70" t="s">
        <v>75</v>
      </c>
      <c r="D38" s="861"/>
      <c r="O38" s="394"/>
      <c r="P38" s="395"/>
      <c r="Q38" s="396"/>
      <c r="R38" s="84"/>
    </row>
    <row r="39" spans="2:18">
      <c r="B39" s="142">
        <v>35</v>
      </c>
      <c r="C39" s="873">
        <f>LN(2)/B39</f>
        <v>1.980420515885558E-2</v>
      </c>
      <c r="D39" s="874"/>
    </row>
    <row r="40" spans="2:18" ht="27">
      <c r="B40" s="364" t="s">
        <v>76</v>
      </c>
      <c r="C40" s="871" t="s">
        <v>77</v>
      </c>
      <c r="D40" s="872"/>
    </row>
    <row r="41" spans="2:18" ht="13.5" thickBot="1">
      <c r="B41" s="143">
        <v>0.05</v>
      </c>
      <c r="C41" s="866">
        <f>LN(2)/B41</f>
        <v>13.862943611198904</v>
      </c>
      <c r="D41" s="86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10.90928385162</v>
      </c>
      <c r="D19" s="416">
        <f>Dry_Matter_Content!C6</f>
        <v>0.59</v>
      </c>
      <c r="E19" s="283">
        <f>MCF!R18</f>
        <v>0.8</v>
      </c>
      <c r="F19" s="130">
        <f>C19*D19*$K$6*DOCF*E19</f>
        <v>0.9783445758132816</v>
      </c>
      <c r="G19" s="65">
        <f t="shared" ref="G19:G50" si="0">F19*$K$12</f>
        <v>0.9783445758132816</v>
      </c>
      <c r="H19" s="65">
        <f t="shared" ref="H19:H50" si="1">F19*(1-$K$12)</f>
        <v>0</v>
      </c>
      <c r="I19" s="65">
        <f t="shared" ref="I19:I50" si="2">G19+I18*$K$10</f>
        <v>0.9783445758132816</v>
      </c>
      <c r="J19" s="65">
        <f t="shared" ref="J19:J50" si="3">I18*(1-$K$10)+H19</f>
        <v>0</v>
      </c>
      <c r="K19" s="66">
        <f>J19*CH4_fraction*conv</f>
        <v>0</v>
      </c>
      <c r="O19" s="95">
        <f>Amnt_Deposited!B14</f>
        <v>2000</v>
      </c>
      <c r="P19" s="98">
        <f>Amnt_Deposited!C14</f>
        <v>10.90928385162</v>
      </c>
      <c r="Q19" s="283">
        <f>MCF!R18</f>
        <v>0.8</v>
      </c>
      <c r="R19" s="130">
        <f t="shared" ref="R19:R50" si="4">P19*$W$6*DOCF*Q19</f>
        <v>0.65455703109719998</v>
      </c>
      <c r="S19" s="65">
        <f>R19*$W$12</f>
        <v>0.65455703109719998</v>
      </c>
      <c r="T19" s="65">
        <f>R19*(1-$W$12)</f>
        <v>0</v>
      </c>
      <c r="U19" s="65">
        <f>S19+U18*$W$10</f>
        <v>0.65455703109719998</v>
      </c>
      <c r="V19" s="65">
        <f>U18*(1-$W$10)+T19</f>
        <v>0</v>
      </c>
      <c r="W19" s="66">
        <f>V19*CH4_fraction*conv</f>
        <v>0</v>
      </c>
    </row>
    <row r="20" spans="2:23">
      <c r="B20" s="96">
        <f>Amnt_Deposited!B15</f>
        <v>2001</v>
      </c>
      <c r="C20" s="99">
        <f>Amnt_Deposited!C15</f>
        <v>11.0490443613</v>
      </c>
      <c r="D20" s="418">
        <f>Dry_Matter_Content!C7</f>
        <v>0.59</v>
      </c>
      <c r="E20" s="284">
        <f>MCF!R19</f>
        <v>0.8</v>
      </c>
      <c r="F20" s="67">
        <f t="shared" ref="F20:F50" si="5">C20*D20*$K$6*DOCF*E20</f>
        <v>0.99087829832138397</v>
      </c>
      <c r="G20" s="67">
        <f t="shared" si="0"/>
        <v>0.99087829832138397</v>
      </c>
      <c r="H20" s="67">
        <f t="shared" si="1"/>
        <v>0</v>
      </c>
      <c r="I20" s="67">
        <f t="shared" si="2"/>
        <v>1.6466822794192608</v>
      </c>
      <c r="J20" s="67">
        <f t="shared" si="3"/>
        <v>0.32254059471540464</v>
      </c>
      <c r="K20" s="100">
        <f>J20*CH4_fraction*conv</f>
        <v>0.21502706314360309</v>
      </c>
      <c r="M20" s="393"/>
      <c r="O20" s="96">
        <f>Amnt_Deposited!B15</f>
        <v>2001</v>
      </c>
      <c r="P20" s="99">
        <f>Amnt_Deposited!C15</f>
        <v>11.0490443613</v>
      </c>
      <c r="Q20" s="284">
        <f>MCF!R19</f>
        <v>0.8</v>
      </c>
      <c r="R20" s="67">
        <f t="shared" si="4"/>
        <v>0.66294266167800009</v>
      </c>
      <c r="S20" s="67">
        <f>R20*$W$12</f>
        <v>0.66294266167800009</v>
      </c>
      <c r="T20" s="67">
        <f>R20*(1-$W$12)</f>
        <v>0</v>
      </c>
      <c r="U20" s="67">
        <f>S20+U19*$W$10</f>
        <v>1.1017053608960266</v>
      </c>
      <c r="V20" s="67">
        <f>U19*(1-$W$10)+T20</f>
        <v>0.21579433187917349</v>
      </c>
      <c r="W20" s="100">
        <f>V20*CH4_fraction*conv</f>
        <v>0.14386288791944898</v>
      </c>
    </row>
    <row r="21" spans="2:23">
      <c r="B21" s="96">
        <f>Amnt_Deposited!B16</f>
        <v>2002</v>
      </c>
      <c r="C21" s="99">
        <f>Amnt_Deposited!C16</f>
        <v>11.298022936200001</v>
      </c>
      <c r="D21" s="418">
        <f>Dry_Matter_Content!C8</f>
        <v>0.59</v>
      </c>
      <c r="E21" s="284">
        <f>MCF!R20</f>
        <v>0.8</v>
      </c>
      <c r="F21" s="67">
        <f t="shared" si="5"/>
        <v>1.0132066969184161</v>
      </c>
      <c r="G21" s="67">
        <f t="shared" si="0"/>
        <v>1.0132066969184161</v>
      </c>
      <c r="H21" s="67">
        <f t="shared" si="1"/>
        <v>0</v>
      </c>
      <c r="I21" s="67">
        <f t="shared" si="2"/>
        <v>2.1170108382648065</v>
      </c>
      <c r="J21" s="67">
        <f t="shared" si="3"/>
        <v>0.54287813807287044</v>
      </c>
      <c r="K21" s="100">
        <f t="shared" ref="K21:K84" si="6">J21*CH4_fraction*conv</f>
        <v>0.36191875871524692</v>
      </c>
      <c r="O21" s="96">
        <f>Amnt_Deposited!B16</f>
        <v>2002</v>
      </c>
      <c r="P21" s="99">
        <f>Amnt_Deposited!C16</f>
        <v>11.298022936200001</v>
      </c>
      <c r="Q21" s="284">
        <f>MCF!R20</f>
        <v>0.8</v>
      </c>
      <c r="R21" s="67">
        <f t="shared" si="4"/>
        <v>0.67788137617200006</v>
      </c>
      <c r="S21" s="67">
        <f t="shared" ref="S21:S84" si="7">R21*$W$12</f>
        <v>0.67788137617200006</v>
      </c>
      <c r="T21" s="67">
        <f t="shared" ref="T21:T84" si="8">R21*(1-$W$12)</f>
        <v>0</v>
      </c>
      <c r="U21" s="67">
        <f t="shared" ref="U21:U84" si="9">S21+U20*$W$10</f>
        <v>1.4163765644055353</v>
      </c>
      <c r="V21" s="67">
        <f t="shared" ref="V21:V84" si="10">U20*(1-$W$10)+T21</f>
        <v>0.36321017266249139</v>
      </c>
      <c r="W21" s="100">
        <f t="shared" ref="W21:W84" si="11">V21*CH4_fraction*conv</f>
        <v>0.24214011510832759</v>
      </c>
    </row>
    <row r="22" spans="2:23">
      <c r="B22" s="96">
        <f>Amnt_Deposited!B17</f>
        <v>2003</v>
      </c>
      <c r="C22" s="99">
        <f>Amnt_Deposited!C17</f>
        <v>11.498841519660001</v>
      </c>
      <c r="D22" s="418">
        <f>Dry_Matter_Content!C9</f>
        <v>0.59</v>
      </c>
      <c r="E22" s="284">
        <f>MCF!R21</f>
        <v>0.8</v>
      </c>
      <c r="F22" s="67">
        <f t="shared" si="5"/>
        <v>1.031216107483109</v>
      </c>
      <c r="G22" s="67">
        <f t="shared" si="0"/>
        <v>1.031216107483109</v>
      </c>
      <c r="H22" s="67">
        <f t="shared" si="1"/>
        <v>0</v>
      </c>
      <c r="I22" s="67">
        <f t="shared" si="2"/>
        <v>2.4502909100467214</v>
      </c>
      <c r="J22" s="67">
        <f t="shared" si="3"/>
        <v>0.697936035701194</v>
      </c>
      <c r="K22" s="100">
        <f t="shared" si="6"/>
        <v>0.46529069046746263</v>
      </c>
      <c r="N22" s="258"/>
      <c r="O22" s="96">
        <f>Amnt_Deposited!B17</f>
        <v>2003</v>
      </c>
      <c r="P22" s="99">
        <f>Amnt_Deposited!C17</f>
        <v>11.498841519660001</v>
      </c>
      <c r="Q22" s="284">
        <f>MCF!R21</f>
        <v>0.8</v>
      </c>
      <c r="R22" s="67">
        <f t="shared" si="4"/>
        <v>0.68993049117960004</v>
      </c>
      <c r="S22" s="67">
        <f t="shared" si="7"/>
        <v>0.68993049117960004</v>
      </c>
      <c r="T22" s="67">
        <f t="shared" si="8"/>
        <v>0</v>
      </c>
      <c r="U22" s="67">
        <f t="shared" si="9"/>
        <v>1.6393560950357191</v>
      </c>
      <c r="V22" s="67">
        <f t="shared" si="10"/>
        <v>0.46695096054941621</v>
      </c>
      <c r="W22" s="100">
        <f t="shared" si="11"/>
        <v>0.31130064036627747</v>
      </c>
    </row>
    <row r="23" spans="2:23">
      <c r="B23" s="96">
        <f>Amnt_Deposited!B18</f>
        <v>2004</v>
      </c>
      <c r="C23" s="99">
        <f>Amnt_Deposited!C18</f>
        <v>11.560355450819999</v>
      </c>
      <c r="D23" s="418">
        <f>Dry_Matter_Content!C10</f>
        <v>0.59</v>
      </c>
      <c r="E23" s="284">
        <f>MCF!R22</f>
        <v>0.8</v>
      </c>
      <c r="F23" s="67">
        <f t="shared" si="5"/>
        <v>1.0367326768295377</v>
      </c>
      <c r="G23" s="67">
        <f t="shared" si="0"/>
        <v>1.0367326768295377</v>
      </c>
      <c r="H23" s="67">
        <f t="shared" si="1"/>
        <v>0</v>
      </c>
      <c r="I23" s="67">
        <f t="shared" si="2"/>
        <v>2.6792117924527643</v>
      </c>
      <c r="J23" s="67">
        <f t="shared" si="3"/>
        <v>0.80781179442349449</v>
      </c>
      <c r="K23" s="100">
        <f t="shared" si="6"/>
        <v>0.53854119628232966</v>
      </c>
      <c r="N23" s="258"/>
      <c r="O23" s="96">
        <f>Amnt_Deposited!B18</f>
        <v>2004</v>
      </c>
      <c r="P23" s="99">
        <f>Amnt_Deposited!C18</f>
        <v>11.560355450819999</v>
      </c>
      <c r="Q23" s="284">
        <f>MCF!R22</f>
        <v>0.8</v>
      </c>
      <c r="R23" s="67">
        <f t="shared" si="4"/>
        <v>0.69362132704919999</v>
      </c>
      <c r="S23" s="67">
        <f t="shared" si="7"/>
        <v>0.69362132704919999</v>
      </c>
      <c r="T23" s="67">
        <f t="shared" si="8"/>
        <v>0</v>
      </c>
      <c r="U23" s="67">
        <f t="shared" si="9"/>
        <v>1.7925145801423492</v>
      </c>
      <c r="V23" s="67">
        <f t="shared" si="10"/>
        <v>0.54046284194256999</v>
      </c>
      <c r="W23" s="100">
        <f t="shared" si="11"/>
        <v>0.36030856129504663</v>
      </c>
    </row>
    <row r="24" spans="2:23">
      <c r="B24" s="96">
        <f>Amnt_Deposited!B19</f>
        <v>2005</v>
      </c>
      <c r="C24" s="99">
        <f>Amnt_Deposited!C19</f>
        <v>12.805033804200001</v>
      </c>
      <c r="D24" s="418">
        <f>Dry_Matter_Content!C11</f>
        <v>0.59</v>
      </c>
      <c r="E24" s="284">
        <f>MCF!R23</f>
        <v>0.8</v>
      </c>
      <c r="F24" s="67">
        <f t="shared" si="5"/>
        <v>1.1483554315606559</v>
      </c>
      <c r="G24" s="67">
        <f t="shared" si="0"/>
        <v>1.1483554315606559</v>
      </c>
      <c r="H24" s="67">
        <f t="shared" si="1"/>
        <v>0</v>
      </c>
      <c r="I24" s="67">
        <f t="shared" si="2"/>
        <v>2.9442848036168208</v>
      </c>
      <c r="J24" s="67">
        <f t="shared" si="3"/>
        <v>0.88328242039659954</v>
      </c>
      <c r="K24" s="100">
        <f t="shared" si="6"/>
        <v>0.58885494693106633</v>
      </c>
      <c r="N24" s="258"/>
      <c r="O24" s="96">
        <f>Amnt_Deposited!B19</f>
        <v>2005</v>
      </c>
      <c r="P24" s="99">
        <f>Amnt_Deposited!C19</f>
        <v>12.805033804200001</v>
      </c>
      <c r="Q24" s="284">
        <f>MCF!R23</f>
        <v>0.8</v>
      </c>
      <c r="R24" s="67">
        <f t="shared" si="4"/>
        <v>0.76830202825200011</v>
      </c>
      <c r="S24" s="67">
        <f t="shared" si="7"/>
        <v>0.76830202825200011</v>
      </c>
      <c r="T24" s="67">
        <f t="shared" si="8"/>
        <v>0</v>
      </c>
      <c r="U24" s="67">
        <f t="shared" si="9"/>
        <v>1.9698604841325744</v>
      </c>
      <c r="V24" s="67">
        <f t="shared" si="10"/>
        <v>0.59095612426177502</v>
      </c>
      <c r="W24" s="100">
        <f t="shared" si="11"/>
        <v>0.39397074950784999</v>
      </c>
    </row>
    <row r="25" spans="2:23">
      <c r="B25" s="96">
        <f>Amnt_Deposited!B20</f>
        <v>2006</v>
      </c>
      <c r="C25" s="99">
        <f>Amnt_Deposited!C20</f>
        <v>13.068438924420001</v>
      </c>
      <c r="D25" s="418">
        <f>Dry_Matter_Content!C12</f>
        <v>0.59</v>
      </c>
      <c r="E25" s="284">
        <f>MCF!R24</f>
        <v>0.8</v>
      </c>
      <c r="F25" s="67">
        <f t="shared" si="5"/>
        <v>1.1719776027419857</v>
      </c>
      <c r="G25" s="67">
        <f t="shared" si="0"/>
        <v>1.1719776027419857</v>
      </c>
      <c r="H25" s="67">
        <f t="shared" si="1"/>
        <v>0</v>
      </c>
      <c r="I25" s="67">
        <f t="shared" si="2"/>
        <v>3.1455907278444464</v>
      </c>
      <c r="J25" s="67">
        <f t="shared" si="3"/>
        <v>0.9706716785143602</v>
      </c>
      <c r="K25" s="100">
        <f t="shared" si="6"/>
        <v>0.64711445234290677</v>
      </c>
      <c r="N25" s="258"/>
      <c r="O25" s="96">
        <f>Amnt_Deposited!B20</f>
        <v>2006</v>
      </c>
      <c r="P25" s="99">
        <f>Amnt_Deposited!C20</f>
        <v>13.068438924420001</v>
      </c>
      <c r="Q25" s="284">
        <f>MCF!R24</f>
        <v>0.8</v>
      </c>
      <c r="R25" s="67">
        <f t="shared" si="4"/>
        <v>0.78410633546520003</v>
      </c>
      <c r="S25" s="67">
        <f t="shared" si="7"/>
        <v>0.78410633546520003</v>
      </c>
      <c r="T25" s="67">
        <f t="shared" si="8"/>
        <v>0</v>
      </c>
      <c r="U25" s="67">
        <f t="shared" si="9"/>
        <v>2.1045433058727339</v>
      </c>
      <c r="V25" s="67">
        <f t="shared" si="10"/>
        <v>0.64942351372504037</v>
      </c>
      <c r="W25" s="100">
        <f t="shared" si="11"/>
        <v>0.43294900915002688</v>
      </c>
    </row>
    <row r="26" spans="2:23">
      <c r="B26" s="96">
        <f>Amnt_Deposited!B21</f>
        <v>2007</v>
      </c>
      <c r="C26" s="99">
        <f>Amnt_Deposited!C21</f>
        <v>13.33162952352</v>
      </c>
      <c r="D26" s="418">
        <f>Dry_Matter_Content!C13</f>
        <v>0.59</v>
      </c>
      <c r="E26" s="284">
        <f>MCF!R25</f>
        <v>0.8</v>
      </c>
      <c r="F26" s="67">
        <f t="shared" si="5"/>
        <v>1.1955805356692737</v>
      </c>
      <c r="G26" s="67">
        <f t="shared" si="0"/>
        <v>1.1955805356692737</v>
      </c>
      <c r="H26" s="67">
        <f t="shared" si="1"/>
        <v>0</v>
      </c>
      <c r="I26" s="67">
        <f t="shared" si="2"/>
        <v>3.3041330571672436</v>
      </c>
      <c r="J26" s="67">
        <f t="shared" si="3"/>
        <v>1.0370382063464769</v>
      </c>
      <c r="K26" s="100">
        <f t="shared" si="6"/>
        <v>0.69135880423098461</v>
      </c>
      <c r="N26" s="258"/>
      <c r="O26" s="96">
        <f>Amnt_Deposited!B21</f>
        <v>2007</v>
      </c>
      <c r="P26" s="99">
        <f>Amnt_Deposited!C21</f>
        <v>13.33162952352</v>
      </c>
      <c r="Q26" s="284">
        <f>MCF!R25</f>
        <v>0.8</v>
      </c>
      <c r="R26" s="67">
        <f t="shared" si="4"/>
        <v>0.7998977714112</v>
      </c>
      <c r="S26" s="67">
        <f t="shared" si="7"/>
        <v>0.7998977714112</v>
      </c>
      <c r="T26" s="67">
        <f t="shared" si="8"/>
        <v>0</v>
      </c>
      <c r="U26" s="67">
        <f t="shared" si="9"/>
        <v>2.2106153370878077</v>
      </c>
      <c r="V26" s="67">
        <f t="shared" si="10"/>
        <v>0.69382574019612631</v>
      </c>
      <c r="W26" s="100">
        <f t="shared" si="11"/>
        <v>0.46255049346408417</v>
      </c>
    </row>
    <row r="27" spans="2:23">
      <c r="B27" s="96">
        <f>Amnt_Deposited!B22</f>
        <v>2008</v>
      </c>
      <c r="C27" s="99">
        <f>Amnt_Deposited!C22</f>
        <v>13.5929966931</v>
      </c>
      <c r="D27" s="418">
        <f>Dry_Matter_Content!C14</f>
        <v>0.59</v>
      </c>
      <c r="E27" s="284">
        <f>MCF!R26</f>
        <v>0.8</v>
      </c>
      <c r="F27" s="67">
        <f t="shared" si="5"/>
        <v>1.2190199434372082</v>
      </c>
      <c r="G27" s="67">
        <f t="shared" si="0"/>
        <v>1.2190199434372082</v>
      </c>
      <c r="H27" s="67">
        <f t="shared" si="1"/>
        <v>0</v>
      </c>
      <c r="I27" s="67">
        <f t="shared" si="2"/>
        <v>3.4338465664254327</v>
      </c>
      <c r="J27" s="67">
        <f t="shared" si="3"/>
        <v>1.0893064341790191</v>
      </c>
      <c r="K27" s="100">
        <f t="shared" si="6"/>
        <v>0.72620428945267934</v>
      </c>
      <c r="N27" s="258"/>
      <c r="O27" s="96">
        <f>Amnt_Deposited!B22</f>
        <v>2008</v>
      </c>
      <c r="P27" s="99">
        <f>Amnt_Deposited!C22</f>
        <v>13.5929966931</v>
      </c>
      <c r="Q27" s="284">
        <f>MCF!R26</f>
        <v>0.8</v>
      </c>
      <c r="R27" s="67">
        <f t="shared" si="4"/>
        <v>0.81557980158600007</v>
      </c>
      <c r="S27" s="67">
        <f t="shared" si="7"/>
        <v>0.81557980158600007</v>
      </c>
      <c r="T27" s="67">
        <f t="shared" si="8"/>
        <v>0</v>
      </c>
      <c r="U27" s="67">
        <f t="shared" si="9"/>
        <v>2.2973995761097896</v>
      </c>
      <c r="V27" s="67">
        <f t="shared" si="10"/>
        <v>0.72879556256401812</v>
      </c>
      <c r="W27" s="100">
        <f t="shared" si="11"/>
        <v>0.48586370837601206</v>
      </c>
    </row>
    <row r="28" spans="2:23">
      <c r="B28" s="96">
        <f>Amnt_Deposited!B23</f>
        <v>2009</v>
      </c>
      <c r="C28" s="99">
        <f>Amnt_Deposited!C23</f>
        <v>13.85060974308</v>
      </c>
      <c r="D28" s="418">
        <f>Dry_Matter_Content!C15</f>
        <v>0.59</v>
      </c>
      <c r="E28" s="284">
        <f>MCF!R27</f>
        <v>0.8</v>
      </c>
      <c r="F28" s="67">
        <f t="shared" si="5"/>
        <v>1.2421226817594144</v>
      </c>
      <c r="G28" s="67">
        <f t="shared" si="0"/>
        <v>1.2421226817594144</v>
      </c>
      <c r="H28" s="67">
        <f t="shared" si="1"/>
        <v>0</v>
      </c>
      <c r="I28" s="67">
        <f t="shared" si="2"/>
        <v>3.5438988702450325</v>
      </c>
      <c r="J28" s="67">
        <f t="shared" si="3"/>
        <v>1.1320703779398147</v>
      </c>
      <c r="K28" s="100">
        <f t="shared" si="6"/>
        <v>0.75471358529320975</v>
      </c>
      <c r="N28" s="258"/>
      <c r="O28" s="96">
        <f>Amnt_Deposited!B23</f>
        <v>2009</v>
      </c>
      <c r="P28" s="99">
        <f>Amnt_Deposited!C23</f>
        <v>13.85060974308</v>
      </c>
      <c r="Q28" s="284">
        <f>MCF!R27</f>
        <v>0.8</v>
      </c>
      <c r="R28" s="67">
        <f t="shared" si="4"/>
        <v>0.8310365845847999</v>
      </c>
      <c r="S28" s="67">
        <f t="shared" si="7"/>
        <v>0.8310365845847999</v>
      </c>
      <c r="T28" s="67">
        <f t="shared" si="8"/>
        <v>0</v>
      </c>
      <c r="U28" s="67">
        <f t="shared" si="9"/>
        <v>2.3710295742049725</v>
      </c>
      <c r="V28" s="67">
        <f t="shared" si="10"/>
        <v>0.75740658648961712</v>
      </c>
      <c r="W28" s="100">
        <f t="shared" si="11"/>
        <v>0.50493772432641137</v>
      </c>
    </row>
    <row r="29" spans="2:23">
      <c r="B29" s="96">
        <f>Amnt_Deposited!B24</f>
        <v>2010</v>
      </c>
      <c r="C29" s="99">
        <f>Amnt_Deposited!C24</f>
        <v>14.951558946060002</v>
      </c>
      <c r="D29" s="418">
        <f>Dry_Matter_Content!C16</f>
        <v>0.59</v>
      </c>
      <c r="E29" s="284">
        <f>MCF!R28</f>
        <v>0.8</v>
      </c>
      <c r="F29" s="67">
        <f t="shared" si="5"/>
        <v>1.340855806282661</v>
      </c>
      <c r="G29" s="67">
        <f t="shared" si="0"/>
        <v>1.340855806282661</v>
      </c>
      <c r="H29" s="67">
        <f t="shared" si="1"/>
        <v>0</v>
      </c>
      <c r="I29" s="67">
        <f t="shared" si="2"/>
        <v>3.7164022601309612</v>
      </c>
      <c r="J29" s="67">
        <f t="shared" si="3"/>
        <v>1.168352416396732</v>
      </c>
      <c r="K29" s="100">
        <f t="shared" si="6"/>
        <v>0.77890161093115462</v>
      </c>
      <c r="O29" s="96">
        <f>Amnt_Deposited!B24</f>
        <v>2010</v>
      </c>
      <c r="P29" s="99">
        <f>Amnt_Deposited!C24</f>
        <v>14.951558946060002</v>
      </c>
      <c r="Q29" s="284">
        <f>MCF!R28</f>
        <v>0.8</v>
      </c>
      <c r="R29" s="67">
        <f t="shared" si="4"/>
        <v>0.89709353676360015</v>
      </c>
      <c r="S29" s="67">
        <f t="shared" si="7"/>
        <v>0.89709353676360015</v>
      </c>
      <c r="T29" s="67">
        <f t="shared" si="8"/>
        <v>0</v>
      </c>
      <c r="U29" s="67">
        <f t="shared" si="9"/>
        <v>2.4864421900965397</v>
      </c>
      <c r="V29" s="67">
        <f t="shared" si="10"/>
        <v>0.781680920872033</v>
      </c>
      <c r="W29" s="100">
        <f t="shared" si="11"/>
        <v>0.52112061391468867</v>
      </c>
    </row>
    <row r="30" spans="2:23">
      <c r="B30" s="96">
        <f>Amnt_Deposited!B25</f>
        <v>2011</v>
      </c>
      <c r="C30" s="99">
        <f>Amnt_Deposited!C25</f>
        <v>15.343194065759999</v>
      </c>
      <c r="D30" s="418">
        <f>Dry_Matter_Content!C17</f>
        <v>0.59</v>
      </c>
      <c r="E30" s="284">
        <f>MCF!R29</f>
        <v>0.8</v>
      </c>
      <c r="F30" s="67">
        <f t="shared" si="5"/>
        <v>1.3759776438173568</v>
      </c>
      <c r="G30" s="67">
        <f t="shared" si="0"/>
        <v>1.3759776438173568</v>
      </c>
      <c r="H30" s="67">
        <f t="shared" si="1"/>
        <v>0</v>
      </c>
      <c r="I30" s="67">
        <f t="shared" si="2"/>
        <v>3.8671565779152965</v>
      </c>
      <c r="J30" s="67">
        <f t="shared" si="3"/>
        <v>1.2252233260330212</v>
      </c>
      <c r="K30" s="100">
        <f t="shared" si="6"/>
        <v>0.81681555068868072</v>
      </c>
      <c r="O30" s="96">
        <f>Amnt_Deposited!B25</f>
        <v>2011</v>
      </c>
      <c r="P30" s="99">
        <f>Amnt_Deposited!C25</f>
        <v>15.343194065759999</v>
      </c>
      <c r="Q30" s="284">
        <f>MCF!R29</f>
        <v>0.8</v>
      </c>
      <c r="R30" s="67">
        <f t="shared" si="4"/>
        <v>0.92059164394559989</v>
      </c>
      <c r="S30" s="67">
        <f t="shared" si="7"/>
        <v>0.92059164394559989</v>
      </c>
      <c r="T30" s="67">
        <f t="shared" si="8"/>
        <v>0</v>
      </c>
      <c r="U30" s="67">
        <f t="shared" si="9"/>
        <v>2.5873036872760684</v>
      </c>
      <c r="V30" s="67">
        <f t="shared" si="10"/>
        <v>0.81973014676607137</v>
      </c>
      <c r="W30" s="100">
        <f t="shared" si="11"/>
        <v>0.54648676451071421</v>
      </c>
    </row>
    <row r="31" spans="2:23">
      <c r="B31" s="96">
        <f>Amnt_Deposited!B26</f>
        <v>2012</v>
      </c>
      <c r="C31" s="99">
        <f>Amnt_Deposited!C26</f>
        <v>15.64052033808</v>
      </c>
      <c r="D31" s="418">
        <f>Dry_Matter_Content!C18</f>
        <v>0.59</v>
      </c>
      <c r="E31" s="284">
        <f>MCF!R30</f>
        <v>0.8</v>
      </c>
      <c r="F31" s="67">
        <f t="shared" si="5"/>
        <v>1.4026418639190146</v>
      </c>
      <c r="G31" s="67">
        <f t="shared" si="0"/>
        <v>1.4026418639190146</v>
      </c>
      <c r="H31" s="67">
        <f t="shared" si="1"/>
        <v>0</v>
      </c>
      <c r="I31" s="67">
        <f t="shared" si="2"/>
        <v>3.9948744392542217</v>
      </c>
      <c r="J31" s="67">
        <f t="shared" si="3"/>
        <v>1.2749240025800894</v>
      </c>
      <c r="K31" s="100">
        <f t="shared" si="6"/>
        <v>0.84994933505339287</v>
      </c>
      <c r="O31" s="96">
        <f>Amnt_Deposited!B26</f>
        <v>2012</v>
      </c>
      <c r="P31" s="99">
        <f>Amnt_Deposited!C26</f>
        <v>15.64052033808</v>
      </c>
      <c r="Q31" s="284">
        <f>MCF!R30</f>
        <v>0.8</v>
      </c>
      <c r="R31" s="67">
        <f t="shared" si="4"/>
        <v>0.93843122028479997</v>
      </c>
      <c r="S31" s="67">
        <f t="shared" si="7"/>
        <v>0.93843122028479997</v>
      </c>
      <c r="T31" s="67">
        <f t="shared" si="8"/>
        <v>0</v>
      </c>
      <c r="U31" s="67">
        <f t="shared" si="9"/>
        <v>2.6727527470478734</v>
      </c>
      <c r="V31" s="67">
        <f t="shared" si="10"/>
        <v>0.8529821605129948</v>
      </c>
      <c r="W31" s="100">
        <f t="shared" si="11"/>
        <v>0.56865477367532979</v>
      </c>
    </row>
    <row r="32" spans="2:23">
      <c r="B32" s="96">
        <f>Amnt_Deposited!B27</f>
        <v>2013</v>
      </c>
      <c r="C32" s="99">
        <f>Amnt_Deposited!C27</f>
        <v>15.93682763508</v>
      </c>
      <c r="D32" s="418">
        <f>Dry_Matter_Content!C19</f>
        <v>0.59</v>
      </c>
      <c r="E32" s="284">
        <f>MCF!R31</f>
        <v>0.8</v>
      </c>
      <c r="F32" s="67">
        <f t="shared" si="5"/>
        <v>1.4292147023139743</v>
      </c>
      <c r="G32" s="67">
        <f t="shared" si="0"/>
        <v>1.4292147023139743</v>
      </c>
      <c r="H32" s="67">
        <f t="shared" si="1"/>
        <v>0</v>
      </c>
      <c r="I32" s="67">
        <f t="shared" si="2"/>
        <v>4.1070591203414626</v>
      </c>
      <c r="J32" s="67">
        <f t="shared" si="3"/>
        <v>1.317030021226733</v>
      </c>
      <c r="K32" s="100">
        <f t="shared" si="6"/>
        <v>0.87802001415115527</v>
      </c>
      <c r="O32" s="96">
        <f>Amnt_Deposited!B27</f>
        <v>2013</v>
      </c>
      <c r="P32" s="99">
        <f>Amnt_Deposited!C27</f>
        <v>15.93682763508</v>
      </c>
      <c r="Q32" s="284">
        <f>MCF!R31</f>
        <v>0.8</v>
      </c>
      <c r="R32" s="67">
        <f t="shared" si="4"/>
        <v>0.95620965810479996</v>
      </c>
      <c r="S32" s="67">
        <f t="shared" si="7"/>
        <v>0.95620965810479996</v>
      </c>
      <c r="T32" s="67">
        <f t="shared" si="8"/>
        <v>0</v>
      </c>
      <c r="U32" s="67">
        <f t="shared" si="9"/>
        <v>2.7478094025478117</v>
      </c>
      <c r="V32" s="67">
        <f t="shared" si="10"/>
        <v>0.8811530026048614</v>
      </c>
      <c r="W32" s="100">
        <f t="shared" si="11"/>
        <v>0.58743533506990753</v>
      </c>
    </row>
    <row r="33" spans="2:23">
      <c r="B33" s="96">
        <f>Amnt_Deposited!B28</f>
        <v>2014</v>
      </c>
      <c r="C33" s="99">
        <f>Amnt_Deposited!C28</f>
        <v>16.225733953439999</v>
      </c>
      <c r="D33" s="418">
        <f>Dry_Matter_Content!C20</f>
        <v>0.59</v>
      </c>
      <c r="E33" s="284">
        <f>MCF!R32</f>
        <v>0.8</v>
      </c>
      <c r="F33" s="67">
        <f t="shared" si="5"/>
        <v>1.4551238209444992</v>
      </c>
      <c r="G33" s="67">
        <f t="shared" si="0"/>
        <v>1.4551238209444992</v>
      </c>
      <c r="H33" s="67">
        <f t="shared" si="1"/>
        <v>0</v>
      </c>
      <c r="I33" s="67">
        <f t="shared" si="2"/>
        <v>4.2081678795628807</v>
      </c>
      <c r="J33" s="67">
        <f t="shared" si="3"/>
        <v>1.3540150617230811</v>
      </c>
      <c r="K33" s="100">
        <f t="shared" si="6"/>
        <v>0.90267670781538734</v>
      </c>
      <c r="O33" s="96">
        <f>Amnt_Deposited!B28</f>
        <v>2014</v>
      </c>
      <c r="P33" s="99">
        <f>Amnt_Deposited!C28</f>
        <v>16.225733953439999</v>
      </c>
      <c r="Q33" s="284">
        <f>MCF!R32</f>
        <v>0.8</v>
      </c>
      <c r="R33" s="67">
        <f t="shared" si="4"/>
        <v>0.97354403720640004</v>
      </c>
      <c r="S33" s="67">
        <f t="shared" si="7"/>
        <v>0.97354403720640004</v>
      </c>
      <c r="T33" s="67">
        <f t="shared" si="8"/>
        <v>0</v>
      </c>
      <c r="U33" s="67">
        <f t="shared" si="9"/>
        <v>2.8154557624194116</v>
      </c>
      <c r="V33" s="67">
        <f t="shared" si="10"/>
        <v>0.90589767733479998</v>
      </c>
      <c r="W33" s="100">
        <f t="shared" si="11"/>
        <v>0.60393178488986665</v>
      </c>
    </row>
    <row r="34" spans="2:23">
      <c r="B34" s="96">
        <f>Amnt_Deposited!B29</f>
        <v>2015</v>
      </c>
      <c r="C34" s="99">
        <f>Amnt_Deposited!C29</f>
        <v>16.506702990360001</v>
      </c>
      <c r="D34" s="418">
        <f>Dry_Matter_Content!C21</f>
        <v>0.59</v>
      </c>
      <c r="E34" s="284">
        <f>MCF!R33</f>
        <v>0.8</v>
      </c>
      <c r="F34" s="67">
        <f t="shared" si="5"/>
        <v>1.480321124175485</v>
      </c>
      <c r="G34" s="67">
        <f t="shared" si="0"/>
        <v>1.480321124175485</v>
      </c>
      <c r="H34" s="67">
        <f t="shared" si="1"/>
        <v>0</v>
      </c>
      <c r="I34" s="67">
        <f t="shared" si="2"/>
        <v>4.3011404109297739</v>
      </c>
      <c r="J34" s="67">
        <f t="shared" si="3"/>
        <v>1.3873485928085918</v>
      </c>
      <c r="K34" s="100">
        <f t="shared" si="6"/>
        <v>0.92489906187239446</v>
      </c>
      <c r="O34" s="96">
        <f>Amnt_Deposited!B29</f>
        <v>2015</v>
      </c>
      <c r="P34" s="99">
        <f>Amnt_Deposited!C29</f>
        <v>16.506702990360001</v>
      </c>
      <c r="Q34" s="284">
        <f>MCF!R33</f>
        <v>0.8</v>
      </c>
      <c r="R34" s="67">
        <f t="shared" si="4"/>
        <v>0.99040217942160003</v>
      </c>
      <c r="S34" s="67">
        <f t="shared" si="7"/>
        <v>0.99040217942160003</v>
      </c>
      <c r="T34" s="67">
        <f t="shared" si="8"/>
        <v>0</v>
      </c>
      <c r="U34" s="67">
        <f t="shared" si="9"/>
        <v>2.8776586156978858</v>
      </c>
      <c r="V34" s="67">
        <f t="shared" si="10"/>
        <v>0.92819932614312561</v>
      </c>
      <c r="W34" s="100">
        <f t="shared" si="11"/>
        <v>0.61879955076208371</v>
      </c>
    </row>
    <row r="35" spans="2:23">
      <c r="B35" s="96">
        <f>Amnt_Deposited!B30</f>
        <v>2016</v>
      </c>
      <c r="C35" s="99">
        <f>Amnt_Deposited!C30</f>
        <v>16.785419555519997</v>
      </c>
      <c r="D35" s="418">
        <f>Dry_Matter_Content!C22</f>
        <v>0.59</v>
      </c>
      <c r="E35" s="284">
        <f>MCF!R34</f>
        <v>0.8</v>
      </c>
      <c r="F35" s="67">
        <f t="shared" si="5"/>
        <v>1.5053164257390332</v>
      </c>
      <c r="G35" s="67">
        <f t="shared" si="0"/>
        <v>1.5053164257390332</v>
      </c>
      <c r="H35" s="67">
        <f t="shared" si="1"/>
        <v>0</v>
      </c>
      <c r="I35" s="67">
        <f t="shared" si="2"/>
        <v>4.388457063999228</v>
      </c>
      <c r="J35" s="67">
        <f t="shared" si="3"/>
        <v>1.4179997726695792</v>
      </c>
      <c r="K35" s="100">
        <f t="shared" si="6"/>
        <v>0.94533318177971948</v>
      </c>
      <c r="O35" s="96">
        <f>Amnt_Deposited!B30</f>
        <v>2016</v>
      </c>
      <c r="P35" s="99">
        <f>Amnt_Deposited!C30</f>
        <v>16.785419555519997</v>
      </c>
      <c r="Q35" s="284">
        <f>MCF!R34</f>
        <v>0.8</v>
      </c>
      <c r="R35" s="67">
        <f t="shared" si="4"/>
        <v>1.0071251733311999</v>
      </c>
      <c r="S35" s="67">
        <f t="shared" si="7"/>
        <v>1.0071251733311999</v>
      </c>
      <c r="T35" s="67">
        <f t="shared" si="8"/>
        <v>0</v>
      </c>
      <c r="U35" s="67">
        <f t="shared" si="9"/>
        <v>2.9360774290806608</v>
      </c>
      <c r="V35" s="67">
        <f t="shared" si="10"/>
        <v>0.94870635994842489</v>
      </c>
      <c r="W35" s="100">
        <f t="shared" si="11"/>
        <v>0.63247090663228323</v>
      </c>
    </row>
    <row r="36" spans="2:23">
      <c r="B36" s="96">
        <f>Amnt_Deposited!B31</f>
        <v>2017</v>
      </c>
      <c r="C36" s="99">
        <f>Amnt_Deposited!C31</f>
        <v>17.429546033460003</v>
      </c>
      <c r="D36" s="418">
        <f>Dry_Matter_Content!C23</f>
        <v>0.59</v>
      </c>
      <c r="E36" s="284">
        <f>MCF!R35</f>
        <v>0.8</v>
      </c>
      <c r="F36" s="67">
        <f t="shared" si="5"/>
        <v>1.5630816882806933</v>
      </c>
      <c r="G36" s="67">
        <f t="shared" si="0"/>
        <v>1.5630816882806933</v>
      </c>
      <c r="H36" s="67">
        <f t="shared" si="1"/>
        <v>0</v>
      </c>
      <c r="I36" s="67">
        <f t="shared" si="2"/>
        <v>4.5047524294460821</v>
      </c>
      <c r="J36" s="67">
        <f t="shared" si="3"/>
        <v>1.4467863228338389</v>
      </c>
      <c r="K36" s="100">
        <f t="shared" si="6"/>
        <v>0.96452421522255927</v>
      </c>
      <c r="O36" s="96">
        <f>Amnt_Deposited!B31</f>
        <v>2017</v>
      </c>
      <c r="P36" s="99">
        <f>Amnt_Deposited!C31</f>
        <v>17.429546033460003</v>
      </c>
      <c r="Q36" s="284">
        <f>MCF!R35</f>
        <v>0.8</v>
      </c>
      <c r="R36" s="67">
        <f t="shared" si="4"/>
        <v>1.0457727620076003</v>
      </c>
      <c r="S36" s="67">
        <f t="shared" si="7"/>
        <v>1.0457727620076003</v>
      </c>
      <c r="T36" s="67">
        <f t="shared" si="8"/>
        <v>0</v>
      </c>
      <c r="U36" s="67">
        <f t="shared" si="9"/>
        <v>3.0138843194331502</v>
      </c>
      <c r="V36" s="67">
        <f t="shared" si="10"/>
        <v>0.96796587165511072</v>
      </c>
      <c r="W36" s="100">
        <f t="shared" si="11"/>
        <v>0.64531058110340711</v>
      </c>
    </row>
    <row r="37" spans="2:23">
      <c r="B37" s="96">
        <f>Amnt_Deposited!B32</f>
        <v>2018</v>
      </c>
      <c r="C37" s="99">
        <f>Amnt_Deposited!C32</f>
        <v>17.834427832320003</v>
      </c>
      <c r="D37" s="418">
        <f>Dry_Matter_Content!C24</f>
        <v>0.59</v>
      </c>
      <c r="E37" s="284">
        <f>MCF!R36</f>
        <v>0.8</v>
      </c>
      <c r="F37" s="67">
        <f t="shared" si="5"/>
        <v>1.5993914880024578</v>
      </c>
      <c r="G37" s="67">
        <f t="shared" si="0"/>
        <v>1.5993914880024578</v>
      </c>
      <c r="H37" s="67">
        <f t="shared" si="1"/>
        <v>0</v>
      </c>
      <c r="I37" s="67">
        <f t="shared" si="2"/>
        <v>4.6190173438879132</v>
      </c>
      <c r="J37" s="67">
        <f t="shared" si="3"/>
        <v>1.4851265735606263</v>
      </c>
      <c r="K37" s="100">
        <f t="shared" si="6"/>
        <v>0.99008438237375085</v>
      </c>
      <c r="O37" s="96">
        <f>Amnt_Deposited!B32</f>
        <v>2018</v>
      </c>
      <c r="P37" s="99">
        <f>Amnt_Deposited!C32</f>
        <v>17.834427832320003</v>
      </c>
      <c r="Q37" s="284">
        <f>MCF!R36</f>
        <v>0.8</v>
      </c>
      <c r="R37" s="67">
        <f t="shared" si="4"/>
        <v>1.0700656699392002</v>
      </c>
      <c r="S37" s="67">
        <f t="shared" si="7"/>
        <v>1.0700656699392002</v>
      </c>
      <c r="T37" s="67">
        <f t="shared" si="8"/>
        <v>0</v>
      </c>
      <c r="U37" s="67">
        <f t="shared" si="9"/>
        <v>3.090332745687721</v>
      </c>
      <c r="V37" s="67">
        <f t="shared" si="10"/>
        <v>0.99361724368462945</v>
      </c>
      <c r="W37" s="100">
        <f t="shared" si="11"/>
        <v>0.66241149578975289</v>
      </c>
    </row>
    <row r="38" spans="2:23">
      <c r="B38" s="96">
        <f>Amnt_Deposited!B33</f>
        <v>2019</v>
      </c>
      <c r="C38" s="99">
        <f>Amnt_Deposited!C33</f>
        <v>18.239309631180003</v>
      </c>
      <c r="D38" s="418">
        <f>Dry_Matter_Content!C25</f>
        <v>0.59</v>
      </c>
      <c r="E38" s="284">
        <f>MCF!R37</f>
        <v>0.8</v>
      </c>
      <c r="F38" s="67">
        <f t="shared" si="5"/>
        <v>1.6357012877242227</v>
      </c>
      <c r="G38" s="67">
        <f t="shared" si="0"/>
        <v>1.6357012877242227</v>
      </c>
      <c r="H38" s="67">
        <f t="shared" si="1"/>
        <v>0</v>
      </c>
      <c r="I38" s="67">
        <f t="shared" si="2"/>
        <v>4.7319212063185851</v>
      </c>
      <c r="J38" s="67">
        <f t="shared" si="3"/>
        <v>1.5227974252935508</v>
      </c>
      <c r="K38" s="100">
        <f t="shared" si="6"/>
        <v>1.0151982835290339</v>
      </c>
      <c r="O38" s="96">
        <f>Amnt_Deposited!B33</f>
        <v>2019</v>
      </c>
      <c r="P38" s="99">
        <f>Amnt_Deposited!C33</f>
        <v>18.239309631180003</v>
      </c>
      <c r="Q38" s="284">
        <f>MCF!R37</f>
        <v>0.8</v>
      </c>
      <c r="R38" s="67">
        <f t="shared" si="4"/>
        <v>1.0943585778708003</v>
      </c>
      <c r="S38" s="67">
        <f t="shared" si="7"/>
        <v>1.0943585778708003</v>
      </c>
      <c r="T38" s="67">
        <f t="shared" si="8"/>
        <v>0</v>
      </c>
      <c r="U38" s="67">
        <f t="shared" si="9"/>
        <v>3.165870566225637</v>
      </c>
      <c r="V38" s="67">
        <f t="shared" si="10"/>
        <v>1.0188207573328842</v>
      </c>
      <c r="W38" s="100">
        <f t="shared" si="11"/>
        <v>0.67921383822192283</v>
      </c>
    </row>
    <row r="39" spans="2:23">
      <c r="B39" s="96">
        <f>Amnt_Deposited!B34</f>
        <v>2020</v>
      </c>
      <c r="C39" s="99">
        <f>Amnt_Deposited!C34</f>
        <v>18.644191430040003</v>
      </c>
      <c r="D39" s="418">
        <f>Dry_Matter_Content!C26</f>
        <v>0.59</v>
      </c>
      <c r="E39" s="284">
        <f>MCF!R38</f>
        <v>0.8</v>
      </c>
      <c r="F39" s="67">
        <f t="shared" si="5"/>
        <v>1.6720110874459875</v>
      </c>
      <c r="G39" s="67">
        <f t="shared" si="0"/>
        <v>1.6720110874459875</v>
      </c>
      <c r="H39" s="67">
        <f t="shared" si="1"/>
        <v>0</v>
      </c>
      <c r="I39" s="67">
        <f t="shared" si="2"/>
        <v>4.8439127283024792</v>
      </c>
      <c r="J39" s="67">
        <f t="shared" si="3"/>
        <v>1.5600195654620932</v>
      </c>
      <c r="K39" s="100">
        <f t="shared" si="6"/>
        <v>1.0400130436413955</v>
      </c>
      <c r="O39" s="96">
        <f>Amnt_Deposited!B34</f>
        <v>2020</v>
      </c>
      <c r="P39" s="99">
        <f>Amnt_Deposited!C34</f>
        <v>18.644191430040003</v>
      </c>
      <c r="Q39" s="284">
        <f>MCF!R38</f>
        <v>0.8</v>
      </c>
      <c r="R39" s="67">
        <f t="shared" si="4"/>
        <v>1.1186514858024001</v>
      </c>
      <c r="S39" s="67">
        <f t="shared" si="7"/>
        <v>1.1186514858024001</v>
      </c>
      <c r="T39" s="67">
        <f t="shared" si="8"/>
        <v>0</v>
      </c>
      <c r="U39" s="67">
        <f t="shared" si="9"/>
        <v>3.2407979894976444</v>
      </c>
      <c r="V39" s="67">
        <f t="shared" si="10"/>
        <v>1.0437240625303925</v>
      </c>
      <c r="W39" s="100">
        <f t="shared" si="11"/>
        <v>0.69581604168692834</v>
      </c>
    </row>
    <row r="40" spans="2:23">
      <c r="B40" s="96">
        <f>Amnt_Deposited!B35</f>
        <v>2021</v>
      </c>
      <c r="C40" s="99">
        <f>Amnt_Deposited!C35</f>
        <v>19.049073228900003</v>
      </c>
      <c r="D40" s="418">
        <f>Dry_Matter_Content!C27</f>
        <v>0.59</v>
      </c>
      <c r="E40" s="284">
        <f>MCF!R39</f>
        <v>0.8</v>
      </c>
      <c r="F40" s="67">
        <f t="shared" si="5"/>
        <v>1.7083208871677522</v>
      </c>
      <c r="G40" s="67">
        <f t="shared" si="0"/>
        <v>1.7083208871677522</v>
      </c>
      <c r="H40" s="67">
        <f t="shared" si="1"/>
        <v>0</v>
      </c>
      <c r="I40" s="67">
        <f t="shared" si="2"/>
        <v>4.9552926901960888</v>
      </c>
      <c r="J40" s="67">
        <f t="shared" si="3"/>
        <v>1.596940925274142</v>
      </c>
      <c r="K40" s="100">
        <f t="shared" si="6"/>
        <v>1.0646272835160946</v>
      </c>
      <c r="O40" s="96">
        <f>Amnt_Deposited!B35</f>
        <v>2021</v>
      </c>
      <c r="P40" s="99">
        <f>Amnt_Deposited!C35</f>
        <v>19.049073228900003</v>
      </c>
      <c r="Q40" s="284">
        <f>MCF!R39</f>
        <v>0.8</v>
      </c>
      <c r="R40" s="67">
        <f t="shared" si="4"/>
        <v>1.1429443937340003</v>
      </c>
      <c r="S40" s="67">
        <f t="shared" si="7"/>
        <v>1.1429443937340003</v>
      </c>
      <c r="T40" s="67">
        <f t="shared" si="8"/>
        <v>0</v>
      </c>
      <c r="U40" s="67">
        <f t="shared" si="9"/>
        <v>3.3153162512462684</v>
      </c>
      <c r="V40" s="67">
        <f t="shared" si="10"/>
        <v>1.0684261319853761</v>
      </c>
      <c r="W40" s="100">
        <f t="shared" si="11"/>
        <v>0.71228408799025067</v>
      </c>
    </row>
    <row r="41" spans="2:23">
      <c r="B41" s="96">
        <f>Amnt_Deposited!B36</f>
        <v>2022</v>
      </c>
      <c r="C41" s="99">
        <f>Amnt_Deposited!C36</f>
        <v>19.453955027760003</v>
      </c>
      <c r="D41" s="418">
        <f>Dry_Matter_Content!C28</f>
        <v>0.59</v>
      </c>
      <c r="E41" s="284">
        <f>MCF!R40</f>
        <v>0.8</v>
      </c>
      <c r="F41" s="67">
        <f t="shared" si="5"/>
        <v>1.7446306868895172</v>
      </c>
      <c r="G41" s="67">
        <f t="shared" si="0"/>
        <v>1.7446306868895172</v>
      </c>
      <c r="H41" s="67">
        <f t="shared" si="1"/>
        <v>0</v>
      </c>
      <c r="I41" s="67">
        <f t="shared" si="2"/>
        <v>5.0662627111018264</v>
      </c>
      <c r="J41" s="67">
        <f t="shared" si="3"/>
        <v>1.6336606659837796</v>
      </c>
      <c r="K41" s="100">
        <f t="shared" si="6"/>
        <v>1.089107110655853</v>
      </c>
      <c r="O41" s="96">
        <f>Amnt_Deposited!B36</f>
        <v>2022</v>
      </c>
      <c r="P41" s="99">
        <f>Amnt_Deposited!C36</f>
        <v>19.453955027760003</v>
      </c>
      <c r="Q41" s="284">
        <f>MCF!R40</f>
        <v>0.8</v>
      </c>
      <c r="R41" s="67">
        <f t="shared" si="4"/>
        <v>1.1672373016656001</v>
      </c>
      <c r="S41" s="67">
        <f t="shared" si="7"/>
        <v>1.1672373016656001</v>
      </c>
      <c r="T41" s="67">
        <f t="shared" si="8"/>
        <v>0</v>
      </c>
      <c r="U41" s="67">
        <f t="shared" si="9"/>
        <v>3.389560243823702</v>
      </c>
      <c r="V41" s="67">
        <f t="shared" si="10"/>
        <v>1.0929933090881665</v>
      </c>
      <c r="W41" s="100">
        <f t="shared" si="11"/>
        <v>0.72866220605877763</v>
      </c>
    </row>
    <row r="42" spans="2:23">
      <c r="B42" s="96">
        <f>Amnt_Deposited!B37</f>
        <v>2023</v>
      </c>
      <c r="C42" s="99">
        <f>Amnt_Deposited!C37</f>
        <v>19.858836826620003</v>
      </c>
      <c r="D42" s="418">
        <f>Dry_Matter_Content!C29</f>
        <v>0.59</v>
      </c>
      <c r="E42" s="284">
        <f>MCF!R41</f>
        <v>0.8</v>
      </c>
      <c r="F42" s="67">
        <f t="shared" si="5"/>
        <v>1.7809404866112819</v>
      </c>
      <c r="G42" s="67">
        <f t="shared" si="0"/>
        <v>1.7809404866112819</v>
      </c>
      <c r="H42" s="67">
        <f t="shared" si="1"/>
        <v>0</v>
      </c>
      <c r="I42" s="67">
        <f t="shared" si="2"/>
        <v>5.1769579403457007</v>
      </c>
      <c r="J42" s="67">
        <f t="shared" si="3"/>
        <v>1.6702452573674071</v>
      </c>
      <c r="K42" s="100">
        <f t="shared" si="6"/>
        <v>1.1134968382449379</v>
      </c>
      <c r="O42" s="96">
        <f>Amnt_Deposited!B37</f>
        <v>2023</v>
      </c>
      <c r="P42" s="99">
        <f>Amnt_Deposited!C37</f>
        <v>19.858836826620003</v>
      </c>
      <c r="Q42" s="284">
        <f>MCF!R41</f>
        <v>0.8</v>
      </c>
      <c r="R42" s="67">
        <f t="shared" si="4"/>
        <v>1.1915302095972</v>
      </c>
      <c r="S42" s="67">
        <f t="shared" si="7"/>
        <v>1.1915302095972</v>
      </c>
      <c r="T42" s="67">
        <f t="shared" si="8"/>
        <v>0</v>
      </c>
      <c r="U42" s="67">
        <f t="shared" si="9"/>
        <v>3.4636203882776773</v>
      </c>
      <c r="V42" s="67">
        <f t="shared" si="10"/>
        <v>1.1174700651432252</v>
      </c>
      <c r="W42" s="100">
        <f t="shared" si="11"/>
        <v>0.74498004342881674</v>
      </c>
    </row>
    <row r="43" spans="2:23">
      <c r="B43" s="96">
        <f>Amnt_Deposited!B38</f>
        <v>2024</v>
      </c>
      <c r="C43" s="99">
        <f>Amnt_Deposited!C38</f>
        <v>20.263718625480003</v>
      </c>
      <c r="D43" s="418">
        <f>Dry_Matter_Content!C30</f>
        <v>0.59</v>
      </c>
      <c r="E43" s="284">
        <f>MCF!R42</f>
        <v>0.8</v>
      </c>
      <c r="F43" s="67">
        <f t="shared" si="5"/>
        <v>1.8172502863330466</v>
      </c>
      <c r="G43" s="67">
        <f t="shared" si="0"/>
        <v>1.8172502863330466</v>
      </c>
      <c r="H43" s="67">
        <f t="shared" si="1"/>
        <v>0</v>
      </c>
      <c r="I43" s="67">
        <f t="shared" si="2"/>
        <v>5.2874689712301457</v>
      </c>
      <c r="J43" s="67">
        <f t="shared" si="3"/>
        <v>1.7067392554486021</v>
      </c>
      <c r="K43" s="100">
        <f t="shared" si="6"/>
        <v>1.137826170299068</v>
      </c>
      <c r="O43" s="96">
        <f>Amnt_Deposited!B38</f>
        <v>2024</v>
      </c>
      <c r="P43" s="99">
        <f>Amnt_Deposited!C38</f>
        <v>20.263718625480003</v>
      </c>
      <c r="Q43" s="284">
        <f>MCF!R42</f>
        <v>0.8</v>
      </c>
      <c r="R43" s="67">
        <f t="shared" si="4"/>
        <v>1.2158231175288003</v>
      </c>
      <c r="S43" s="67">
        <f t="shared" si="7"/>
        <v>1.2158231175288003</v>
      </c>
      <c r="T43" s="67">
        <f t="shared" si="8"/>
        <v>0</v>
      </c>
      <c r="U43" s="67">
        <f t="shared" si="9"/>
        <v>3.537557295649072</v>
      </c>
      <c r="V43" s="67">
        <f t="shared" si="10"/>
        <v>1.1418862101574057</v>
      </c>
      <c r="W43" s="100">
        <f t="shared" si="11"/>
        <v>0.76125747343827044</v>
      </c>
    </row>
    <row r="44" spans="2:23">
      <c r="B44" s="96">
        <f>Amnt_Deposited!B39</f>
        <v>2025</v>
      </c>
      <c r="C44" s="99">
        <f>Amnt_Deposited!C39</f>
        <v>20.668600424340003</v>
      </c>
      <c r="D44" s="418">
        <f>Dry_Matter_Content!C31</f>
        <v>0.59</v>
      </c>
      <c r="E44" s="284">
        <f>MCF!R43</f>
        <v>0.8</v>
      </c>
      <c r="F44" s="67">
        <f t="shared" si="5"/>
        <v>1.8535600860548116</v>
      </c>
      <c r="G44" s="67">
        <f t="shared" si="0"/>
        <v>1.8535600860548116</v>
      </c>
      <c r="H44" s="67">
        <f t="shared" si="1"/>
        <v>0</v>
      </c>
      <c r="I44" s="67">
        <f t="shared" si="2"/>
        <v>5.3978565302618176</v>
      </c>
      <c r="J44" s="67">
        <f t="shared" si="3"/>
        <v>1.74317252702314</v>
      </c>
      <c r="K44" s="100">
        <f t="shared" si="6"/>
        <v>1.1621150180154265</v>
      </c>
      <c r="O44" s="96">
        <f>Amnt_Deposited!B39</f>
        <v>2025</v>
      </c>
      <c r="P44" s="99">
        <f>Amnt_Deposited!C39</f>
        <v>20.668600424340003</v>
      </c>
      <c r="Q44" s="284">
        <f>MCF!R43</f>
        <v>0.8</v>
      </c>
      <c r="R44" s="67">
        <f t="shared" si="4"/>
        <v>1.2401160254604002</v>
      </c>
      <c r="S44" s="67">
        <f t="shared" si="7"/>
        <v>1.2401160254604002</v>
      </c>
      <c r="T44" s="67">
        <f t="shared" si="8"/>
        <v>0</v>
      </c>
      <c r="U44" s="67">
        <f t="shared" si="9"/>
        <v>3.6114115947335979</v>
      </c>
      <c r="V44" s="67">
        <f t="shared" si="10"/>
        <v>1.1662617263758743</v>
      </c>
      <c r="W44" s="100">
        <f t="shared" si="11"/>
        <v>0.77750781758391618</v>
      </c>
    </row>
    <row r="45" spans="2:23">
      <c r="B45" s="96">
        <f>Amnt_Deposited!B40</f>
        <v>2026</v>
      </c>
      <c r="C45" s="99">
        <f>Amnt_Deposited!C40</f>
        <v>21.073482223199999</v>
      </c>
      <c r="D45" s="418">
        <f>Dry_Matter_Content!C32</f>
        <v>0.59</v>
      </c>
      <c r="E45" s="284">
        <f>MCF!R44</f>
        <v>0.8</v>
      </c>
      <c r="F45" s="67">
        <f t="shared" si="5"/>
        <v>1.8898698857765759</v>
      </c>
      <c r="G45" s="67">
        <f t="shared" si="0"/>
        <v>1.8898698857765759</v>
      </c>
      <c r="H45" s="67">
        <f t="shared" si="1"/>
        <v>0</v>
      </c>
      <c r="I45" s="67">
        <f t="shared" si="2"/>
        <v>5.5081613236354539</v>
      </c>
      <c r="J45" s="67">
        <f t="shared" si="3"/>
        <v>1.7795650924029396</v>
      </c>
      <c r="K45" s="100">
        <f t="shared" si="6"/>
        <v>1.1863767282686264</v>
      </c>
      <c r="O45" s="96">
        <f>Amnt_Deposited!B40</f>
        <v>2026</v>
      </c>
      <c r="P45" s="99">
        <f>Amnt_Deposited!C40</f>
        <v>21.073482223199999</v>
      </c>
      <c r="Q45" s="284">
        <f>MCF!R44</f>
        <v>0.8</v>
      </c>
      <c r="R45" s="67">
        <f t="shared" si="4"/>
        <v>1.2644089333919999</v>
      </c>
      <c r="S45" s="67">
        <f t="shared" si="7"/>
        <v>1.2644089333919999</v>
      </c>
      <c r="T45" s="67">
        <f t="shared" si="8"/>
        <v>0</v>
      </c>
      <c r="U45" s="67">
        <f t="shared" si="9"/>
        <v>3.6852105198274669</v>
      </c>
      <c r="V45" s="67">
        <f t="shared" si="10"/>
        <v>1.1906100082981308</v>
      </c>
      <c r="W45" s="100">
        <f t="shared" si="11"/>
        <v>0.79374000553208712</v>
      </c>
    </row>
    <row r="46" spans="2:23">
      <c r="B46" s="96">
        <f>Amnt_Deposited!B41</f>
        <v>2027</v>
      </c>
      <c r="C46" s="99">
        <f>Amnt_Deposited!C41</f>
        <v>21.478364022060003</v>
      </c>
      <c r="D46" s="418">
        <f>Dry_Matter_Content!C33</f>
        <v>0.59</v>
      </c>
      <c r="E46" s="284">
        <f>MCF!R45</f>
        <v>0.8</v>
      </c>
      <c r="F46" s="67">
        <f t="shared" si="5"/>
        <v>1.9261796854983411</v>
      </c>
      <c r="G46" s="67">
        <f t="shared" si="0"/>
        <v>1.9261796854983411</v>
      </c>
      <c r="H46" s="67">
        <f t="shared" si="1"/>
        <v>0</v>
      </c>
      <c r="I46" s="67">
        <f t="shared" si="2"/>
        <v>5.6184106375293865</v>
      </c>
      <c r="J46" s="67">
        <f t="shared" si="3"/>
        <v>1.8159303716044084</v>
      </c>
      <c r="K46" s="100">
        <f t="shared" si="6"/>
        <v>1.2106202477362722</v>
      </c>
      <c r="O46" s="96">
        <f>Amnt_Deposited!B41</f>
        <v>2027</v>
      </c>
      <c r="P46" s="99">
        <f>Amnt_Deposited!C41</f>
        <v>21.478364022060003</v>
      </c>
      <c r="Q46" s="284">
        <f>MCF!R45</f>
        <v>0.8</v>
      </c>
      <c r="R46" s="67">
        <f t="shared" si="4"/>
        <v>1.2887018413236002</v>
      </c>
      <c r="S46" s="67">
        <f t="shared" si="7"/>
        <v>1.2887018413236002</v>
      </c>
      <c r="T46" s="67">
        <f t="shared" si="8"/>
        <v>0</v>
      </c>
      <c r="U46" s="67">
        <f t="shared" si="9"/>
        <v>3.7589723266253703</v>
      </c>
      <c r="V46" s="67">
        <f t="shared" si="10"/>
        <v>1.2149400345256969</v>
      </c>
      <c r="W46" s="100">
        <f t="shared" si="11"/>
        <v>0.80996002301713121</v>
      </c>
    </row>
    <row r="47" spans="2:23">
      <c r="B47" s="96">
        <f>Amnt_Deposited!B42</f>
        <v>2028</v>
      </c>
      <c r="C47" s="99">
        <f>Amnt_Deposited!C42</f>
        <v>21.883245820920003</v>
      </c>
      <c r="D47" s="418">
        <f>Dry_Matter_Content!C34</f>
        <v>0.59</v>
      </c>
      <c r="E47" s="284">
        <f>MCF!R46</f>
        <v>0.8</v>
      </c>
      <c r="F47" s="67">
        <f t="shared" si="5"/>
        <v>1.962489485220106</v>
      </c>
      <c r="G47" s="67">
        <f t="shared" si="0"/>
        <v>1.962489485220106</v>
      </c>
      <c r="H47" s="67">
        <f t="shared" si="1"/>
        <v>0</v>
      </c>
      <c r="I47" s="67">
        <f t="shared" si="2"/>
        <v>5.72862276241593</v>
      </c>
      <c r="J47" s="67">
        <f t="shared" si="3"/>
        <v>1.8522773603335625</v>
      </c>
      <c r="K47" s="100">
        <f t="shared" si="6"/>
        <v>1.2348515735557082</v>
      </c>
      <c r="O47" s="96">
        <f>Amnt_Deposited!B42</f>
        <v>2028</v>
      </c>
      <c r="P47" s="99">
        <f>Amnt_Deposited!C42</f>
        <v>21.883245820920003</v>
      </c>
      <c r="Q47" s="284">
        <f>MCF!R46</f>
        <v>0.8</v>
      </c>
      <c r="R47" s="67">
        <f t="shared" si="4"/>
        <v>1.3129947492552001</v>
      </c>
      <c r="S47" s="67">
        <f t="shared" si="7"/>
        <v>1.3129947492552001</v>
      </c>
      <c r="T47" s="67">
        <f t="shared" si="8"/>
        <v>0</v>
      </c>
      <c r="U47" s="67">
        <f t="shared" si="9"/>
        <v>3.8327092522854125</v>
      </c>
      <c r="V47" s="67">
        <f t="shared" si="10"/>
        <v>1.2392578235951579</v>
      </c>
      <c r="W47" s="100">
        <f t="shared" si="11"/>
        <v>0.82617188239677186</v>
      </c>
    </row>
    <row r="48" spans="2:23">
      <c r="B48" s="96">
        <f>Amnt_Deposited!B43</f>
        <v>2029</v>
      </c>
      <c r="C48" s="99">
        <f>Amnt_Deposited!C43</f>
        <v>22.288127619779999</v>
      </c>
      <c r="D48" s="418">
        <f>Dry_Matter_Content!C35</f>
        <v>0.59</v>
      </c>
      <c r="E48" s="284">
        <f>MCF!R47</f>
        <v>0.8</v>
      </c>
      <c r="F48" s="67">
        <f t="shared" si="5"/>
        <v>1.9987992849418703</v>
      </c>
      <c r="G48" s="67">
        <f t="shared" si="0"/>
        <v>1.9987992849418703</v>
      </c>
      <c r="H48" s="67">
        <f t="shared" si="1"/>
        <v>0</v>
      </c>
      <c r="I48" s="67">
        <f t="shared" si="2"/>
        <v>5.8388099587653279</v>
      </c>
      <c r="J48" s="67">
        <f t="shared" si="3"/>
        <v>1.8886120885924724</v>
      </c>
      <c r="K48" s="100">
        <f t="shared" si="6"/>
        <v>1.2590747257283148</v>
      </c>
      <c r="O48" s="96">
        <f>Amnt_Deposited!B43</f>
        <v>2029</v>
      </c>
      <c r="P48" s="99">
        <f>Amnt_Deposited!C43</f>
        <v>22.288127619779999</v>
      </c>
      <c r="Q48" s="284">
        <f>MCF!R47</f>
        <v>0.8</v>
      </c>
      <c r="R48" s="67">
        <f t="shared" si="4"/>
        <v>1.3372876571868</v>
      </c>
      <c r="S48" s="67">
        <f t="shared" si="7"/>
        <v>1.3372876571868</v>
      </c>
      <c r="T48" s="67">
        <f t="shared" si="8"/>
        <v>0</v>
      </c>
      <c r="U48" s="67">
        <f t="shared" si="9"/>
        <v>3.9064294996199784</v>
      </c>
      <c r="V48" s="67">
        <f t="shared" si="10"/>
        <v>1.263567409852234</v>
      </c>
      <c r="W48" s="100">
        <f t="shared" si="11"/>
        <v>0.84237827323482262</v>
      </c>
    </row>
    <row r="49" spans="2:23">
      <c r="B49" s="96">
        <f>Amnt_Deposited!B44</f>
        <v>2030</v>
      </c>
      <c r="C49" s="99">
        <f>Amnt_Deposited!C44</f>
        <v>22.693009418640003</v>
      </c>
      <c r="D49" s="418">
        <f>Dry_Matter_Content!C36</f>
        <v>0.59</v>
      </c>
      <c r="E49" s="284">
        <f>MCF!R48</f>
        <v>0.8</v>
      </c>
      <c r="F49" s="67">
        <f t="shared" si="5"/>
        <v>2.0351090846636355</v>
      </c>
      <c r="G49" s="67">
        <f t="shared" si="0"/>
        <v>2.0351090846636355</v>
      </c>
      <c r="H49" s="67">
        <f t="shared" si="1"/>
        <v>0</v>
      </c>
      <c r="I49" s="67">
        <f t="shared" si="2"/>
        <v>5.9489804450165593</v>
      </c>
      <c r="J49" s="67">
        <f t="shared" si="3"/>
        <v>1.9249385984124039</v>
      </c>
      <c r="K49" s="100">
        <f t="shared" si="6"/>
        <v>1.2832923989416025</v>
      </c>
      <c r="O49" s="96">
        <f>Amnt_Deposited!B44</f>
        <v>2030</v>
      </c>
      <c r="P49" s="99">
        <f>Amnt_Deposited!C44</f>
        <v>22.693009418640003</v>
      </c>
      <c r="Q49" s="284">
        <f>MCF!R48</f>
        <v>0.8</v>
      </c>
      <c r="R49" s="67">
        <f t="shared" si="4"/>
        <v>1.3615805651184001</v>
      </c>
      <c r="S49" s="67">
        <f t="shared" si="7"/>
        <v>1.3615805651184001</v>
      </c>
      <c r="T49" s="67">
        <f t="shared" si="8"/>
        <v>0</v>
      </c>
      <c r="U49" s="67">
        <f t="shared" si="9"/>
        <v>3.9801385671386433</v>
      </c>
      <c r="V49" s="67">
        <f t="shared" si="10"/>
        <v>1.287871497599735</v>
      </c>
      <c r="W49" s="100">
        <f t="shared" si="11"/>
        <v>0.85858099839982327</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3.9877208457686182</v>
      </c>
      <c r="J50" s="67">
        <f t="shared" si="3"/>
        <v>1.9612595992479411</v>
      </c>
      <c r="K50" s="100">
        <f t="shared" si="6"/>
        <v>1.3075063994986273</v>
      </c>
      <c r="O50" s="96">
        <f>Amnt_Deposited!B45</f>
        <v>2031</v>
      </c>
      <c r="P50" s="99">
        <f>Amnt_Deposited!C45</f>
        <v>0</v>
      </c>
      <c r="Q50" s="284">
        <f>MCF!R49</f>
        <v>0.8</v>
      </c>
      <c r="R50" s="67">
        <f t="shared" si="4"/>
        <v>0</v>
      </c>
      <c r="S50" s="67">
        <f t="shared" si="7"/>
        <v>0</v>
      </c>
      <c r="T50" s="67">
        <f t="shared" si="8"/>
        <v>0</v>
      </c>
      <c r="U50" s="67">
        <f t="shared" si="9"/>
        <v>2.6679666675525988</v>
      </c>
      <c r="V50" s="67">
        <f t="shared" si="10"/>
        <v>1.3121718995860443</v>
      </c>
      <c r="W50" s="100">
        <f t="shared" si="11"/>
        <v>0.8747812663906962</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2.6730492209128989</v>
      </c>
      <c r="J51" s="67">
        <f t="shared" ref="J51:J82" si="16">I50*(1-$K$10)+H51</f>
        <v>1.3146716248557195</v>
      </c>
      <c r="K51" s="100">
        <f t="shared" si="6"/>
        <v>0.87644774990381302</v>
      </c>
      <c r="O51" s="96">
        <f>Amnt_Deposited!B46</f>
        <v>2032</v>
      </c>
      <c r="P51" s="99">
        <f>Amnt_Deposited!C46</f>
        <v>0</v>
      </c>
      <c r="Q51" s="284">
        <f>MCF!R50</f>
        <v>0.8</v>
      </c>
      <c r="R51" s="67">
        <f t="shared" ref="R51:R82" si="17">P51*$W$6*DOCF*Q51</f>
        <v>0</v>
      </c>
      <c r="S51" s="67">
        <f t="shared" si="7"/>
        <v>0</v>
      </c>
      <c r="T51" s="67">
        <f t="shared" si="8"/>
        <v>0</v>
      </c>
      <c r="U51" s="67">
        <f t="shared" si="9"/>
        <v>1.7883915394154093</v>
      </c>
      <c r="V51" s="67">
        <f t="shared" si="10"/>
        <v>0.87957512813718952</v>
      </c>
      <c r="W51" s="100">
        <f t="shared" si="11"/>
        <v>0.58638341875812627</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1.7917984768178643</v>
      </c>
      <c r="J52" s="67">
        <f t="shared" si="16"/>
        <v>0.88125074409503468</v>
      </c>
      <c r="K52" s="100">
        <f t="shared" si="6"/>
        <v>0.58750049606335641</v>
      </c>
      <c r="O52" s="96">
        <f>Amnt_Deposited!B47</f>
        <v>2033</v>
      </c>
      <c r="P52" s="99">
        <f>Amnt_Deposited!C47</f>
        <v>0</v>
      </c>
      <c r="Q52" s="284">
        <f>MCF!R51</f>
        <v>0.8</v>
      </c>
      <c r="R52" s="67">
        <f t="shared" si="17"/>
        <v>0</v>
      </c>
      <c r="S52" s="67">
        <f t="shared" si="7"/>
        <v>0</v>
      </c>
      <c r="T52" s="67">
        <f t="shared" si="8"/>
        <v>0</v>
      </c>
      <c r="U52" s="67">
        <f t="shared" si="9"/>
        <v>1.198794699030685</v>
      </c>
      <c r="V52" s="67">
        <f t="shared" si="10"/>
        <v>0.58959684038472426</v>
      </c>
      <c r="W52" s="100">
        <f t="shared" si="11"/>
        <v>0.39306456025648284</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1.2010784374671393</v>
      </c>
      <c r="J53" s="67">
        <f t="shared" si="16"/>
        <v>0.59072003935072503</v>
      </c>
      <c r="K53" s="100">
        <f t="shared" si="6"/>
        <v>0.39381335956715002</v>
      </c>
      <c r="O53" s="96">
        <f>Amnt_Deposited!B48</f>
        <v>2034</v>
      </c>
      <c r="P53" s="99">
        <f>Amnt_Deposited!C48</f>
        <v>0</v>
      </c>
      <c r="Q53" s="284">
        <f>MCF!R52</f>
        <v>0.8</v>
      </c>
      <c r="R53" s="67">
        <f t="shared" si="17"/>
        <v>0</v>
      </c>
      <c r="S53" s="67">
        <f t="shared" si="7"/>
        <v>0</v>
      </c>
      <c r="T53" s="67">
        <f t="shared" si="8"/>
        <v>0</v>
      </c>
      <c r="U53" s="67">
        <f t="shared" si="9"/>
        <v>0.80357611784152916</v>
      </c>
      <c r="V53" s="67">
        <f t="shared" si="10"/>
        <v>0.39521858118915587</v>
      </c>
      <c r="W53" s="100">
        <f t="shared" si="11"/>
        <v>0.2634790541261039</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0.80510695349538652</v>
      </c>
      <c r="J54" s="67">
        <f t="shared" si="16"/>
        <v>0.39597148397175275</v>
      </c>
      <c r="K54" s="100">
        <f t="shared" si="6"/>
        <v>0.26398098931450181</v>
      </c>
      <c r="O54" s="96">
        <f>Amnt_Deposited!B49</f>
        <v>2035</v>
      </c>
      <c r="P54" s="99">
        <f>Amnt_Deposited!C49</f>
        <v>0</v>
      </c>
      <c r="Q54" s="284">
        <f>MCF!R53</f>
        <v>0.8</v>
      </c>
      <c r="R54" s="67">
        <f t="shared" si="17"/>
        <v>0</v>
      </c>
      <c r="S54" s="67">
        <f t="shared" si="7"/>
        <v>0</v>
      </c>
      <c r="T54" s="67">
        <f t="shared" si="8"/>
        <v>0</v>
      </c>
      <c r="U54" s="67">
        <f t="shared" si="9"/>
        <v>0.53865318030467413</v>
      </c>
      <c r="V54" s="67">
        <f t="shared" si="10"/>
        <v>0.26492293753685497</v>
      </c>
      <c r="W54" s="100">
        <f t="shared" si="11"/>
        <v>0.17661529169123663</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0.53967933013064084</v>
      </c>
      <c r="J55" s="67">
        <f t="shared" si="16"/>
        <v>0.26542762336474568</v>
      </c>
      <c r="K55" s="100">
        <f t="shared" si="6"/>
        <v>0.17695174890983045</v>
      </c>
      <c r="O55" s="96">
        <f>Amnt_Deposited!B50</f>
        <v>2036</v>
      </c>
      <c r="P55" s="99">
        <f>Amnt_Deposited!C50</f>
        <v>0</v>
      </c>
      <c r="Q55" s="284">
        <f>MCF!R54</f>
        <v>0.8</v>
      </c>
      <c r="R55" s="67">
        <f t="shared" si="17"/>
        <v>0</v>
      </c>
      <c r="S55" s="67">
        <f t="shared" si="7"/>
        <v>0</v>
      </c>
      <c r="T55" s="67">
        <f t="shared" si="8"/>
        <v>0</v>
      </c>
      <c r="U55" s="67">
        <f t="shared" si="9"/>
        <v>0.36107002461907267</v>
      </c>
      <c r="V55" s="67">
        <f t="shared" si="10"/>
        <v>0.17758315568560143</v>
      </c>
      <c r="W55" s="100">
        <f t="shared" si="11"/>
        <v>0.11838877045706761</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0.36175787341765414</v>
      </c>
      <c r="J56" s="67">
        <f t="shared" si="16"/>
        <v>0.17792145671298668</v>
      </c>
      <c r="K56" s="100">
        <f t="shared" si="6"/>
        <v>0.11861430447532445</v>
      </c>
      <c r="O56" s="96">
        <f>Amnt_Deposited!B51</f>
        <v>2037</v>
      </c>
      <c r="P56" s="99">
        <f>Amnt_Deposited!C51</f>
        <v>0</v>
      </c>
      <c r="Q56" s="284">
        <f>MCF!R55</f>
        <v>0.8</v>
      </c>
      <c r="R56" s="67">
        <f t="shared" si="17"/>
        <v>0</v>
      </c>
      <c r="S56" s="67">
        <f t="shared" si="7"/>
        <v>0</v>
      </c>
      <c r="T56" s="67">
        <f t="shared" si="8"/>
        <v>0</v>
      </c>
      <c r="U56" s="67">
        <f t="shared" si="9"/>
        <v>0.24203247552474622</v>
      </c>
      <c r="V56" s="67">
        <f t="shared" si="10"/>
        <v>0.11903754909432646</v>
      </c>
      <c r="W56" s="100">
        <f t="shared" si="11"/>
        <v>7.9358366062884295E-2</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0.2424935543630769</v>
      </c>
      <c r="J57" s="67">
        <f t="shared" si="16"/>
        <v>0.11926431905457724</v>
      </c>
      <c r="K57" s="100">
        <f t="shared" si="6"/>
        <v>7.9509546036384826E-2</v>
      </c>
      <c r="O57" s="96">
        <f>Amnt_Deposited!B52</f>
        <v>2038</v>
      </c>
      <c r="P57" s="99">
        <f>Amnt_Deposited!C52</f>
        <v>0</v>
      </c>
      <c r="Q57" s="284">
        <f>MCF!R56</f>
        <v>0.8</v>
      </c>
      <c r="R57" s="67">
        <f t="shared" si="17"/>
        <v>0</v>
      </c>
      <c r="S57" s="67">
        <f t="shared" si="7"/>
        <v>0</v>
      </c>
      <c r="T57" s="67">
        <f t="shared" si="8"/>
        <v>0</v>
      </c>
      <c r="U57" s="67">
        <f t="shared" si="9"/>
        <v>0.16223922013586764</v>
      </c>
      <c r="V57" s="67">
        <f t="shared" si="10"/>
        <v>7.9793255388878589E-2</v>
      </c>
      <c r="W57" s="100">
        <f t="shared" si="11"/>
        <v>5.3195503592585722E-2</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0.16254829052400352</v>
      </c>
      <c r="J58" s="67">
        <f t="shared" si="16"/>
        <v>7.9945263839073383E-2</v>
      </c>
      <c r="K58" s="100">
        <f t="shared" si="6"/>
        <v>5.3296842559382253E-2</v>
      </c>
      <c r="O58" s="96">
        <f>Amnt_Deposited!B53</f>
        <v>2039</v>
      </c>
      <c r="P58" s="99">
        <f>Amnt_Deposited!C53</f>
        <v>0</v>
      </c>
      <c r="Q58" s="284">
        <f>MCF!R57</f>
        <v>0.8</v>
      </c>
      <c r="R58" s="67">
        <f t="shared" si="17"/>
        <v>0</v>
      </c>
      <c r="S58" s="67">
        <f t="shared" si="7"/>
        <v>0</v>
      </c>
      <c r="T58" s="67">
        <f t="shared" si="8"/>
        <v>0</v>
      </c>
      <c r="U58" s="67">
        <f t="shared" si="9"/>
        <v>0.10875220151026102</v>
      </c>
      <c r="V58" s="67">
        <f t="shared" si="10"/>
        <v>5.3487018625606619E-2</v>
      </c>
      <c r="W58" s="100">
        <f t="shared" si="11"/>
        <v>3.5658012417071075E-2</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0.10895937758706452</v>
      </c>
      <c r="J59" s="67">
        <f t="shared" si="16"/>
        <v>5.3588912936939001E-2</v>
      </c>
      <c r="K59" s="100">
        <f t="shared" si="6"/>
        <v>3.5725941957959334E-2</v>
      </c>
      <c r="O59" s="96">
        <f>Amnt_Deposited!B54</f>
        <v>2040</v>
      </c>
      <c r="P59" s="99">
        <f>Amnt_Deposited!C54</f>
        <v>0</v>
      </c>
      <c r="Q59" s="284">
        <f>MCF!R58</f>
        <v>0.8</v>
      </c>
      <c r="R59" s="67">
        <f t="shared" si="17"/>
        <v>0</v>
      </c>
      <c r="S59" s="67">
        <f t="shared" si="7"/>
        <v>0</v>
      </c>
      <c r="T59" s="67">
        <f t="shared" si="8"/>
        <v>0</v>
      </c>
      <c r="U59" s="67">
        <f t="shared" si="9"/>
        <v>7.2898780722835288E-2</v>
      </c>
      <c r="V59" s="67">
        <f t="shared" si="10"/>
        <v>3.5853420787425726E-2</v>
      </c>
      <c r="W59" s="100">
        <f t="shared" si="11"/>
        <v>2.3902280524950484E-2</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7.30376550001757E-2</v>
      </c>
      <c r="J60" s="67">
        <f t="shared" si="16"/>
        <v>3.5921722586888825E-2</v>
      </c>
      <c r="K60" s="100">
        <f t="shared" si="6"/>
        <v>2.3947815057925884E-2</v>
      </c>
      <c r="O60" s="96">
        <f>Amnt_Deposited!B55</f>
        <v>2041</v>
      </c>
      <c r="P60" s="99">
        <f>Amnt_Deposited!C55</f>
        <v>0</v>
      </c>
      <c r="Q60" s="284">
        <f>MCF!R59</f>
        <v>0.8</v>
      </c>
      <c r="R60" s="67">
        <f t="shared" si="17"/>
        <v>0</v>
      </c>
      <c r="S60" s="67">
        <f t="shared" si="7"/>
        <v>0</v>
      </c>
      <c r="T60" s="67">
        <f t="shared" si="8"/>
        <v>0</v>
      </c>
      <c r="U60" s="67">
        <f t="shared" si="9"/>
        <v>4.8865514050072924E-2</v>
      </c>
      <c r="V60" s="67">
        <f t="shared" si="10"/>
        <v>2.4033266672762361E-2</v>
      </c>
      <c r="W60" s="100">
        <f t="shared" si="11"/>
        <v>1.6022177781841573E-2</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4.8958604262052917E-2</v>
      </c>
      <c r="J61" s="67">
        <f t="shared" si="16"/>
        <v>2.4079050738122783E-2</v>
      </c>
      <c r="K61" s="100">
        <f t="shared" si="6"/>
        <v>1.6052700492081854E-2</v>
      </c>
      <c r="O61" s="96">
        <f>Amnt_Deposited!B56</f>
        <v>2042</v>
      </c>
      <c r="P61" s="99">
        <f>Amnt_Deposited!C56</f>
        <v>0</v>
      </c>
      <c r="Q61" s="284">
        <f>MCF!R60</f>
        <v>0.8</v>
      </c>
      <c r="R61" s="67">
        <f t="shared" si="17"/>
        <v>0</v>
      </c>
      <c r="S61" s="67">
        <f t="shared" si="7"/>
        <v>0</v>
      </c>
      <c r="T61" s="67">
        <f t="shared" si="8"/>
        <v>0</v>
      </c>
      <c r="U61" s="67">
        <f t="shared" si="9"/>
        <v>3.2755533627600066E-2</v>
      </c>
      <c r="V61" s="67">
        <f t="shared" si="10"/>
        <v>1.6109980422472862E-2</v>
      </c>
      <c r="W61" s="100">
        <f t="shared" si="11"/>
        <v>1.0739986948315241E-2</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3.2817933862779959E-2</v>
      </c>
      <c r="J62" s="67">
        <f t="shared" si="16"/>
        <v>1.6140670399272958E-2</v>
      </c>
      <c r="K62" s="100">
        <f t="shared" si="6"/>
        <v>1.0760446932848639E-2</v>
      </c>
      <c r="O62" s="96">
        <f>Amnt_Deposited!B57</f>
        <v>2043</v>
      </c>
      <c r="P62" s="99">
        <f>Amnt_Deposited!C57</f>
        <v>0</v>
      </c>
      <c r="Q62" s="284">
        <f>MCF!R61</f>
        <v>0.8</v>
      </c>
      <c r="R62" s="67">
        <f t="shared" si="17"/>
        <v>0</v>
      </c>
      <c r="S62" s="67">
        <f t="shared" si="7"/>
        <v>0</v>
      </c>
      <c r="T62" s="67">
        <f t="shared" si="8"/>
        <v>0</v>
      </c>
      <c r="U62" s="67">
        <f t="shared" si="9"/>
        <v>2.1956690809174808E-2</v>
      </c>
      <c r="V62" s="67">
        <f t="shared" si="10"/>
        <v>1.0798842818425258E-2</v>
      </c>
      <c r="W62" s="100">
        <f t="shared" si="11"/>
        <v>7.1992285456168384E-3</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2.199851893769323E-2</v>
      </c>
      <c r="J63" s="67">
        <f t="shared" si="16"/>
        <v>1.0819414925086731E-2</v>
      </c>
      <c r="K63" s="100">
        <f t="shared" si="6"/>
        <v>7.2129432833911537E-3</v>
      </c>
      <c r="O63" s="96">
        <f>Amnt_Deposited!B58</f>
        <v>2044</v>
      </c>
      <c r="P63" s="99">
        <f>Amnt_Deposited!C58</f>
        <v>0</v>
      </c>
      <c r="Q63" s="284">
        <f>MCF!R62</f>
        <v>0.8</v>
      </c>
      <c r="R63" s="67">
        <f t="shared" si="17"/>
        <v>0</v>
      </c>
      <c r="S63" s="67">
        <f t="shared" si="7"/>
        <v>0</v>
      </c>
      <c r="T63" s="67">
        <f t="shared" si="8"/>
        <v>0</v>
      </c>
      <c r="U63" s="67">
        <f t="shared" si="9"/>
        <v>1.4718009993996356E-2</v>
      </c>
      <c r="V63" s="67">
        <f t="shared" si="10"/>
        <v>7.2386808151784516E-3</v>
      </c>
      <c r="W63" s="100">
        <f t="shared" si="11"/>
        <v>4.8257872101189671E-3</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1.474604822703041E-2</v>
      </c>
      <c r="J64" s="67">
        <f t="shared" si="16"/>
        <v>7.2524707106628207E-3</v>
      </c>
      <c r="K64" s="100">
        <f t="shared" si="6"/>
        <v>4.8349804737752135E-3</v>
      </c>
      <c r="O64" s="96">
        <f>Amnt_Deposited!B59</f>
        <v>2045</v>
      </c>
      <c r="P64" s="99">
        <f>Amnt_Deposited!C59</f>
        <v>0</v>
      </c>
      <c r="Q64" s="284">
        <f>MCF!R63</f>
        <v>0.8</v>
      </c>
      <c r="R64" s="67">
        <f t="shared" si="17"/>
        <v>0</v>
      </c>
      <c r="S64" s="67">
        <f t="shared" si="7"/>
        <v>0</v>
      </c>
      <c r="T64" s="67">
        <f t="shared" si="8"/>
        <v>0</v>
      </c>
      <c r="U64" s="67">
        <f t="shared" si="9"/>
        <v>9.865777136728638E-3</v>
      </c>
      <c r="V64" s="67">
        <f t="shared" si="10"/>
        <v>4.8522328572677192E-3</v>
      </c>
      <c r="W64" s="100">
        <f t="shared" si="11"/>
        <v>3.234821904845146E-3</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9.8845717263867823E-3</v>
      </c>
      <c r="J65" s="67">
        <f t="shared" si="16"/>
        <v>4.8614765006436281E-3</v>
      </c>
      <c r="K65" s="100">
        <f t="shared" si="6"/>
        <v>3.2409843337624184E-3</v>
      </c>
      <c r="O65" s="96">
        <f>Amnt_Deposited!B60</f>
        <v>2046</v>
      </c>
      <c r="P65" s="99">
        <f>Amnt_Deposited!C60</f>
        <v>0</v>
      </c>
      <c r="Q65" s="284">
        <f>MCF!R64</f>
        <v>0.8</v>
      </c>
      <c r="R65" s="67">
        <f t="shared" si="17"/>
        <v>0</v>
      </c>
      <c r="S65" s="67">
        <f t="shared" si="7"/>
        <v>0</v>
      </c>
      <c r="T65" s="67">
        <f t="shared" si="8"/>
        <v>0</v>
      </c>
      <c r="U65" s="67">
        <f t="shared" si="9"/>
        <v>6.6132281844692989E-3</v>
      </c>
      <c r="V65" s="67">
        <f t="shared" si="10"/>
        <v>3.2525489522593396E-3</v>
      </c>
      <c r="W65" s="100">
        <f t="shared" si="11"/>
        <v>2.1683659681728928E-3</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6.6258265746741672E-3</v>
      </c>
      <c r="J66" s="67">
        <f t="shared" si="16"/>
        <v>3.2587451517126155E-3</v>
      </c>
      <c r="K66" s="100">
        <f t="shared" si="6"/>
        <v>2.1724967678084101E-3</v>
      </c>
      <c r="O66" s="96">
        <f>Amnt_Deposited!B61</f>
        <v>2047</v>
      </c>
      <c r="P66" s="99">
        <f>Amnt_Deposited!C61</f>
        <v>0</v>
      </c>
      <c r="Q66" s="284">
        <f>MCF!R65</f>
        <v>0.8</v>
      </c>
      <c r="R66" s="67">
        <f t="shared" si="17"/>
        <v>0</v>
      </c>
      <c r="S66" s="67">
        <f t="shared" si="7"/>
        <v>0</v>
      </c>
      <c r="T66" s="67">
        <f t="shared" si="8"/>
        <v>0</v>
      </c>
      <c r="U66" s="67">
        <f t="shared" si="9"/>
        <v>4.432979421057648E-3</v>
      </c>
      <c r="V66" s="67">
        <f t="shared" si="10"/>
        <v>2.1802487634116508E-3</v>
      </c>
      <c r="W66" s="100">
        <f t="shared" si="11"/>
        <v>1.4534991756077671E-3</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4.4414243745597498E-3</v>
      </c>
      <c r="J67" s="67">
        <f t="shared" si="16"/>
        <v>2.184402200114417E-3</v>
      </c>
      <c r="K67" s="100">
        <f t="shared" si="6"/>
        <v>1.4562681334096112E-3</v>
      </c>
      <c r="O67" s="96">
        <f>Amnt_Deposited!B62</f>
        <v>2048</v>
      </c>
      <c r="P67" s="99">
        <f>Amnt_Deposited!C62</f>
        <v>0</v>
      </c>
      <c r="Q67" s="284">
        <f>MCF!R66</f>
        <v>0.8</v>
      </c>
      <c r="R67" s="67">
        <f t="shared" si="17"/>
        <v>0</v>
      </c>
      <c r="S67" s="67">
        <f t="shared" si="7"/>
        <v>0</v>
      </c>
      <c r="T67" s="67">
        <f t="shared" si="8"/>
        <v>0</v>
      </c>
      <c r="U67" s="67">
        <f t="shared" si="9"/>
        <v>2.9715149695984044E-3</v>
      </c>
      <c r="V67" s="67">
        <f t="shared" si="10"/>
        <v>1.4614644514592437E-3</v>
      </c>
      <c r="W67" s="100">
        <f t="shared" si="11"/>
        <v>9.7430963430616242E-4</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2.977175791218702E-3</v>
      </c>
      <c r="J68" s="67">
        <f t="shared" si="16"/>
        <v>1.4642485833410478E-3</v>
      </c>
      <c r="K68" s="100">
        <f t="shared" si="6"/>
        <v>9.7616572222736513E-4</v>
      </c>
      <c r="O68" s="96">
        <f>Amnt_Deposited!B63</f>
        <v>2049</v>
      </c>
      <c r="P68" s="99">
        <f>Amnt_Deposited!C63</f>
        <v>0</v>
      </c>
      <c r="Q68" s="284">
        <f>MCF!R67</f>
        <v>0.8</v>
      </c>
      <c r="R68" s="67">
        <f t="shared" si="17"/>
        <v>0</v>
      </c>
      <c r="S68" s="67">
        <f t="shared" si="7"/>
        <v>0</v>
      </c>
      <c r="T68" s="67">
        <f t="shared" si="8"/>
        <v>0</v>
      </c>
      <c r="U68" s="67">
        <f t="shared" si="9"/>
        <v>1.9918660512167939E-3</v>
      </c>
      <c r="V68" s="67">
        <f t="shared" si="10"/>
        <v>9.7964891838161062E-4</v>
      </c>
      <c r="W68" s="100">
        <f t="shared" si="11"/>
        <v>6.5309927892107371E-4</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1.9956606134259114E-3</v>
      </c>
      <c r="J69" s="67">
        <f t="shared" si="16"/>
        <v>9.8151517779279077E-4</v>
      </c>
      <c r="K69" s="100">
        <f t="shared" si="6"/>
        <v>6.5434345186186048E-4</v>
      </c>
      <c r="O69" s="96">
        <f>Amnt_Deposited!B64</f>
        <v>2050</v>
      </c>
      <c r="P69" s="99">
        <f>Amnt_Deposited!C64</f>
        <v>0</v>
      </c>
      <c r="Q69" s="284">
        <f>MCF!R68</f>
        <v>0.8</v>
      </c>
      <c r="R69" s="67">
        <f t="shared" si="17"/>
        <v>0</v>
      </c>
      <c r="S69" s="67">
        <f t="shared" si="7"/>
        <v>0</v>
      </c>
      <c r="T69" s="67">
        <f t="shared" si="8"/>
        <v>0</v>
      </c>
      <c r="U69" s="67">
        <f t="shared" si="9"/>
        <v>1.3351877431484684E-3</v>
      </c>
      <c r="V69" s="67">
        <f t="shared" si="10"/>
        <v>6.5667830806832546E-4</v>
      </c>
      <c r="W69" s="100">
        <f t="shared" si="11"/>
        <v>4.3778553871221698E-4</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1.3377313142631691E-3</v>
      </c>
      <c r="J70" s="67">
        <f t="shared" si="16"/>
        <v>6.5792929916274224E-4</v>
      </c>
      <c r="K70" s="100">
        <f t="shared" si="6"/>
        <v>4.3861953277516145E-4</v>
      </c>
      <c r="O70" s="96">
        <f>Amnt_Deposited!B65</f>
        <v>2051</v>
      </c>
      <c r="P70" s="99">
        <f>Amnt_Deposited!C65</f>
        <v>0</v>
      </c>
      <c r="Q70" s="284">
        <f>MCF!R69</f>
        <v>0.8</v>
      </c>
      <c r="R70" s="67">
        <f t="shared" si="17"/>
        <v>0</v>
      </c>
      <c r="S70" s="67">
        <f t="shared" si="7"/>
        <v>0</v>
      </c>
      <c r="T70" s="67">
        <f t="shared" si="8"/>
        <v>0</v>
      </c>
      <c r="U70" s="67">
        <f t="shared" si="9"/>
        <v>8.9500310945350269E-4</v>
      </c>
      <c r="V70" s="67">
        <f t="shared" si="10"/>
        <v>4.4018463369496568E-4</v>
      </c>
      <c r="W70" s="100">
        <f t="shared" si="11"/>
        <v>2.9345642246331042E-4</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8.9670811616020382E-4</v>
      </c>
      <c r="J71" s="67">
        <f t="shared" si="16"/>
        <v>4.4102319810296526E-4</v>
      </c>
      <c r="K71" s="100">
        <f t="shared" si="6"/>
        <v>2.9401546540197684E-4</v>
      </c>
      <c r="O71" s="96">
        <f>Amnt_Deposited!B66</f>
        <v>2052</v>
      </c>
      <c r="P71" s="99">
        <f>Amnt_Deposited!C66</f>
        <v>0</v>
      </c>
      <c r="Q71" s="284">
        <f>MCF!R70</f>
        <v>0.8</v>
      </c>
      <c r="R71" s="67">
        <f t="shared" si="17"/>
        <v>0</v>
      </c>
      <c r="S71" s="67">
        <f t="shared" si="7"/>
        <v>0</v>
      </c>
      <c r="T71" s="67">
        <f t="shared" si="8"/>
        <v>0</v>
      </c>
      <c r="U71" s="67">
        <f t="shared" si="9"/>
        <v>5.9993852553091225E-4</v>
      </c>
      <c r="V71" s="67">
        <f t="shared" si="10"/>
        <v>2.9506458392259045E-4</v>
      </c>
      <c r="W71" s="100">
        <f t="shared" si="11"/>
        <v>1.9670972261506028E-4</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6.010814257050392E-4</v>
      </c>
      <c r="J72" s="67">
        <f t="shared" si="16"/>
        <v>2.9562669045516456E-4</v>
      </c>
      <c r="K72" s="100">
        <f t="shared" si="6"/>
        <v>1.9708446030344302E-4</v>
      </c>
      <c r="O72" s="96">
        <f>Amnt_Deposited!B67</f>
        <v>2053</v>
      </c>
      <c r="P72" s="99">
        <f>Amnt_Deposited!C67</f>
        <v>0</v>
      </c>
      <c r="Q72" s="284">
        <f>MCF!R71</f>
        <v>0.8</v>
      </c>
      <c r="R72" s="67">
        <f t="shared" si="17"/>
        <v>0</v>
      </c>
      <c r="S72" s="67">
        <f t="shared" si="7"/>
        <v>0</v>
      </c>
      <c r="T72" s="67">
        <f t="shared" si="8"/>
        <v>0</v>
      </c>
      <c r="U72" s="67">
        <f t="shared" si="9"/>
        <v>4.0215082005243469E-4</v>
      </c>
      <c r="V72" s="67">
        <f t="shared" si="10"/>
        <v>1.9778770547847758E-4</v>
      </c>
      <c r="W72" s="100">
        <f t="shared" si="11"/>
        <v>1.3185847031898503E-4</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4.0291692894976961E-4</v>
      </c>
      <c r="J73" s="67">
        <f t="shared" si="16"/>
        <v>1.9816449675526959E-4</v>
      </c>
      <c r="K73" s="100">
        <f t="shared" si="6"/>
        <v>1.3210966450351305E-4</v>
      </c>
      <c r="O73" s="96">
        <f>Amnt_Deposited!B68</f>
        <v>2054</v>
      </c>
      <c r="P73" s="99">
        <f>Amnt_Deposited!C68</f>
        <v>0</v>
      </c>
      <c r="Q73" s="284">
        <f>MCF!R72</f>
        <v>0.8</v>
      </c>
      <c r="R73" s="67">
        <f t="shared" si="17"/>
        <v>0</v>
      </c>
      <c r="S73" s="67">
        <f t="shared" si="7"/>
        <v>0</v>
      </c>
      <c r="T73" s="67">
        <f t="shared" si="8"/>
        <v>0</v>
      </c>
      <c r="U73" s="67">
        <f t="shared" si="9"/>
        <v>2.6956975621081813E-4</v>
      </c>
      <c r="V73" s="67">
        <f t="shared" si="10"/>
        <v>1.3258106384161656E-4</v>
      </c>
      <c r="W73" s="100">
        <f t="shared" si="11"/>
        <v>8.8387375894411036E-5</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2.70083294362148E-4</v>
      </c>
      <c r="J74" s="67">
        <f t="shared" si="16"/>
        <v>1.3283363458762163E-4</v>
      </c>
      <c r="K74" s="100">
        <f t="shared" si="6"/>
        <v>8.8555756391747747E-5</v>
      </c>
      <c r="O74" s="96">
        <f>Amnt_Deposited!B69</f>
        <v>2055</v>
      </c>
      <c r="P74" s="99">
        <f>Amnt_Deposited!C69</f>
        <v>0</v>
      </c>
      <c r="Q74" s="284">
        <f>MCF!R73</f>
        <v>0.8</v>
      </c>
      <c r="R74" s="67">
        <f t="shared" si="17"/>
        <v>0</v>
      </c>
      <c r="S74" s="67">
        <f t="shared" si="7"/>
        <v>0</v>
      </c>
      <c r="T74" s="67">
        <f t="shared" si="8"/>
        <v>0</v>
      </c>
      <c r="U74" s="67">
        <f t="shared" si="9"/>
        <v>1.8069801139305167E-4</v>
      </c>
      <c r="V74" s="67">
        <f t="shared" si="10"/>
        <v>8.8871744817766446E-5</v>
      </c>
      <c r="W74" s="100">
        <f t="shared" si="11"/>
        <v>5.924782987851096E-5</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1.8104224631029217E-4</v>
      </c>
      <c r="J75" s="67">
        <f t="shared" si="16"/>
        <v>8.9041048051855819E-5</v>
      </c>
      <c r="K75" s="100">
        <f t="shared" si="6"/>
        <v>5.9360698701237208E-5</v>
      </c>
      <c r="O75" s="96">
        <f>Amnt_Deposited!B70</f>
        <v>2056</v>
      </c>
      <c r="P75" s="99">
        <f>Amnt_Deposited!C70</f>
        <v>0</v>
      </c>
      <c r="Q75" s="284">
        <f>MCF!R74</f>
        <v>0.8</v>
      </c>
      <c r="R75" s="67">
        <f t="shared" si="17"/>
        <v>0</v>
      </c>
      <c r="S75" s="67">
        <f t="shared" si="7"/>
        <v>0</v>
      </c>
      <c r="T75" s="67">
        <f t="shared" si="8"/>
        <v>0</v>
      </c>
      <c r="U75" s="67">
        <f t="shared" si="9"/>
        <v>1.2112549931553888E-4</v>
      </c>
      <c r="V75" s="67">
        <f t="shared" si="10"/>
        <v>5.9572512077512797E-5</v>
      </c>
      <c r="W75" s="100">
        <f t="shared" si="11"/>
        <v>3.9715008051675193E-5</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1.213562468811106E-4</v>
      </c>
      <c r="J76" s="67">
        <f t="shared" si="16"/>
        <v>5.9685999429181567E-5</v>
      </c>
      <c r="K76" s="100">
        <f t="shared" si="6"/>
        <v>3.979066628612104E-5</v>
      </c>
      <c r="O76" s="96">
        <f>Amnt_Deposited!B71</f>
        <v>2057</v>
      </c>
      <c r="P76" s="99">
        <f>Amnt_Deposited!C71</f>
        <v>0</v>
      </c>
      <c r="Q76" s="284">
        <f>MCF!R75</f>
        <v>0.8</v>
      </c>
      <c r="R76" s="67">
        <f t="shared" si="17"/>
        <v>0</v>
      </c>
      <c r="S76" s="67">
        <f t="shared" si="7"/>
        <v>0</v>
      </c>
      <c r="T76" s="67">
        <f t="shared" si="8"/>
        <v>0</v>
      </c>
      <c r="U76" s="67">
        <f t="shared" si="9"/>
        <v>8.1192850277281829E-5</v>
      </c>
      <c r="V76" s="67">
        <f t="shared" si="10"/>
        <v>3.9932649038257061E-5</v>
      </c>
      <c r="W76" s="100">
        <f t="shared" si="11"/>
        <v>2.6621766025504708E-5</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8.1347524996058473E-5</v>
      </c>
      <c r="J77" s="67">
        <f t="shared" si="16"/>
        <v>4.0008721885052129E-5</v>
      </c>
      <c r="K77" s="100">
        <f t="shared" si="6"/>
        <v>2.6672481256701419E-5</v>
      </c>
      <c r="O77" s="96">
        <f>Amnt_Deposited!B72</f>
        <v>2058</v>
      </c>
      <c r="P77" s="99">
        <f>Amnt_Deposited!C72</f>
        <v>0</v>
      </c>
      <c r="Q77" s="284">
        <f>MCF!R76</f>
        <v>0.8</v>
      </c>
      <c r="R77" s="67">
        <f t="shared" si="17"/>
        <v>0</v>
      </c>
      <c r="S77" s="67">
        <f t="shared" si="7"/>
        <v>0</v>
      </c>
      <c r="T77" s="67">
        <f t="shared" si="8"/>
        <v>0</v>
      </c>
      <c r="U77" s="67">
        <f t="shared" si="9"/>
        <v>5.4425195135632325E-5</v>
      </c>
      <c r="V77" s="67">
        <f t="shared" si="10"/>
        <v>2.6767655141649501E-5</v>
      </c>
      <c r="W77" s="100">
        <f t="shared" si="11"/>
        <v>1.7845103427766334E-5</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5.4528876700243235E-5</v>
      </c>
      <c r="J78" s="67">
        <f t="shared" si="16"/>
        <v>2.6818648295815238E-5</v>
      </c>
      <c r="K78" s="100">
        <f t="shared" si="6"/>
        <v>1.7879098863876825E-5</v>
      </c>
      <c r="O78" s="96">
        <f>Amnt_Deposited!B73</f>
        <v>2059</v>
      </c>
      <c r="P78" s="99">
        <f>Amnt_Deposited!C73</f>
        <v>0</v>
      </c>
      <c r="Q78" s="284">
        <f>MCF!R77</f>
        <v>0.8</v>
      </c>
      <c r="R78" s="67">
        <f t="shared" si="17"/>
        <v>0</v>
      </c>
      <c r="S78" s="67">
        <f t="shared" si="7"/>
        <v>0</v>
      </c>
      <c r="T78" s="67">
        <f t="shared" si="8"/>
        <v>0</v>
      </c>
      <c r="U78" s="67">
        <f t="shared" si="9"/>
        <v>3.6482299308815716E-5</v>
      </c>
      <c r="V78" s="67">
        <f t="shared" si="10"/>
        <v>1.7942895826816612E-5</v>
      </c>
      <c r="W78" s="100">
        <f t="shared" si="11"/>
        <v>1.1961930551211075E-5</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3.6551799139978749E-5</v>
      </c>
      <c r="J79" s="67">
        <f t="shared" si="16"/>
        <v>1.797707756026449E-5</v>
      </c>
      <c r="K79" s="100">
        <f t="shared" si="6"/>
        <v>1.1984718373509659E-5</v>
      </c>
      <c r="O79" s="96">
        <f>Amnt_Deposited!B74</f>
        <v>2060</v>
      </c>
      <c r="P79" s="99">
        <f>Amnt_Deposited!C74</f>
        <v>0</v>
      </c>
      <c r="Q79" s="284">
        <f>MCF!R78</f>
        <v>0.8</v>
      </c>
      <c r="R79" s="67">
        <f t="shared" si="17"/>
        <v>0</v>
      </c>
      <c r="S79" s="67">
        <f t="shared" si="7"/>
        <v>0</v>
      </c>
      <c r="T79" s="67">
        <f t="shared" si="8"/>
        <v>0</v>
      </c>
      <c r="U79" s="67">
        <f t="shared" si="9"/>
        <v>2.4454816552171324E-5</v>
      </c>
      <c r="V79" s="67">
        <f t="shared" si="10"/>
        <v>1.2027482756644391E-5</v>
      </c>
      <c r="W79" s="100">
        <f t="shared" si="11"/>
        <v>8.0183218377629271E-6</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2.4501403682195996E-5</v>
      </c>
      <c r="J80" s="67">
        <f t="shared" si="16"/>
        <v>1.2050395457782751E-5</v>
      </c>
      <c r="K80" s="100">
        <f t="shared" si="6"/>
        <v>8.0335969718551676E-6</v>
      </c>
      <c r="O80" s="96">
        <f>Amnt_Deposited!B75</f>
        <v>2061</v>
      </c>
      <c r="P80" s="99">
        <f>Amnt_Deposited!C75</f>
        <v>0</v>
      </c>
      <c r="Q80" s="284">
        <f>MCF!R79</f>
        <v>0.8</v>
      </c>
      <c r="R80" s="67">
        <f t="shared" si="17"/>
        <v>0</v>
      </c>
      <c r="S80" s="67">
        <f t="shared" si="7"/>
        <v>0</v>
      </c>
      <c r="T80" s="67">
        <f t="shared" si="8"/>
        <v>0</v>
      </c>
      <c r="U80" s="67">
        <f t="shared" si="9"/>
        <v>1.6392553757044598E-5</v>
      </c>
      <c r="V80" s="67">
        <f t="shared" si="10"/>
        <v>8.0622627951267277E-6</v>
      </c>
      <c r="W80" s="100">
        <f t="shared" si="11"/>
        <v>5.3748418634178182E-6</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1.6423782044187403E-5</v>
      </c>
      <c r="J81" s="67">
        <f t="shared" si="16"/>
        <v>8.0776216380085935E-6</v>
      </c>
      <c r="K81" s="100">
        <f t="shared" si="6"/>
        <v>5.3850810920057284E-6</v>
      </c>
      <c r="O81" s="96">
        <f>Amnt_Deposited!B76</f>
        <v>2062</v>
      </c>
      <c r="P81" s="99">
        <f>Amnt_Deposited!C76</f>
        <v>0</v>
      </c>
      <c r="Q81" s="284">
        <f>MCF!R80</f>
        <v>0.8</v>
      </c>
      <c r="R81" s="67">
        <f t="shared" si="17"/>
        <v>0</v>
      </c>
      <c r="S81" s="67">
        <f t="shared" si="7"/>
        <v>0</v>
      </c>
      <c r="T81" s="67">
        <f t="shared" si="8"/>
        <v>0</v>
      </c>
      <c r="U81" s="67">
        <f t="shared" si="9"/>
        <v>1.0988257389063827E-5</v>
      </c>
      <c r="V81" s="67">
        <f t="shared" si="10"/>
        <v>5.4042963679807711E-6</v>
      </c>
      <c r="W81" s="100">
        <f t="shared" si="11"/>
        <v>3.6028642453205139E-6</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1.1009190335939007E-5</v>
      </c>
      <c r="J82" s="67">
        <f t="shared" si="16"/>
        <v>5.4145917082483964E-6</v>
      </c>
      <c r="K82" s="100">
        <f t="shared" si="6"/>
        <v>3.6097278054989307E-6</v>
      </c>
      <c r="O82" s="96">
        <f>Amnt_Deposited!B77</f>
        <v>2063</v>
      </c>
      <c r="P82" s="99">
        <f>Amnt_Deposited!C77</f>
        <v>0</v>
      </c>
      <c r="Q82" s="284">
        <f>MCF!R81</f>
        <v>0.8</v>
      </c>
      <c r="R82" s="67">
        <f t="shared" si="17"/>
        <v>0</v>
      </c>
      <c r="S82" s="67">
        <f t="shared" si="7"/>
        <v>0</v>
      </c>
      <c r="T82" s="67">
        <f t="shared" si="8"/>
        <v>0</v>
      </c>
      <c r="U82" s="67">
        <f t="shared" si="9"/>
        <v>7.3656491988887182E-6</v>
      </c>
      <c r="V82" s="67">
        <f t="shared" si="10"/>
        <v>3.6226081901751085E-6</v>
      </c>
      <c r="W82" s="100">
        <f t="shared" si="11"/>
        <v>2.4150721267834054E-6</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7.3796809728017504E-6</v>
      </c>
      <c r="J83" s="67">
        <f t="shared" ref="J83:J99" si="22">I82*(1-$K$10)+H83</f>
        <v>3.6295093631372561E-6</v>
      </c>
      <c r="K83" s="100">
        <f t="shared" si="6"/>
        <v>2.4196729087581706E-6</v>
      </c>
      <c r="O83" s="96">
        <f>Amnt_Deposited!B78</f>
        <v>2064</v>
      </c>
      <c r="P83" s="99">
        <f>Amnt_Deposited!C78</f>
        <v>0</v>
      </c>
      <c r="Q83" s="284">
        <f>MCF!R82</f>
        <v>0.8</v>
      </c>
      <c r="R83" s="67">
        <f t="shared" ref="R83:R99" si="23">P83*$W$6*DOCF*Q83</f>
        <v>0</v>
      </c>
      <c r="S83" s="67">
        <f t="shared" si="7"/>
        <v>0</v>
      </c>
      <c r="T83" s="67">
        <f t="shared" si="8"/>
        <v>0</v>
      </c>
      <c r="U83" s="67">
        <f t="shared" si="9"/>
        <v>4.9373423100814554E-6</v>
      </c>
      <c r="V83" s="67">
        <f t="shared" si="10"/>
        <v>2.4283068888072627E-6</v>
      </c>
      <c r="W83" s="100">
        <f t="shared" si="11"/>
        <v>1.6188712592048417E-6</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4.946748089416801E-6</v>
      </c>
      <c r="J84" s="67">
        <f t="shared" si="22"/>
        <v>2.4329328833849494E-6</v>
      </c>
      <c r="K84" s="100">
        <f t="shared" si="6"/>
        <v>1.6219552555899662E-6</v>
      </c>
      <c r="O84" s="96">
        <f>Amnt_Deposited!B79</f>
        <v>2065</v>
      </c>
      <c r="P84" s="99">
        <f>Amnt_Deposited!C79</f>
        <v>0</v>
      </c>
      <c r="Q84" s="284">
        <f>MCF!R83</f>
        <v>0.8</v>
      </c>
      <c r="R84" s="67">
        <f t="shared" si="23"/>
        <v>0</v>
      </c>
      <c r="S84" s="67">
        <f t="shared" si="7"/>
        <v>0</v>
      </c>
      <c r="T84" s="67">
        <f t="shared" si="8"/>
        <v>0</v>
      </c>
      <c r="U84" s="67">
        <f t="shared" si="9"/>
        <v>3.309599524587511E-6</v>
      </c>
      <c r="V84" s="67">
        <f t="shared" si="10"/>
        <v>1.6277427854939445E-6</v>
      </c>
      <c r="W84" s="100">
        <f t="shared" si="11"/>
        <v>1.0851618569959629E-6</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3.3159044070245808E-6</v>
      </c>
      <c r="J85" s="67">
        <f t="shared" si="22"/>
        <v>1.6308436823922201E-6</v>
      </c>
      <c r="K85" s="100">
        <f t="shared" ref="K85:K99" si="24">J85*CH4_fraction*conv</f>
        <v>1.0872291215948132E-6</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2.2184909056810305E-6</v>
      </c>
      <c r="V85" s="67">
        <f t="shared" ref="V85:V98" si="28">U84*(1-$W$10)+T85</f>
        <v>1.0911086189064806E-6</v>
      </c>
      <c r="W85" s="100">
        <f t="shared" ref="W85:W99" si="29">V85*CH4_fraction*conv</f>
        <v>7.2740574593765372E-7</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2.2227171947664964E-6</v>
      </c>
      <c r="J86" s="67">
        <f t="shared" si="22"/>
        <v>1.0931872122580845E-6</v>
      </c>
      <c r="K86" s="100">
        <f t="shared" si="24"/>
        <v>7.2879147483872303E-7</v>
      </c>
      <c r="O86" s="96">
        <f>Amnt_Deposited!B81</f>
        <v>2067</v>
      </c>
      <c r="P86" s="99">
        <f>Amnt_Deposited!C81</f>
        <v>0</v>
      </c>
      <c r="Q86" s="284">
        <f>MCF!R85</f>
        <v>0.8</v>
      </c>
      <c r="R86" s="67">
        <f t="shared" si="23"/>
        <v>0</v>
      </c>
      <c r="S86" s="67">
        <f t="shared" si="25"/>
        <v>0</v>
      </c>
      <c r="T86" s="67">
        <f t="shared" si="26"/>
        <v>0</v>
      </c>
      <c r="U86" s="67">
        <f t="shared" si="27"/>
        <v>1.4870989260257556E-6</v>
      </c>
      <c r="V86" s="67">
        <f t="shared" si="28"/>
        <v>7.3139197965527498E-7</v>
      </c>
      <c r="W86" s="100">
        <f t="shared" si="29"/>
        <v>4.8759465310351662E-7</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1.4899318923200851E-6</v>
      </c>
      <c r="J87" s="67">
        <f t="shared" si="22"/>
        <v>7.3278530244641139E-7</v>
      </c>
      <c r="K87" s="100">
        <f t="shared" si="24"/>
        <v>4.8852353496427426E-7</v>
      </c>
      <c r="O87" s="96">
        <f>Amnt_Deposited!B82</f>
        <v>2068</v>
      </c>
      <c r="P87" s="99">
        <f>Amnt_Deposited!C82</f>
        <v>0</v>
      </c>
      <c r="Q87" s="284">
        <f>MCF!R86</f>
        <v>0.8</v>
      </c>
      <c r="R87" s="67">
        <f t="shared" si="23"/>
        <v>0</v>
      </c>
      <c r="S87" s="67">
        <f t="shared" si="25"/>
        <v>0</v>
      </c>
      <c r="T87" s="67">
        <f t="shared" si="26"/>
        <v>0</v>
      </c>
      <c r="U87" s="67">
        <f t="shared" si="27"/>
        <v>9.9683222055313424E-7</v>
      </c>
      <c r="V87" s="67">
        <f t="shared" si="28"/>
        <v>4.9026670547262132E-7</v>
      </c>
      <c r="W87" s="100">
        <f t="shared" si="29"/>
        <v>3.2684447031508085E-7</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9.9873121464996672E-7</v>
      </c>
      <c r="J88" s="67">
        <f t="shared" si="22"/>
        <v>4.9120067767011844E-7</v>
      </c>
      <c r="K88" s="100">
        <f t="shared" si="24"/>
        <v>3.2746711844674559E-7</v>
      </c>
      <c r="O88" s="96">
        <f>Amnt_Deposited!B83</f>
        <v>2069</v>
      </c>
      <c r="P88" s="99">
        <f>Amnt_Deposited!C83</f>
        <v>0</v>
      </c>
      <c r="Q88" s="284">
        <f>MCF!R87</f>
        <v>0.8</v>
      </c>
      <c r="R88" s="67">
        <f t="shared" si="23"/>
        <v>0</v>
      </c>
      <c r="S88" s="67">
        <f t="shared" si="25"/>
        <v>0</v>
      </c>
      <c r="T88" s="67">
        <f t="shared" si="26"/>
        <v>0</v>
      </c>
      <c r="U88" s="67">
        <f t="shared" si="27"/>
        <v>6.6819661997098556E-7</v>
      </c>
      <c r="V88" s="67">
        <f t="shared" si="28"/>
        <v>3.2863560058214873E-7</v>
      </c>
      <c r="W88" s="100">
        <f t="shared" si="29"/>
        <v>2.1909040038809915E-7</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6.6946955378139572E-7</v>
      </c>
      <c r="J89" s="67">
        <f t="shared" si="22"/>
        <v>3.2926166086857105E-7</v>
      </c>
      <c r="K89" s="100">
        <f t="shared" si="24"/>
        <v>2.195077739123807E-7</v>
      </c>
      <c r="O89" s="96">
        <f>Amnt_Deposited!B84</f>
        <v>2070</v>
      </c>
      <c r="P89" s="99">
        <f>Amnt_Deposited!C84</f>
        <v>0</v>
      </c>
      <c r="Q89" s="284">
        <f>MCF!R88</f>
        <v>0.8</v>
      </c>
      <c r="R89" s="67">
        <f t="shared" si="23"/>
        <v>0</v>
      </c>
      <c r="S89" s="67">
        <f t="shared" si="25"/>
        <v>0</v>
      </c>
      <c r="T89" s="67">
        <f t="shared" si="26"/>
        <v>0</v>
      </c>
      <c r="U89" s="67">
        <f t="shared" si="27"/>
        <v>4.4790558905980961E-7</v>
      </c>
      <c r="V89" s="67">
        <f t="shared" si="28"/>
        <v>2.2029103091117592E-7</v>
      </c>
      <c r="W89" s="100">
        <f t="shared" si="29"/>
        <v>1.4686068727411726E-7</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4.4875886211020407E-7</v>
      </c>
      <c r="J90" s="67">
        <f t="shared" si="22"/>
        <v>2.2071069167119162E-7</v>
      </c>
      <c r="K90" s="100">
        <f t="shared" si="24"/>
        <v>1.4714046111412775E-7</v>
      </c>
      <c r="O90" s="96">
        <f>Amnt_Deposited!B85</f>
        <v>2071</v>
      </c>
      <c r="P90" s="99">
        <f>Amnt_Deposited!C85</f>
        <v>0</v>
      </c>
      <c r="Q90" s="284">
        <f>MCF!R89</f>
        <v>0.8</v>
      </c>
      <c r="R90" s="67">
        <f t="shared" si="23"/>
        <v>0</v>
      </c>
      <c r="S90" s="67">
        <f t="shared" si="25"/>
        <v>0</v>
      </c>
      <c r="T90" s="67">
        <f t="shared" si="26"/>
        <v>0</v>
      </c>
      <c r="U90" s="67">
        <f t="shared" si="27"/>
        <v>3.0024009507819175E-7</v>
      </c>
      <c r="V90" s="67">
        <f t="shared" si="28"/>
        <v>1.4766549398161789E-7</v>
      </c>
      <c r="W90" s="100">
        <f t="shared" si="29"/>
        <v>9.844366265441192E-8</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3.0081206110861309E-7</v>
      </c>
      <c r="J91" s="67">
        <f t="shared" si="22"/>
        <v>1.4794680100159095E-7</v>
      </c>
      <c r="K91" s="100">
        <f t="shared" si="24"/>
        <v>9.8631200667727298E-8</v>
      </c>
      <c r="O91" s="96">
        <f>Amnt_Deposited!B86</f>
        <v>2072</v>
      </c>
      <c r="P91" s="99">
        <f>Amnt_Deposited!C86</f>
        <v>0</v>
      </c>
      <c r="Q91" s="284">
        <f>MCF!R90</f>
        <v>0.8</v>
      </c>
      <c r="R91" s="67">
        <f t="shared" si="23"/>
        <v>0</v>
      </c>
      <c r="S91" s="67">
        <f t="shared" si="25"/>
        <v>0</v>
      </c>
      <c r="T91" s="67">
        <f t="shared" si="26"/>
        <v>0</v>
      </c>
      <c r="U91" s="67">
        <f t="shared" si="27"/>
        <v>2.0125695435455823E-7</v>
      </c>
      <c r="V91" s="67">
        <f t="shared" si="28"/>
        <v>9.8983140723633533E-8</v>
      </c>
      <c r="W91" s="100">
        <f t="shared" si="29"/>
        <v>6.5988760482422347E-8</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2.0164035465040109E-7</v>
      </c>
      <c r="J92" s="67">
        <f t="shared" si="22"/>
        <v>9.9171706458212017E-8</v>
      </c>
      <c r="K92" s="100">
        <f t="shared" si="24"/>
        <v>6.6114470972141345E-8</v>
      </c>
      <c r="O92" s="96">
        <f>Amnt_Deposited!B87</f>
        <v>2073</v>
      </c>
      <c r="P92" s="99">
        <f>Amnt_Deposited!C87</f>
        <v>0</v>
      </c>
      <c r="Q92" s="284">
        <f>MCF!R91</f>
        <v>0.8</v>
      </c>
      <c r="R92" s="67">
        <f t="shared" si="23"/>
        <v>0</v>
      </c>
      <c r="S92" s="67">
        <f t="shared" si="25"/>
        <v>0</v>
      </c>
      <c r="T92" s="67">
        <f t="shared" si="26"/>
        <v>0</v>
      </c>
      <c r="U92" s="67">
        <f t="shared" si="27"/>
        <v>1.3490657090794002E-7</v>
      </c>
      <c r="V92" s="67">
        <f t="shared" si="28"/>
        <v>6.6350383446618194E-8</v>
      </c>
      <c r="W92" s="100">
        <f t="shared" si="29"/>
        <v>4.4233588964412125E-8</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1.3516357181189949E-7</v>
      </c>
      <c r="J93" s="67">
        <f t="shared" si="22"/>
        <v>6.6476782838501589E-8</v>
      </c>
      <c r="K93" s="100">
        <f t="shared" si="24"/>
        <v>4.4317855225667726E-8</v>
      </c>
      <c r="O93" s="96">
        <f>Amnt_Deposited!B88</f>
        <v>2074</v>
      </c>
      <c r="P93" s="99">
        <f>Amnt_Deposited!C88</f>
        <v>0</v>
      </c>
      <c r="Q93" s="284">
        <f>MCF!R92</f>
        <v>0.8</v>
      </c>
      <c r="R93" s="67">
        <f t="shared" si="23"/>
        <v>0</v>
      </c>
      <c r="S93" s="67">
        <f t="shared" si="25"/>
        <v>0</v>
      </c>
      <c r="T93" s="67">
        <f t="shared" si="26"/>
        <v>0</v>
      </c>
      <c r="U93" s="67">
        <f t="shared" si="27"/>
        <v>9.0430578821520595E-8</v>
      </c>
      <c r="V93" s="67">
        <f t="shared" si="28"/>
        <v>4.4475992086419428E-8</v>
      </c>
      <c r="W93" s="100">
        <f t="shared" si="29"/>
        <v>2.9650661390946283E-8</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9.060285167929391E-8</v>
      </c>
      <c r="J94" s="67">
        <f t="shared" si="22"/>
        <v>4.4560720132605583E-8</v>
      </c>
      <c r="K94" s="100">
        <f t="shared" si="24"/>
        <v>2.9707146755070388E-8</v>
      </c>
      <c r="O94" s="96">
        <f>Amnt_Deposited!B89</f>
        <v>2075</v>
      </c>
      <c r="P94" s="99">
        <f>Amnt_Deposited!C89</f>
        <v>0</v>
      </c>
      <c r="Q94" s="284">
        <f>MCF!R93</f>
        <v>0.8</v>
      </c>
      <c r="R94" s="67">
        <f t="shared" si="23"/>
        <v>0</v>
      </c>
      <c r="S94" s="67">
        <f t="shared" si="25"/>
        <v>0</v>
      </c>
      <c r="T94" s="67">
        <f t="shared" si="26"/>
        <v>0</v>
      </c>
      <c r="U94" s="67">
        <f t="shared" si="27"/>
        <v>6.0617429758671199E-8</v>
      </c>
      <c r="V94" s="67">
        <f t="shared" si="28"/>
        <v>2.9813149062849396E-8</v>
      </c>
      <c r="W94" s="100">
        <f t="shared" si="29"/>
        <v>1.9875432708566264E-8</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6.0732907708624493E-8</v>
      </c>
      <c r="J95" s="67">
        <f t="shared" si="22"/>
        <v>2.9869943970669417E-8</v>
      </c>
      <c r="K95" s="100">
        <f t="shared" si="24"/>
        <v>1.9913295980446277E-8</v>
      </c>
      <c r="O95" s="96">
        <f>Amnt_Deposited!B90</f>
        <v>2076</v>
      </c>
      <c r="P95" s="99">
        <f>Amnt_Deposited!C90</f>
        <v>0</v>
      </c>
      <c r="Q95" s="284">
        <f>MCF!R94</f>
        <v>0.8</v>
      </c>
      <c r="R95" s="67">
        <f t="shared" si="23"/>
        <v>0</v>
      </c>
      <c r="S95" s="67">
        <f t="shared" si="25"/>
        <v>0</v>
      </c>
      <c r="T95" s="67">
        <f t="shared" si="26"/>
        <v>0</v>
      </c>
      <c r="U95" s="67">
        <f t="shared" si="27"/>
        <v>4.063307830639461E-8</v>
      </c>
      <c r="V95" s="67">
        <f t="shared" si="28"/>
        <v>1.9984351452276589E-8</v>
      </c>
      <c r="W95" s="100">
        <f t="shared" si="29"/>
        <v>1.3322900968184391E-8</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4.0710485491123405E-8</v>
      </c>
      <c r="J96" s="67">
        <f t="shared" si="22"/>
        <v>2.0022422217501088E-8</v>
      </c>
      <c r="K96" s="100">
        <f t="shared" si="24"/>
        <v>1.3348281478334059E-8</v>
      </c>
      <c r="O96" s="96">
        <f>Amnt_Deposited!B91</f>
        <v>2077</v>
      </c>
      <c r="P96" s="99">
        <f>Amnt_Deposited!C91</f>
        <v>0</v>
      </c>
      <c r="Q96" s="284">
        <f>MCF!R95</f>
        <v>0.8</v>
      </c>
      <c r="R96" s="67">
        <f t="shared" si="23"/>
        <v>0</v>
      </c>
      <c r="S96" s="67">
        <f t="shared" si="25"/>
        <v>0</v>
      </c>
      <c r="T96" s="67">
        <f t="shared" si="26"/>
        <v>0</v>
      </c>
      <c r="U96" s="67">
        <f t="shared" si="27"/>
        <v>2.7237166920912171E-8</v>
      </c>
      <c r="V96" s="67">
        <f t="shared" si="28"/>
        <v>1.3395911385482437E-8</v>
      </c>
      <c r="W96" s="100">
        <f t="shared" si="29"/>
        <v>8.9306075903216242E-9</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2.7289054508543068E-8</v>
      </c>
      <c r="J97" s="67">
        <f t="shared" si="22"/>
        <v>1.3421430982580337E-8</v>
      </c>
      <c r="K97" s="100">
        <f t="shared" si="24"/>
        <v>8.9476206550535582E-9</v>
      </c>
      <c r="O97" s="96">
        <f>Amnt_Deposited!B92</f>
        <v>2078</v>
      </c>
      <c r="P97" s="99">
        <f>Amnt_Deposited!C92</f>
        <v>0</v>
      </c>
      <c r="Q97" s="284">
        <f>MCF!R96</f>
        <v>0.8</v>
      </c>
      <c r="R97" s="67">
        <f t="shared" si="23"/>
        <v>0</v>
      </c>
      <c r="S97" s="67">
        <f t="shared" si="25"/>
        <v>0</v>
      </c>
      <c r="T97" s="67">
        <f t="shared" si="26"/>
        <v>0</v>
      </c>
      <c r="U97" s="67">
        <f t="shared" si="27"/>
        <v>1.8257618984306238E-8</v>
      </c>
      <c r="V97" s="67">
        <f t="shared" si="28"/>
        <v>8.9795479366059315E-9</v>
      </c>
      <c r="W97" s="100">
        <f t="shared" si="29"/>
        <v>5.9863652910706205E-9</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1.8292400274435662E-8</v>
      </c>
      <c r="J98" s="67">
        <f t="shared" si="22"/>
        <v>8.9966542341074079E-9</v>
      </c>
      <c r="K98" s="100">
        <f t="shared" si="24"/>
        <v>5.9977694894049383E-9</v>
      </c>
      <c r="O98" s="96">
        <f>Amnt_Deposited!B93</f>
        <v>2079</v>
      </c>
      <c r="P98" s="99">
        <f>Amnt_Deposited!C93</f>
        <v>0</v>
      </c>
      <c r="Q98" s="284">
        <f>MCF!R97</f>
        <v>0.8</v>
      </c>
      <c r="R98" s="67">
        <f t="shared" si="23"/>
        <v>0</v>
      </c>
      <c r="S98" s="67">
        <f t="shared" si="25"/>
        <v>0</v>
      </c>
      <c r="T98" s="67">
        <f t="shared" si="26"/>
        <v>0</v>
      </c>
      <c r="U98" s="67">
        <f t="shared" si="27"/>
        <v>1.2238447998061319E-8</v>
      </c>
      <c r="V98" s="67">
        <f t="shared" si="28"/>
        <v>6.0191709862449177E-9</v>
      </c>
      <c r="W98" s="100">
        <f t="shared" si="29"/>
        <v>4.0127806574966118E-9</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1.2261762594062054E-8</v>
      </c>
      <c r="J99" s="68">
        <f t="shared" si="22"/>
        <v>6.0306376803736079E-9</v>
      </c>
      <c r="K99" s="102">
        <f t="shared" si="24"/>
        <v>4.0204251202490716E-9</v>
      </c>
      <c r="O99" s="97">
        <f>Amnt_Deposited!B94</f>
        <v>2080</v>
      </c>
      <c r="P99" s="101">
        <f>Amnt_Deposited!C94</f>
        <v>0</v>
      </c>
      <c r="Q99" s="285">
        <f>MCF!R98</f>
        <v>0.8</v>
      </c>
      <c r="R99" s="68">
        <f t="shared" si="23"/>
        <v>0</v>
      </c>
      <c r="S99" s="68">
        <f>R99*$W$12</f>
        <v>0</v>
      </c>
      <c r="T99" s="68">
        <f>R99*(1-$W$12)</f>
        <v>0</v>
      </c>
      <c r="U99" s="68">
        <f>S99+U98*$W$10</f>
        <v>8.2036770254652414E-9</v>
      </c>
      <c r="V99" s="68">
        <f>U98*(1-$W$10)+T99</f>
        <v>4.0347709725960779E-9</v>
      </c>
      <c r="W99" s="102">
        <f t="shared" si="29"/>
        <v>2.6898473150640518E-9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3.2351669353079999</v>
      </c>
      <c r="D19" s="416">
        <f>Dry_Matter_Content!D6</f>
        <v>0.44</v>
      </c>
      <c r="E19" s="283">
        <f>MCF!R18</f>
        <v>0.8</v>
      </c>
      <c r="F19" s="130">
        <f t="shared" ref="F19:F50" si="0">C19*D19*$K$6*DOCF*E19</f>
        <v>0.25053132747025159</v>
      </c>
      <c r="G19" s="65">
        <f t="shared" ref="G19:G82" si="1">F19*$K$12</f>
        <v>0.25053132747025159</v>
      </c>
      <c r="H19" s="65">
        <f t="shared" ref="H19:H82" si="2">F19*(1-$K$12)</f>
        <v>0</v>
      </c>
      <c r="I19" s="65">
        <f t="shared" ref="I19:I82" si="3">G19+I18*$K$10</f>
        <v>0.25053132747025159</v>
      </c>
      <c r="J19" s="65">
        <f t="shared" ref="J19:J82" si="4">I18*(1-$K$10)+H19</f>
        <v>0</v>
      </c>
      <c r="K19" s="66">
        <f>J19*CH4_fraction*conv</f>
        <v>0</v>
      </c>
      <c r="O19" s="95">
        <f>Amnt_Deposited!B14</f>
        <v>2000</v>
      </c>
      <c r="P19" s="98">
        <f>Amnt_Deposited!D14</f>
        <v>3.2351669353079999</v>
      </c>
      <c r="Q19" s="283">
        <f>MCF!R18</f>
        <v>0.8</v>
      </c>
      <c r="R19" s="130">
        <f t="shared" ref="R19:R50" si="5">P19*$W$6*DOCF*Q19</f>
        <v>0.51762670964928004</v>
      </c>
      <c r="S19" s="65">
        <f>R19*$W$12</f>
        <v>0.51762670964928004</v>
      </c>
      <c r="T19" s="65">
        <f>R19*(1-$W$12)</f>
        <v>0</v>
      </c>
      <c r="U19" s="65">
        <f>S19+U18*$W$10</f>
        <v>0.51762670964928004</v>
      </c>
      <c r="V19" s="65">
        <f>U18*(1-$W$10)+T19</f>
        <v>0</v>
      </c>
      <c r="W19" s="66">
        <f>V19*CH4_fraction*conv</f>
        <v>0</v>
      </c>
    </row>
    <row r="20" spans="2:23">
      <c r="B20" s="96">
        <f>Amnt_Deposited!B15</f>
        <v>2001</v>
      </c>
      <c r="C20" s="99">
        <f>Amnt_Deposited!D15</f>
        <v>3.2766131554199998</v>
      </c>
      <c r="D20" s="418">
        <f>Dry_Matter_Content!D7</f>
        <v>0.44</v>
      </c>
      <c r="E20" s="284">
        <f>MCF!R19</f>
        <v>0.8</v>
      </c>
      <c r="F20" s="67">
        <f t="shared" si="0"/>
        <v>0.25374092275572474</v>
      </c>
      <c r="G20" s="67">
        <f t="shared" si="1"/>
        <v>0.25374092275572474</v>
      </c>
      <c r="H20" s="67">
        <f t="shared" si="2"/>
        <v>0</v>
      </c>
      <c r="I20" s="67">
        <f t="shared" si="3"/>
        <v>0.48733478418182063</v>
      </c>
      <c r="J20" s="67">
        <f t="shared" si="4"/>
        <v>1.6937466044155677E-2</v>
      </c>
      <c r="K20" s="100">
        <f>J20*CH4_fraction*conv</f>
        <v>1.1291644029437118E-2</v>
      </c>
      <c r="M20" s="393"/>
      <c r="O20" s="96">
        <f>Amnt_Deposited!B15</f>
        <v>2001</v>
      </c>
      <c r="P20" s="99">
        <f>Amnt_Deposited!D15</f>
        <v>3.2766131554199998</v>
      </c>
      <c r="Q20" s="284">
        <f>MCF!R19</f>
        <v>0.8</v>
      </c>
      <c r="R20" s="67">
        <f t="shared" si="5"/>
        <v>0.52425810486720004</v>
      </c>
      <c r="S20" s="67">
        <f>R20*$W$12</f>
        <v>0.52425810486720004</v>
      </c>
      <c r="T20" s="67">
        <f>R20*(1-$W$12)</f>
        <v>0</v>
      </c>
      <c r="U20" s="67">
        <f>S20+U19*$W$10</f>
        <v>1.0068900499624394</v>
      </c>
      <c r="V20" s="67">
        <f>U19*(1-$W$10)+T20</f>
        <v>3.4994764554040651E-2</v>
      </c>
      <c r="W20" s="100">
        <f>V20*CH4_fraction*conv</f>
        <v>2.3329843036027101E-2</v>
      </c>
    </row>
    <row r="21" spans="2:23">
      <c r="B21" s="96">
        <f>Amnt_Deposited!B16</f>
        <v>2002</v>
      </c>
      <c r="C21" s="99">
        <f>Amnt_Deposited!D16</f>
        <v>3.3504481810800004</v>
      </c>
      <c r="D21" s="418">
        <f>Dry_Matter_Content!D8</f>
        <v>0.44</v>
      </c>
      <c r="E21" s="284">
        <f>MCF!R20</f>
        <v>0.8</v>
      </c>
      <c r="F21" s="67">
        <f t="shared" si="0"/>
        <v>0.25945870714283525</v>
      </c>
      <c r="G21" s="67">
        <f t="shared" si="1"/>
        <v>0.25945870714283525</v>
      </c>
      <c r="H21" s="67">
        <f t="shared" si="2"/>
        <v>0</v>
      </c>
      <c r="I21" s="67">
        <f t="shared" si="3"/>
        <v>0.71384664813916388</v>
      </c>
      <c r="J21" s="67">
        <f t="shared" si="4"/>
        <v>3.2946843185491993E-2</v>
      </c>
      <c r="K21" s="100">
        <f t="shared" ref="K21:K84" si="6">J21*CH4_fraction*conv</f>
        <v>2.1964562123661328E-2</v>
      </c>
      <c r="O21" s="96">
        <f>Amnt_Deposited!B16</f>
        <v>2002</v>
      </c>
      <c r="P21" s="99">
        <f>Amnt_Deposited!D16</f>
        <v>3.3504481810800004</v>
      </c>
      <c r="Q21" s="284">
        <f>MCF!R20</f>
        <v>0.8</v>
      </c>
      <c r="R21" s="67">
        <f t="shared" si="5"/>
        <v>0.5360717089728001</v>
      </c>
      <c r="S21" s="67">
        <f t="shared" ref="S21:S84" si="7">R21*$W$12</f>
        <v>0.5360717089728001</v>
      </c>
      <c r="T21" s="67">
        <f t="shared" ref="T21:T84" si="8">R21*(1-$W$12)</f>
        <v>0</v>
      </c>
      <c r="U21" s="67">
        <f t="shared" ref="U21:U84" si="9">S21+U20*$W$10</f>
        <v>1.4748897688825702</v>
      </c>
      <c r="V21" s="67">
        <f t="shared" ref="V21:V84" si="10">U20*(1-$W$10)+T21</f>
        <v>6.8071990052669409E-2</v>
      </c>
      <c r="W21" s="100">
        <f t="shared" ref="W21:W84" si="11">V21*CH4_fraction*conv</f>
        <v>4.5381326701779606E-2</v>
      </c>
    </row>
    <row r="22" spans="2:23">
      <c r="B22" s="96">
        <f>Amnt_Deposited!B17</f>
        <v>2003</v>
      </c>
      <c r="C22" s="99">
        <f>Amnt_Deposited!D17</f>
        <v>3.4100012782440006</v>
      </c>
      <c r="D22" s="418">
        <f>Dry_Matter_Content!D9</f>
        <v>0.44</v>
      </c>
      <c r="E22" s="284">
        <f>MCF!R21</f>
        <v>0.8</v>
      </c>
      <c r="F22" s="67">
        <f t="shared" si="0"/>
        <v>0.26407049898721541</v>
      </c>
      <c r="G22" s="67">
        <f t="shared" si="1"/>
        <v>0.26407049898721541</v>
      </c>
      <c r="H22" s="67">
        <f t="shared" si="2"/>
        <v>0</v>
      </c>
      <c r="I22" s="67">
        <f t="shared" si="3"/>
        <v>0.92965670207274775</v>
      </c>
      <c r="J22" s="67">
        <f t="shared" si="4"/>
        <v>4.8260445053631487E-2</v>
      </c>
      <c r="K22" s="100">
        <f t="shared" si="6"/>
        <v>3.2173630035754325E-2</v>
      </c>
      <c r="N22" s="258"/>
      <c r="O22" s="96">
        <f>Amnt_Deposited!B17</f>
        <v>2003</v>
      </c>
      <c r="P22" s="99">
        <f>Amnt_Deposited!D17</f>
        <v>3.4100012782440006</v>
      </c>
      <c r="Q22" s="284">
        <f>MCF!R21</f>
        <v>0.8</v>
      </c>
      <c r="R22" s="67">
        <f t="shared" si="5"/>
        <v>0.54560020451904012</v>
      </c>
      <c r="S22" s="67">
        <f t="shared" si="7"/>
        <v>0.54560020451904012</v>
      </c>
      <c r="T22" s="67">
        <f t="shared" si="8"/>
        <v>0</v>
      </c>
      <c r="U22" s="67">
        <f t="shared" si="9"/>
        <v>1.9207783100676608</v>
      </c>
      <c r="V22" s="67">
        <f t="shared" si="10"/>
        <v>9.9711663333949374E-2</v>
      </c>
      <c r="W22" s="100">
        <f t="shared" si="11"/>
        <v>6.6474442222632907E-2</v>
      </c>
    </row>
    <row r="23" spans="2:23">
      <c r="B23" s="96">
        <f>Amnt_Deposited!B18</f>
        <v>2004</v>
      </c>
      <c r="C23" s="99">
        <f>Amnt_Deposited!D18</f>
        <v>3.4282433405880002</v>
      </c>
      <c r="D23" s="418">
        <f>Dry_Matter_Content!D10</f>
        <v>0.44</v>
      </c>
      <c r="E23" s="284">
        <f>MCF!R22</f>
        <v>0.8</v>
      </c>
      <c r="F23" s="67">
        <f t="shared" si="0"/>
        <v>0.26548316429513474</v>
      </c>
      <c r="G23" s="67">
        <f t="shared" si="1"/>
        <v>0.26548316429513474</v>
      </c>
      <c r="H23" s="67">
        <f t="shared" si="2"/>
        <v>0</v>
      </c>
      <c r="I23" s="67">
        <f t="shared" si="3"/>
        <v>1.1322893279419102</v>
      </c>
      <c r="J23" s="67">
        <f t="shared" si="4"/>
        <v>6.285053842597238E-2</v>
      </c>
      <c r="K23" s="100">
        <f t="shared" si="6"/>
        <v>4.1900358950648253E-2</v>
      </c>
      <c r="N23" s="258"/>
      <c r="O23" s="96">
        <f>Amnt_Deposited!B18</f>
        <v>2004</v>
      </c>
      <c r="P23" s="99">
        <f>Amnt_Deposited!D18</f>
        <v>3.4282433405880002</v>
      </c>
      <c r="Q23" s="284">
        <f>MCF!R22</f>
        <v>0.8</v>
      </c>
      <c r="R23" s="67">
        <f t="shared" si="5"/>
        <v>0.54851893449408007</v>
      </c>
      <c r="S23" s="67">
        <f t="shared" si="7"/>
        <v>0.54851893449408007</v>
      </c>
      <c r="T23" s="67">
        <f t="shared" si="8"/>
        <v>0</v>
      </c>
      <c r="U23" s="67">
        <f t="shared" si="9"/>
        <v>2.3394407602105582</v>
      </c>
      <c r="V23" s="67">
        <f t="shared" si="10"/>
        <v>0.12985648435118261</v>
      </c>
      <c r="W23" s="100">
        <f t="shared" si="11"/>
        <v>8.657098956745507E-2</v>
      </c>
    </row>
    <row r="24" spans="2:23">
      <c r="B24" s="96">
        <f>Amnt_Deposited!B19</f>
        <v>2005</v>
      </c>
      <c r="C24" s="99">
        <f>Amnt_Deposited!D19</f>
        <v>3.7973548522800002</v>
      </c>
      <c r="D24" s="418">
        <f>Dry_Matter_Content!D11</f>
        <v>0.44</v>
      </c>
      <c r="E24" s="284">
        <f>MCF!R23</f>
        <v>0.8</v>
      </c>
      <c r="F24" s="67">
        <f t="shared" si="0"/>
        <v>0.29406715976056325</v>
      </c>
      <c r="G24" s="67">
        <f t="shared" si="1"/>
        <v>0.29406715976056325</v>
      </c>
      <c r="H24" s="67">
        <f t="shared" si="2"/>
        <v>0</v>
      </c>
      <c r="I24" s="67">
        <f t="shared" si="3"/>
        <v>1.3498067314790598</v>
      </c>
      <c r="J24" s="67">
        <f t="shared" si="4"/>
        <v>7.6549756223413576E-2</v>
      </c>
      <c r="K24" s="100">
        <f t="shared" si="6"/>
        <v>5.1033170815609048E-2</v>
      </c>
      <c r="N24" s="258"/>
      <c r="O24" s="96">
        <f>Amnt_Deposited!B19</f>
        <v>2005</v>
      </c>
      <c r="P24" s="99">
        <f>Amnt_Deposited!D19</f>
        <v>3.7973548522800002</v>
      </c>
      <c r="Q24" s="284">
        <f>MCF!R23</f>
        <v>0.8</v>
      </c>
      <c r="R24" s="67">
        <f t="shared" si="5"/>
        <v>0.60757677636480012</v>
      </c>
      <c r="S24" s="67">
        <f t="shared" si="7"/>
        <v>0.60757677636480012</v>
      </c>
      <c r="T24" s="67">
        <f t="shared" si="8"/>
        <v>0</v>
      </c>
      <c r="U24" s="67">
        <f t="shared" si="9"/>
        <v>2.7888568832211984</v>
      </c>
      <c r="V24" s="67">
        <f t="shared" si="10"/>
        <v>0.15816065335416027</v>
      </c>
      <c r="W24" s="100">
        <f t="shared" si="11"/>
        <v>0.10544043556944017</v>
      </c>
    </row>
    <row r="25" spans="2:23">
      <c r="B25" s="96">
        <f>Amnt_Deposited!B20</f>
        <v>2006</v>
      </c>
      <c r="C25" s="99">
        <f>Amnt_Deposited!D20</f>
        <v>3.8754680948280003</v>
      </c>
      <c r="D25" s="418">
        <f>Dry_Matter_Content!D12</f>
        <v>0.44</v>
      </c>
      <c r="E25" s="284">
        <f>MCF!R24</f>
        <v>0.8</v>
      </c>
      <c r="F25" s="67">
        <f t="shared" si="0"/>
        <v>0.30011624926348035</v>
      </c>
      <c r="G25" s="67">
        <f t="shared" si="1"/>
        <v>0.30011624926348035</v>
      </c>
      <c r="H25" s="67">
        <f t="shared" si="2"/>
        <v>0</v>
      </c>
      <c r="I25" s="67">
        <f t="shared" si="3"/>
        <v>1.5586677037620036</v>
      </c>
      <c r="J25" s="67">
        <f t="shared" si="4"/>
        <v>9.1255276980536634E-2</v>
      </c>
      <c r="K25" s="100">
        <f t="shared" si="6"/>
        <v>6.0836851320357752E-2</v>
      </c>
      <c r="N25" s="258"/>
      <c r="O25" s="96">
        <f>Amnt_Deposited!B20</f>
        <v>2006</v>
      </c>
      <c r="P25" s="99">
        <f>Amnt_Deposited!D20</f>
        <v>3.8754680948280003</v>
      </c>
      <c r="Q25" s="284">
        <f>MCF!R24</f>
        <v>0.8</v>
      </c>
      <c r="R25" s="67">
        <f t="shared" si="5"/>
        <v>0.62007489517248016</v>
      </c>
      <c r="S25" s="67">
        <f t="shared" si="7"/>
        <v>0.62007489517248016</v>
      </c>
      <c r="T25" s="67">
        <f t="shared" si="8"/>
        <v>0</v>
      </c>
      <c r="U25" s="67">
        <f t="shared" si="9"/>
        <v>3.2203878176900904</v>
      </c>
      <c r="V25" s="67">
        <f t="shared" si="10"/>
        <v>0.18854396070358811</v>
      </c>
      <c r="W25" s="100">
        <f t="shared" si="11"/>
        <v>0.12569597380239206</v>
      </c>
    </row>
    <row r="26" spans="2:23">
      <c r="B26" s="96">
        <f>Amnt_Deposited!B21</f>
        <v>2007</v>
      </c>
      <c r="C26" s="99">
        <f>Amnt_Deposited!D21</f>
        <v>3.9535177207680006</v>
      </c>
      <c r="D26" s="418">
        <f>Dry_Matter_Content!D13</f>
        <v>0.44</v>
      </c>
      <c r="E26" s="284">
        <f>MCF!R25</f>
        <v>0.8</v>
      </c>
      <c r="F26" s="67">
        <f t="shared" si="0"/>
        <v>0.306160412296274</v>
      </c>
      <c r="G26" s="67">
        <f t="shared" si="1"/>
        <v>0.306160412296274</v>
      </c>
      <c r="H26" s="67">
        <f t="shared" si="2"/>
        <v>0</v>
      </c>
      <c r="I26" s="67">
        <f t="shared" si="3"/>
        <v>1.7594525465709614</v>
      </c>
      <c r="J26" s="67">
        <f t="shared" si="4"/>
        <v>0.10537556948731608</v>
      </c>
      <c r="K26" s="100">
        <f t="shared" si="6"/>
        <v>7.025037965821071E-2</v>
      </c>
      <c r="N26" s="258"/>
      <c r="O26" s="96">
        <f>Amnt_Deposited!B21</f>
        <v>2007</v>
      </c>
      <c r="P26" s="99">
        <f>Amnt_Deposited!D21</f>
        <v>3.9535177207680006</v>
      </c>
      <c r="Q26" s="284">
        <f>MCF!R25</f>
        <v>0.8</v>
      </c>
      <c r="R26" s="67">
        <f t="shared" si="5"/>
        <v>0.63256283532288016</v>
      </c>
      <c r="S26" s="67">
        <f t="shared" si="7"/>
        <v>0.63256283532288016</v>
      </c>
      <c r="T26" s="67">
        <f t="shared" si="8"/>
        <v>0</v>
      </c>
      <c r="U26" s="67">
        <f t="shared" si="9"/>
        <v>3.6352325342375242</v>
      </c>
      <c r="V26" s="67">
        <f t="shared" si="10"/>
        <v>0.21771811877544647</v>
      </c>
      <c r="W26" s="100">
        <f t="shared" si="11"/>
        <v>0.14514541251696431</v>
      </c>
    </row>
    <row r="27" spans="2:23">
      <c r="B27" s="96">
        <f>Amnt_Deposited!B22</f>
        <v>2008</v>
      </c>
      <c r="C27" s="99">
        <f>Amnt_Deposited!D22</f>
        <v>4.0310266055400001</v>
      </c>
      <c r="D27" s="418">
        <f>Dry_Matter_Content!D14</f>
        <v>0.44</v>
      </c>
      <c r="E27" s="284">
        <f>MCF!R26</f>
        <v>0.8</v>
      </c>
      <c r="F27" s="67">
        <f t="shared" si="0"/>
        <v>0.31216270033301763</v>
      </c>
      <c r="G27" s="67">
        <f t="shared" si="1"/>
        <v>0.31216270033301763</v>
      </c>
      <c r="H27" s="67">
        <f t="shared" si="2"/>
        <v>0</v>
      </c>
      <c r="I27" s="67">
        <f t="shared" si="3"/>
        <v>1.9526653811735646</v>
      </c>
      <c r="J27" s="67">
        <f t="shared" si="4"/>
        <v>0.11894986573041434</v>
      </c>
      <c r="K27" s="100">
        <f t="shared" si="6"/>
        <v>7.929991048694289E-2</v>
      </c>
      <c r="N27" s="258"/>
      <c r="O27" s="96">
        <f>Amnt_Deposited!B22</f>
        <v>2008</v>
      </c>
      <c r="P27" s="99">
        <f>Amnt_Deposited!D22</f>
        <v>4.0310266055400001</v>
      </c>
      <c r="Q27" s="284">
        <f>MCF!R26</f>
        <v>0.8</v>
      </c>
      <c r="R27" s="67">
        <f t="shared" si="5"/>
        <v>0.64496425688640002</v>
      </c>
      <c r="S27" s="67">
        <f t="shared" si="7"/>
        <v>0.64496425688640002</v>
      </c>
      <c r="T27" s="67">
        <f t="shared" si="8"/>
        <v>0</v>
      </c>
      <c r="U27" s="67">
        <f t="shared" si="9"/>
        <v>4.0344326057305064</v>
      </c>
      <c r="V27" s="67">
        <f t="shared" si="10"/>
        <v>0.24576418539341813</v>
      </c>
      <c r="W27" s="100">
        <f t="shared" si="11"/>
        <v>0.16384279026227874</v>
      </c>
    </row>
    <row r="28" spans="2:23">
      <c r="B28" s="96">
        <f>Amnt_Deposited!B23</f>
        <v>2009</v>
      </c>
      <c r="C28" s="99">
        <f>Amnt_Deposited!D23</f>
        <v>4.1074221996720004</v>
      </c>
      <c r="D28" s="418">
        <f>Dry_Matter_Content!D15</f>
        <v>0.44</v>
      </c>
      <c r="E28" s="284">
        <f>MCF!R27</f>
        <v>0.8</v>
      </c>
      <c r="F28" s="67">
        <f t="shared" si="0"/>
        <v>0.31807877514259975</v>
      </c>
      <c r="G28" s="67">
        <f t="shared" si="1"/>
        <v>0.31807877514259975</v>
      </c>
      <c r="H28" s="67">
        <f t="shared" si="2"/>
        <v>0</v>
      </c>
      <c r="I28" s="67">
        <f t="shared" si="3"/>
        <v>2.1387319088931243</v>
      </c>
      <c r="J28" s="67">
        <f t="shared" si="4"/>
        <v>0.13201224742304016</v>
      </c>
      <c r="K28" s="100">
        <f t="shared" si="6"/>
        <v>8.8008164948693429E-2</v>
      </c>
      <c r="N28" s="258"/>
      <c r="O28" s="96">
        <f>Amnt_Deposited!B23</f>
        <v>2009</v>
      </c>
      <c r="P28" s="99">
        <f>Amnt_Deposited!D23</f>
        <v>4.1074221996720004</v>
      </c>
      <c r="Q28" s="284">
        <f>MCF!R27</f>
        <v>0.8</v>
      </c>
      <c r="R28" s="67">
        <f t="shared" si="5"/>
        <v>0.6571875519475201</v>
      </c>
      <c r="S28" s="67">
        <f t="shared" si="7"/>
        <v>0.6571875519475201</v>
      </c>
      <c r="T28" s="67">
        <f t="shared" si="8"/>
        <v>0</v>
      </c>
      <c r="U28" s="67">
        <f t="shared" si="9"/>
        <v>4.4188675803576949</v>
      </c>
      <c r="V28" s="67">
        <f t="shared" si="10"/>
        <v>0.27275257732033098</v>
      </c>
      <c r="W28" s="100">
        <f t="shared" si="11"/>
        <v>0.18183505154688731</v>
      </c>
    </row>
    <row r="29" spans="2:23">
      <c r="B29" s="96">
        <f>Amnt_Deposited!B24</f>
        <v>2010</v>
      </c>
      <c r="C29" s="99">
        <f>Amnt_Deposited!D24</f>
        <v>4.4339105840040007</v>
      </c>
      <c r="D29" s="418">
        <f>Dry_Matter_Content!D16</f>
        <v>0.44</v>
      </c>
      <c r="E29" s="284">
        <f>MCF!R28</f>
        <v>0.8</v>
      </c>
      <c r="F29" s="67">
        <f t="shared" si="0"/>
        <v>0.34336203562526985</v>
      </c>
      <c r="G29" s="67">
        <f t="shared" si="1"/>
        <v>0.34336203562526985</v>
      </c>
      <c r="H29" s="67">
        <f t="shared" si="2"/>
        <v>0</v>
      </c>
      <c r="I29" s="67">
        <f t="shared" si="3"/>
        <v>2.3375024499128707</v>
      </c>
      <c r="J29" s="67">
        <f t="shared" si="4"/>
        <v>0.14459149460552359</v>
      </c>
      <c r="K29" s="100">
        <f t="shared" si="6"/>
        <v>9.6394329737015727E-2</v>
      </c>
      <c r="O29" s="96">
        <f>Amnt_Deposited!B24</f>
        <v>2010</v>
      </c>
      <c r="P29" s="99">
        <f>Amnt_Deposited!D24</f>
        <v>4.4339105840040007</v>
      </c>
      <c r="Q29" s="284">
        <f>MCF!R28</f>
        <v>0.8</v>
      </c>
      <c r="R29" s="67">
        <f t="shared" si="5"/>
        <v>0.70942569344064021</v>
      </c>
      <c r="S29" s="67">
        <f t="shared" si="7"/>
        <v>0.70942569344064021</v>
      </c>
      <c r="T29" s="67">
        <f t="shared" si="8"/>
        <v>0</v>
      </c>
      <c r="U29" s="67">
        <f t="shared" si="9"/>
        <v>4.8295505163489061</v>
      </c>
      <c r="V29" s="67">
        <f t="shared" si="10"/>
        <v>0.29874275744942891</v>
      </c>
      <c r="W29" s="100">
        <f t="shared" si="11"/>
        <v>0.19916183829961925</v>
      </c>
    </row>
    <row r="30" spans="2:23">
      <c r="B30" s="96">
        <f>Amnt_Deposited!B25</f>
        <v>2011</v>
      </c>
      <c r="C30" s="99">
        <f>Amnt_Deposited!D25</f>
        <v>4.550050653984</v>
      </c>
      <c r="D30" s="418">
        <f>Dry_Matter_Content!D17</f>
        <v>0.44</v>
      </c>
      <c r="E30" s="284">
        <f>MCF!R29</f>
        <v>0.8</v>
      </c>
      <c r="F30" s="67">
        <f t="shared" si="0"/>
        <v>0.35235592264452098</v>
      </c>
      <c r="G30" s="67">
        <f t="shared" si="1"/>
        <v>0.35235592264452098</v>
      </c>
      <c r="H30" s="67">
        <f t="shared" si="2"/>
        <v>0</v>
      </c>
      <c r="I30" s="67">
        <f t="shared" si="3"/>
        <v>2.531828760958295</v>
      </c>
      <c r="J30" s="67">
        <f t="shared" si="4"/>
        <v>0.15802961159909668</v>
      </c>
      <c r="K30" s="100">
        <f t="shared" si="6"/>
        <v>0.10535307439939778</v>
      </c>
      <c r="O30" s="96">
        <f>Amnt_Deposited!B25</f>
        <v>2011</v>
      </c>
      <c r="P30" s="99">
        <f>Amnt_Deposited!D25</f>
        <v>4.550050653984</v>
      </c>
      <c r="Q30" s="284">
        <f>MCF!R29</f>
        <v>0.8</v>
      </c>
      <c r="R30" s="67">
        <f t="shared" si="5"/>
        <v>0.72800810463744003</v>
      </c>
      <c r="S30" s="67">
        <f t="shared" si="7"/>
        <v>0.72800810463744003</v>
      </c>
      <c r="T30" s="67">
        <f t="shared" si="8"/>
        <v>0</v>
      </c>
      <c r="U30" s="67">
        <f t="shared" si="9"/>
        <v>5.2310511590047417</v>
      </c>
      <c r="V30" s="67">
        <f t="shared" si="10"/>
        <v>0.32650746198160463</v>
      </c>
      <c r="W30" s="100">
        <f t="shared" si="11"/>
        <v>0.21767164132106975</v>
      </c>
    </row>
    <row r="31" spans="2:23">
      <c r="B31" s="96">
        <f>Amnt_Deposited!B26</f>
        <v>2012</v>
      </c>
      <c r="C31" s="99">
        <f>Amnt_Deposited!D26</f>
        <v>4.6382232726719996</v>
      </c>
      <c r="D31" s="418">
        <f>Dry_Matter_Content!D18</f>
        <v>0.44</v>
      </c>
      <c r="E31" s="284">
        <f>MCF!R30</f>
        <v>0.8</v>
      </c>
      <c r="F31" s="67">
        <f t="shared" si="0"/>
        <v>0.35918401023571972</v>
      </c>
      <c r="G31" s="67">
        <f t="shared" si="1"/>
        <v>0.35918401023571972</v>
      </c>
      <c r="H31" s="67">
        <f t="shared" si="2"/>
        <v>0</v>
      </c>
      <c r="I31" s="67">
        <f t="shared" si="3"/>
        <v>2.7198455000133683</v>
      </c>
      <c r="J31" s="67">
        <f t="shared" si="4"/>
        <v>0.17116727118064634</v>
      </c>
      <c r="K31" s="100">
        <f t="shared" si="6"/>
        <v>0.11411151412043088</v>
      </c>
      <c r="O31" s="96">
        <f>Amnt_Deposited!B26</f>
        <v>2012</v>
      </c>
      <c r="P31" s="99">
        <f>Amnt_Deposited!D26</f>
        <v>4.6382232726719996</v>
      </c>
      <c r="Q31" s="284">
        <f>MCF!R30</f>
        <v>0.8</v>
      </c>
      <c r="R31" s="67">
        <f t="shared" si="5"/>
        <v>0.74211572362751999</v>
      </c>
      <c r="S31" s="67">
        <f t="shared" si="7"/>
        <v>0.74211572362751999</v>
      </c>
      <c r="T31" s="67">
        <f t="shared" si="8"/>
        <v>0</v>
      </c>
      <c r="U31" s="67">
        <f t="shared" si="9"/>
        <v>5.6195154958953886</v>
      </c>
      <c r="V31" s="67">
        <f t="shared" si="10"/>
        <v>0.35365138673687257</v>
      </c>
      <c r="W31" s="100">
        <f t="shared" si="11"/>
        <v>0.23576759115791504</v>
      </c>
    </row>
    <row r="32" spans="2:23">
      <c r="B32" s="96">
        <f>Amnt_Deposited!B27</f>
        <v>2013</v>
      </c>
      <c r="C32" s="99">
        <f>Amnt_Deposited!D27</f>
        <v>4.7260937124720002</v>
      </c>
      <c r="D32" s="418">
        <f>Dry_Matter_Content!D19</f>
        <v>0.44</v>
      </c>
      <c r="E32" s="284">
        <f>MCF!R31</f>
        <v>0.8</v>
      </c>
      <c r="F32" s="67">
        <f t="shared" si="0"/>
        <v>0.36598869709383175</v>
      </c>
      <c r="G32" s="67">
        <f t="shared" si="1"/>
        <v>0.36598869709383175</v>
      </c>
      <c r="H32" s="67">
        <f t="shared" si="2"/>
        <v>0</v>
      </c>
      <c r="I32" s="67">
        <f t="shared" si="3"/>
        <v>2.9019558324053003</v>
      </c>
      <c r="J32" s="67">
        <f t="shared" si="4"/>
        <v>0.18387836470189994</v>
      </c>
      <c r="K32" s="100">
        <f t="shared" si="6"/>
        <v>0.12258557646793329</v>
      </c>
      <c r="O32" s="96">
        <f>Amnt_Deposited!B27</f>
        <v>2013</v>
      </c>
      <c r="P32" s="99">
        <f>Amnt_Deposited!D27</f>
        <v>4.7260937124720002</v>
      </c>
      <c r="Q32" s="284">
        <f>MCF!R31</f>
        <v>0.8</v>
      </c>
      <c r="R32" s="67">
        <f t="shared" si="5"/>
        <v>0.75617499399552013</v>
      </c>
      <c r="S32" s="67">
        <f t="shared" si="7"/>
        <v>0.75617499399552013</v>
      </c>
      <c r="T32" s="67">
        <f t="shared" si="8"/>
        <v>0</v>
      </c>
      <c r="U32" s="67">
        <f t="shared" si="9"/>
        <v>5.995776513234091</v>
      </c>
      <c r="V32" s="67">
        <f t="shared" si="10"/>
        <v>0.37991397665681803</v>
      </c>
      <c r="W32" s="100">
        <f t="shared" si="11"/>
        <v>0.25327598443787869</v>
      </c>
    </row>
    <row r="33" spans="2:23">
      <c r="B33" s="96">
        <f>Amnt_Deposited!B28</f>
        <v>2014</v>
      </c>
      <c r="C33" s="99">
        <f>Amnt_Deposited!D28</f>
        <v>4.8117693792959999</v>
      </c>
      <c r="D33" s="418">
        <f>Dry_Matter_Content!D20</f>
        <v>0.44</v>
      </c>
      <c r="E33" s="284">
        <f>MCF!R32</f>
        <v>0.8</v>
      </c>
      <c r="F33" s="67">
        <f t="shared" si="0"/>
        <v>0.37262342073268223</v>
      </c>
      <c r="G33" s="67">
        <f t="shared" si="1"/>
        <v>0.37262342073268223</v>
      </c>
      <c r="H33" s="67">
        <f t="shared" si="2"/>
        <v>0</v>
      </c>
      <c r="I33" s="67">
        <f t="shared" si="3"/>
        <v>3.0783891045074063</v>
      </c>
      <c r="J33" s="67">
        <f t="shared" si="4"/>
        <v>0.19619014863057652</v>
      </c>
      <c r="K33" s="100">
        <f t="shared" si="6"/>
        <v>0.13079343242038433</v>
      </c>
      <c r="O33" s="96">
        <f>Amnt_Deposited!B28</f>
        <v>2014</v>
      </c>
      <c r="P33" s="99">
        <f>Amnt_Deposited!D28</f>
        <v>4.8117693792959999</v>
      </c>
      <c r="Q33" s="284">
        <f>MCF!R32</f>
        <v>0.8</v>
      </c>
      <c r="R33" s="67">
        <f t="shared" si="5"/>
        <v>0.7698831006873601</v>
      </c>
      <c r="S33" s="67">
        <f t="shared" si="7"/>
        <v>0.7698831006873601</v>
      </c>
      <c r="T33" s="67">
        <f t="shared" si="8"/>
        <v>0</v>
      </c>
      <c r="U33" s="67">
        <f t="shared" si="9"/>
        <v>6.3603080671640617</v>
      </c>
      <c r="V33" s="67">
        <f t="shared" si="10"/>
        <v>0.40535154675738949</v>
      </c>
      <c r="W33" s="100">
        <f t="shared" si="11"/>
        <v>0.27023436450492633</v>
      </c>
    </row>
    <row r="34" spans="2:23">
      <c r="B34" s="96">
        <f>Amnt_Deposited!B29</f>
        <v>2015</v>
      </c>
      <c r="C34" s="99">
        <f>Amnt_Deposited!D29</f>
        <v>4.8950912316239998</v>
      </c>
      <c r="D34" s="418">
        <f>Dry_Matter_Content!D21</f>
        <v>0.44</v>
      </c>
      <c r="E34" s="284">
        <f>MCF!R33</f>
        <v>0.8</v>
      </c>
      <c r="F34" s="67">
        <f t="shared" si="0"/>
        <v>0.37907586497696255</v>
      </c>
      <c r="G34" s="67">
        <f t="shared" si="1"/>
        <v>0.37907586497696255</v>
      </c>
      <c r="H34" s="67">
        <f t="shared" si="2"/>
        <v>0</v>
      </c>
      <c r="I34" s="67">
        <f t="shared" si="3"/>
        <v>3.2493468412854742</v>
      </c>
      <c r="J34" s="67">
        <f t="shared" si="4"/>
        <v>0.20811812819889433</v>
      </c>
      <c r="K34" s="100">
        <f t="shared" si="6"/>
        <v>0.13874541879926289</v>
      </c>
      <c r="O34" s="96">
        <f>Amnt_Deposited!B29</f>
        <v>2015</v>
      </c>
      <c r="P34" s="99">
        <f>Amnt_Deposited!D29</f>
        <v>4.8950912316239998</v>
      </c>
      <c r="Q34" s="284">
        <f>MCF!R33</f>
        <v>0.8</v>
      </c>
      <c r="R34" s="67">
        <f t="shared" si="5"/>
        <v>0.78321459705984009</v>
      </c>
      <c r="S34" s="67">
        <f t="shared" si="7"/>
        <v>0.78321459705984009</v>
      </c>
      <c r="T34" s="67">
        <f t="shared" si="8"/>
        <v>0</v>
      </c>
      <c r="U34" s="67">
        <f t="shared" si="9"/>
        <v>6.7135265315815582</v>
      </c>
      <c r="V34" s="67">
        <f t="shared" si="10"/>
        <v>0.4299961326423436</v>
      </c>
      <c r="W34" s="100">
        <f t="shared" si="11"/>
        <v>0.28666408842822905</v>
      </c>
    </row>
    <row r="35" spans="2:23">
      <c r="B35" s="96">
        <f>Amnt_Deposited!B30</f>
        <v>2016</v>
      </c>
      <c r="C35" s="99">
        <f>Amnt_Deposited!D30</f>
        <v>4.9777451095679996</v>
      </c>
      <c r="D35" s="418">
        <f>Dry_Matter_Content!D22</f>
        <v>0.44</v>
      </c>
      <c r="E35" s="284">
        <f>MCF!R34</f>
        <v>0.8</v>
      </c>
      <c r="F35" s="67">
        <f t="shared" si="0"/>
        <v>0.38547658128494589</v>
      </c>
      <c r="G35" s="67">
        <f t="shared" si="1"/>
        <v>0.38547658128494589</v>
      </c>
      <c r="H35" s="67">
        <f t="shared" si="2"/>
        <v>0</v>
      </c>
      <c r="I35" s="67">
        <f t="shared" si="3"/>
        <v>3.4151474948304363</v>
      </c>
      <c r="J35" s="67">
        <f t="shared" si="4"/>
        <v>0.21967592773998387</v>
      </c>
      <c r="K35" s="100">
        <f t="shared" si="6"/>
        <v>0.14645061849332258</v>
      </c>
      <c r="O35" s="96">
        <f>Amnt_Deposited!B30</f>
        <v>2016</v>
      </c>
      <c r="P35" s="99">
        <f>Amnt_Deposited!D30</f>
        <v>4.9777451095679996</v>
      </c>
      <c r="Q35" s="284">
        <f>MCF!R34</f>
        <v>0.8</v>
      </c>
      <c r="R35" s="67">
        <f t="shared" si="5"/>
        <v>0.79643921753087998</v>
      </c>
      <c r="S35" s="67">
        <f t="shared" si="7"/>
        <v>0.79643921753087998</v>
      </c>
      <c r="T35" s="67">
        <f t="shared" si="8"/>
        <v>0</v>
      </c>
      <c r="U35" s="67">
        <f t="shared" si="9"/>
        <v>7.0560898653521411</v>
      </c>
      <c r="V35" s="67">
        <f t="shared" si="10"/>
        <v>0.45387588376029725</v>
      </c>
      <c r="W35" s="100">
        <f t="shared" si="11"/>
        <v>0.30258392250686483</v>
      </c>
    </row>
    <row r="36" spans="2:23">
      <c r="B36" s="96">
        <f>Amnt_Deposited!B31</f>
        <v>2017</v>
      </c>
      <c r="C36" s="99">
        <f>Amnt_Deposited!D31</f>
        <v>5.1687619271640006</v>
      </c>
      <c r="D36" s="418">
        <f>Dry_Matter_Content!D23</f>
        <v>0.44</v>
      </c>
      <c r="E36" s="284">
        <f>MCF!R35</f>
        <v>0.8</v>
      </c>
      <c r="F36" s="67">
        <f t="shared" si="0"/>
        <v>0.40026892363958022</v>
      </c>
      <c r="G36" s="67">
        <f t="shared" si="1"/>
        <v>0.40026892363958022</v>
      </c>
      <c r="H36" s="67">
        <f t="shared" si="2"/>
        <v>0</v>
      </c>
      <c r="I36" s="67">
        <f t="shared" si="3"/>
        <v>3.5845313418867608</v>
      </c>
      <c r="J36" s="67">
        <f t="shared" si="4"/>
        <v>0.23088507658325608</v>
      </c>
      <c r="K36" s="100">
        <f t="shared" si="6"/>
        <v>0.15392338438883738</v>
      </c>
      <c r="O36" s="96">
        <f>Amnt_Deposited!B31</f>
        <v>2017</v>
      </c>
      <c r="P36" s="99">
        <f>Amnt_Deposited!D31</f>
        <v>5.1687619271640006</v>
      </c>
      <c r="Q36" s="284">
        <f>MCF!R35</f>
        <v>0.8</v>
      </c>
      <c r="R36" s="67">
        <f t="shared" si="5"/>
        <v>0.8270019083462401</v>
      </c>
      <c r="S36" s="67">
        <f t="shared" si="7"/>
        <v>0.8270019083462401</v>
      </c>
      <c r="T36" s="67">
        <f t="shared" si="8"/>
        <v>0</v>
      </c>
      <c r="U36" s="67">
        <f t="shared" si="9"/>
        <v>7.4060564915015714</v>
      </c>
      <c r="V36" s="67">
        <f t="shared" si="10"/>
        <v>0.47703528219681007</v>
      </c>
      <c r="W36" s="100">
        <f t="shared" si="11"/>
        <v>0.31802352146454005</v>
      </c>
    </row>
    <row r="37" spans="2:23">
      <c r="B37" s="96">
        <f>Amnt_Deposited!B32</f>
        <v>2018</v>
      </c>
      <c r="C37" s="99">
        <f>Amnt_Deposited!D32</f>
        <v>5.2888303226880007</v>
      </c>
      <c r="D37" s="418">
        <f>Dry_Matter_Content!D24</f>
        <v>0.44</v>
      </c>
      <c r="E37" s="284">
        <f>MCF!R36</f>
        <v>0.8</v>
      </c>
      <c r="F37" s="67">
        <f t="shared" si="0"/>
        <v>0.4095670201889588</v>
      </c>
      <c r="G37" s="67">
        <f t="shared" si="1"/>
        <v>0.4095670201889588</v>
      </c>
      <c r="H37" s="67">
        <f t="shared" si="2"/>
        <v>0</v>
      </c>
      <c r="I37" s="67">
        <f t="shared" si="3"/>
        <v>3.7517618906233503</v>
      </c>
      <c r="J37" s="67">
        <f t="shared" si="4"/>
        <v>0.24233647145236925</v>
      </c>
      <c r="K37" s="100">
        <f t="shared" si="6"/>
        <v>0.16155764763491282</v>
      </c>
      <c r="O37" s="96">
        <f>Amnt_Deposited!B32</f>
        <v>2018</v>
      </c>
      <c r="P37" s="99">
        <f>Amnt_Deposited!D32</f>
        <v>5.2888303226880007</v>
      </c>
      <c r="Q37" s="284">
        <f>MCF!R36</f>
        <v>0.8</v>
      </c>
      <c r="R37" s="67">
        <f t="shared" si="5"/>
        <v>0.8462128516300802</v>
      </c>
      <c r="S37" s="67">
        <f t="shared" si="7"/>
        <v>0.8462128516300802</v>
      </c>
      <c r="T37" s="67">
        <f t="shared" si="8"/>
        <v>0</v>
      </c>
      <c r="U37" s="67">
        <f t="shared" si="9"/>
        <v>7.7515741541804761</v>
      </c>
      <c r="V37" s="67">
        <f t="shared" si="10"/>
        <v>0.50069518895117615</v>
      </c>
      <c r="W37" s="100">
        <f t="shared" si="11"/>
        <v>0.33379679263411743</v>
      </c>
    </row>
    <row r="38" spans="2:23">
      <c r="B38" s="96">
        <f>Amnt_Deposited!B33</f>
        <v>2019</v>
      </c>
      <c r="C38" s="99">
        <f>Amnt_Deposited!D33</f>
        <v>5.4088987182120007</v>
      </c>
      <c r="D38" s="418">
        <f>Dry_Matter_Content!D25</f>
        <v>0.44</v>
      </c>
      <c r="E38" s="284">
        <f>MCF!R37</f>
        <v>0.8</v>
      </c>
      <c r="F38" s="67">
        <f t="shared" si="0"/>
        <v>0.41886511673833732</v>
      </c>
      <c r="G38" s="67">
        <f t="shared" si="1"/>
        <v>0.41886511673833732</v>
      </c>
      <c r="H38" s="67">
        <f t="shared" si="2"/>
        <v>0</v>
      </c>
      <c r="I38" s="67">
        <f t="shared" si="3"/>
        <v>3.9169847173142056</v>
      </c>
      <c r="J38" s="67">
        <f t="shared" si="4"/>
        <v>0.25364229004748223</v>
      </c>
      <c r="K38" s="100">
        <f t="shared" si="6"/>
        <v>0.1690948600316548</v>
      </c>
      <c r="O38" s="96">
        <f>Amnt_Deposited!B33</f>
        <v>2019</v>
      </c>
      <c r="P38" s="99">
        <f>Amnt_Deposited!D33</f>
        <v>5.4088987182120007</v>
      </c>
      <c r="Q38" s="284">
        <f>MCF!R37</f>
        <v>0.8</v>
      </c>
      <c r="R38" s="67">
        <f t="shared" si="5"/>
        <v>0.86542379491392019</v>
      </c>
      <c r="S38" s="67">
        <f t="shared" si="7"/>
        <v>0.86542379491392019</v>
      </c>
      <c r="T38" s="67">
        <f t="shared" si="8"/>
        <v>0</v>
      </c>
      <c r="U38" s="67">
        <f t="shared" si="9"/>
        <v>8.0929436308144744</v>
      </c>
      <c r="V38" s="67">
        <f t="shared" si="10"/>
        <v>0.52405431827992199</v>
      </c>
      <c r="W38" s="100">
        <f t="shared" si="11"/>
        <v>0.34936954551994798</v>
      </c>
    </row>
    <row r="39" spans="2:23">
      <c r="B39" s="96">
        <f>Amnt_Deposited!B34</f>
        <v>2020</v>
      </c>
      <c r="C39" s="99">
        <f>Amnt_Deposited!D34</f>
        <v>5.5289671137360017</v>
      </c>
      <c r="D39" s="418">
        <f>Dry_Matter_Content!D26</f>
        <v>0.44</v>
      </c>
      <c r="E39" s="284">
        <f>MCF!R38</f>
        <v>0.8</v>
      </c>
      <c r="F39" s="67">
        <f t="shared" si="0"/>
        <v>0.428163213287716</v>
      </c>
      <c r="G39" s="67">
        <f t="shared" si="1"/>
        <v>0.428163213287716</v>
      </c>
      <c r="H39" s="67">
        <f t="shared" si="2"/>
        <v>0</v>
      </c>
      <c r="I39" s="67">
        <f t="shared" si="3"/>
        <v>4.0803355563775288</v>
      </c>
      <c r="J39" s="67">
        <f t="shared" si="4"/>
        <v>0.26481237422439247</v>
      </c>
      <c r="K39" s="100">
        <f t="shared" si="6"/>
        <v>0.17654158281626164</v>
      </c>
      <c r="O39" s="96">
        <f>Amnt_Deposited!B34</f>
        <v>2020</v>
      </c>
      <c r="P39" s="99">
        <f>Amnt_Deposited!D34</f>
        <v>5.5289671137360017</v>
      </c>
      <c r="Q39" s="284">
        <f>MCF!R38</f>
        <v>0.8</v>
      </c>
      <c r="R39" s="67">
        <f t="shared" si="5"/>
        <v>0.8846347381977604</v>
      </c>
      <c r="S39" s="67">
        <f t="shared" si="7"/>
        <v>0.8846347381977604</v>
      </c>
      <c r="T39" s="67">
        <f t="shared" si="8"/>
        <v>0</v>
      </c>
      <c r="U39" s="67">
        <f t="shared" si="9"/>
        <v>8.4304453644163821</v>
      </c>
      <c r="V39" s="67">
        <f t="shared" si="10"/>
        <v>0.54713300459585223</v>
      </c>
      <c r="W39" s="100">
        <f t="shared" si="11"/>
        <v>0.36475533639723479</v>
      </c>
    </row>
    <row r="40" spans="2:23">
      <c r="B40" s="96">
        <f>Amnt_Deposited!B35</f>
        <v>2021</v>
      </c>
      <c r="C40" s="99">
        <f>Amnt_Deposited!D35</f>
        <v>5.6490355092600009</v>
      </c>
      <c r="D40" s="418">
        <f>Dry_Matter_Content!D27</f>
        <v>0.44</v>
      </c>
      <c r="E40" s="284">
        <f>MCF!R39</f>
        <v>0.8</v>
      </c>
      <c r="F40" s="67">
        <f t="shared" si="0"/>
        <v>0.43746130983709453</v>
      </c>
      <c r="G40" s="67">
        <f t="shared" si="1"/>
        <v>0.43746130983709453</v>
      </c>
      <c r="H40" s="67">
        <f t="shared" si="2"/>
        <v>0</v>
      </c>
      <c r="I40" s="67">
        <f t="shared" si="3"/>
        <v>4.2419409657460019</v>
      </c>
      <c r="J40" s="67">
        <f t="shared" si="4"/>
        <v>0.27585590046862196</v>
      </c>
      <c r="K40" s="100">
        <f t="shared" si="6"/>
        <v>0.18390393364574797</v>
      </c>
      <c r="O40" s="96">
        <f>Amnt_Deposited!B35</f>
        <v>2021</v>
      </c>
      <c r="P40" s="99">
        <f>Amnt_Deposited!D35</f>
        <v>5.6490355092600009</v>
      </c>
      <c r="Q40" s="284">
        <f>MCF!R39</f>
        <v>0.8</v>
      </c>
      <c r="R40" s="67">
        <f t="shared" si="5"/>
        <v>0.90384568148160016</v>
      </c>
      <c r="S40" s="67">
        <f t="shared" si="7"/>
        <v>0.90384568148160016</v>
      </c>
      <c r="T40" s="67">
        <f t="shared" si="8"/>
        <v>0</v>
      </c>
      <c r="U40" s="67">
        <f t="shared" si="9"/>
        <v>8.7643408383181853</v>
      </c>
      <c r="V40" s="67">
        <f t="shared" si="10"/>
        <v>0.56995020757979742</v>
      </c>
      <c r="W40" s="100">
        <f t="shared" si="11"/>
        <v>0.37996680505319824</v>
      </c>
    </row>
    <row r="41" spans="2:23">
      <c r="B41" s="96">
        <f>Amnt_Deposited!B36</f>
        <v>2022</v>
      </c>
      <c r="C41" s="99">
        <f>Amnt_Deposited!D36</f>
        <v>5.7691039047840009</v>
      </c>
      <c r="D41" s="418">
        <f>Dry_Matter_Content!D28</f>
        <v>0.44</v>
      </c>
      <c r="E41" s="284">
        <f>MCF!R40</f>
        <v>0.8</v>
      </c>
      <c r="F41" s="67">
        <f t="shared" si="0"/>
        <v>0.44675940638647305</v>
      </c>
      <c r="G41" s="67">
        <f t="shared" si="1"/>
        <v>0.44675940638647305</v>
      </c>
      <c r="H41" s="67">
        <f t="shared" si="2"/>
        <v>0</v>
      </c>
      <c r="I41" s="67">
        <f t="shared" si="3"/>
        <v>4.4019189472539146</v>
      </c>
      <c r="J41" s="67">
        <f t="shared" si="4"/>
        <v>0.2867814248785599</v>
      </c>
      <c r="K41" s="100">
        <f t="shared" si="6"/>
        <v>0.1911876165857066</v>
      </c>
      <c r="O41" s="96">
        <f>Amnt_Deposited!B36</f>
        <v>2022</v>
      </c>
      <c r="P41" s="99">
        <f>Amnt_Deposited!D36</f>
        <v>5.7691039047840009</v>
      </c>
      <c r="Q41" s="284">
        <f>MCF!R40</f>
        <v>0.8</v>
      </c>
      <c r="R41" s="67">
        <f t="shared" si="5"/>
        <v>0.92305662476544015</v>
      </c>
      <c r="S41" s="67">
        <f t="shared" si="7"/>
        <v>0.92305662476544015</v>
      </c>
      <c r="T41" s="67">
        <f t="shared" si="8"/>
        <v>0</v>
      </c>
      <c r="U41" s="67">
        <f t="shared" si="9"/>
        <v>9.094873857962634</v>
      </c>
      <c r="V41" s="67">
        <f t="shared" si="10"/>
        <v>0.59252360512099156</v>
      </c>
      <c r="W41" s="100">
        <f t="shared" si="11"/>
        <v>0.39501573674732771</v>
      </c>
    </row>
    <row r="42" spans="2:23">
      <c r="B42" s="96">
        <f>Amnt_Deposited!B37</f>
        <v>2023</v>
      </c>
      <c r="C42" s="99">
        <f>Amnt_Deposited!D37</f>
        <v>5.8891723003080019</v>
      </c>
      <c r="D42" s="418">
        <f>Dry_Matter_Content!D29</f>
        <v>0.44</v>
      </c>
      <c r="E42" s="284">
        <f>MCF!R41</f>
        <v>0.8</v>
      </c>
      <c r="F42" s="67">
        <f t="shared" si="0"/>
        <v>0.45605750293585168</v>
      </c>
      <c r="G42" s="67">
        <f t="shared" si="1"/>
        <v>0.45605750293585168</v>
      </c>
      <c r="H42" s="67">
        <f t="shared" si="2"/>
        <v>0</v>
      </c>
      <c r="I42" s="67">
        <f t="shared" si="3"/>
        <v>4.5603795250822996</v>
      </c>
      <c r="J42" s="67">
        <f t="shared" si="4"/>
        <v>0.29759692510746671</v>
      </c>
      <c r="K42" s="100">
        <f t="shared" si="6"/>
        <v>0.19839795007164446</v>
      </c>
      <c r="O42" s="96">
        <f>Amnt_Deposited!B37</f>
        <v>2023</v>
      </c>
      <c r="P42" s="99">
        <f>Amnt_Deposited!D37</f>
        <v>5.8891723003080019</v>
      </c>
      <c r="Q42" s="284">
        <f>MCF!R41</f>
        <v>0.8</v>
      </c>
      <c r="R42" s="67">
        <f t="shared" si="5"/>
        <v>0.94226756804928036</v>
      </c>
      <c r="S42" s="67">
        <f t="shared" si="7"/>
        <v>0.94226756804928036</v>
      </c>
      <c r="T42" s="67">
        <f t="shared" si="8"/>
        <v>0</v>
      </c>
      <c r="U42" s="67">
        <f t="shared" si="9"/>
        <v>9.4222717460378096</v>
      </c>
      <c r="V42" s="67">
        <f t="shared" si="10"/>
        <v>0.61486967997410491</v>
      </c>
      <c r="W42" s="100">
        <f t="shared" si="11"/>
        <v>0.40991311998273661</v>
      </c>
    </row>
    <row r="43" spans="2:23">
      <c r="B43" s="96">
        <f>Amnt_Deposited!B38</f>
        <v>2024</v>
      </c>
      <c r="C43" s="99">
        <f>Amnt_Deposited!D38</f>
        <v>6.0092406958320002</v>
      </c>
      <c r="D43" s="418">
        <f>Dry_Matter_Content!D30</f>
        <v>0.44</v>
      </c>
      <c r="E43" s="284">
        <f>MCF!R42</f>
        <v>0.8</v>
      </c>
      <c r="F43" s="67">
        <f t="shared" si="0"/>
        <v>0.4653555994852302</v>
      </c>
      <c r="G43" s="67">
        <f t="shared" si="1"/>
        <v>0.4653555994852302</v>
      </c>
      <c r="H43" s="67">
        <f t="shared" si="2"/>
        <v>0</v>
      </c>
      <c r="I43" s="67">
        <f t="shared" si="3"/>
        <v>4.7174252850975895</v>
      </c>
      <c r="J43" s="67">
        <f t="shared" si="4"/>
        <v>0.30830983946994001</v>
      </c>
      <c r="K43" s="100">
        <f t="shared" si="6"/>
        <v>0.20553989297996</v>
      </c>
      <c r="O43" s="96">
        <f>Amnt_Deposited!B38</f>
        <v>2024</v>
      </c>
      <c r="P43" s="99">
        <f>Amnt_Deposited!D38</f>
        <v>6.0092406958320002</v>
      </c>
      <c r="Q43" s="284">
        <f>MCF!R42</f>
        <v>0.8</v>
      </c>
      <c r="R43" s="67">
        <f t="shared" si="5"/>
        <v>0.96147851133312023</v>
      </c>
      <c r="S43" s="67">
        <f t="shared" si="7"/>
        <v>0.96147851133312023</v>
      </c>
      <c r="T43" s="67">
        <f t="shared" si="8"/>
        <v>0</v>
      </c>
      <c r="U43" s="67">
        <f t="shared" si="9"/>
        <v>9.7467464568132023</v>
      </c>
      <c r="V43" s="67">
        <f t="shared" si="10"/>
        <v>0.63700380055772732</v>
      </c>
      <c r="W43" s="100">
        <f t="shared" si="11"/>
        <v>0.42466920037181821</v>
      </c>
    </row>
    <row r="44" spans="2:23">
      <c r="B44" s="96">
        <f>Amnt_Deposited!B39</f>
        <v>2025</v>
      </c>
      <c r="C44" s="99">
        <f>Amnt_Deposited!D39</f>
        <v>6.1293090913560002</v>
      </c>
      <c r="D44" s="418">
        <f>Dry_Matter_Content!D31</f>
        <v>0.44</v>
      </c>
      <c r="E44" s="284">
        <f>MCF!R43</f>
        <v>0.8</v>
      </c>
      <c r="F44" s="67">
        <f t="shared" si="0"/>
        <v>0.47465369603460872</v>
      </c>
      <c r="G44" s="67">
        <f t="shared" si="1"/>
        <v>0.47465369603460872</v>
      </c>
      <c r="H44" s="67">
        <f t="shared" si="2"/>
        <v>0</v>
      </c>
      <c r="I44" s="67">
        <f t="shared" si="3"/>
        <v>4.8731518777276568</v>
      </c>
      <c r="J44" s="67">
        <f t="shared" si="4"/>
        <v>0.31892710340454095</v>
      </c>
      <c r="K44" s="100">
        <f t="shared" si="6"/>
        <v>0.21261806893636062</v>
      </c>
      <c r="O44" s="96">
        <f>Amnt_Deposited!B39</f>
        <v>2025</v>
      </c>
      <c r="P44" s="99">
        <f>Amnt_Deposited!D39</f>
        <v>6.1293090913560002</v>
      </c>
      <c r="Q44" s="284">
        <f>MCF!R43</f>
        <v>0.8</v>
      </c>
      <c r="R44" s="67">
        <f t="shared" si="5"/>
        <v>0.98068945461696022</v>
      </c>
      <c r="S44" s="67">
        <f t="shared" si="7"/>
        <v>0.98068945461696022</v>
      </c>
      <c r="T44" s="67">
        <f t="shared" si="8"/>
        <v>0</v>
      </c>
      <c r="U44" s="67">
        <f t="shared" si="9"/>
        <v>10.068495615139788</v>
      </c>
      <c r="V44" s="67">
        <f t="shared" si="10"/>
        <v>0.65894029629037387</v>
      </c>
      <c r="W44" s="100">
        <f t="shared" si="11"/>
        <v>0.43929353086024925</v>
      </c>
    </row>
    <row r="45" spans="2:23">
      <c r="B45" s="96">
        <f>Amnt_Deposited!B40</f>
        <v>2026</v>
      </c>
      <c r="C45" s="99">
        <f>Amnt_Deposited!D40</f>
        <v>6.2493774868799994</v>
      </c>
      <c r="D45" s="418">
        <f>Dry_Matter_Content!D32</f>
        <v>0.44</v>
      </c>
      <c r="E45" s="284">
        <f>MCF!R44</f>
        <v>0.8</v>
      </c>
      <c r="F45" s="67">
        <f t="shared" si="0"/>
        <v>0.48395179258398713</v>
      </c>
      <c r="G45" s="67">
        <f t="shared" si="1"/>
        <v>0.48395179258398713</v>
      </c>
      <c r="H45" s="67">
        <f t="shared" si="2"/>
        <v>0</v>
      </c>
      <c r="I45" s="67">
        <f t="shared" si="3"/>
        <v>5.027648486840322</v>
      </c>
      <c r="J45" s="67">
        <f t="shared" si="4"/>
        <v>0.3294551834713223</v>
      </c>
      <c r="K45" s="100">
        <f t="shared" si="6"/>
        <v>0.21963678898088151</v>
      </c>
      <c r="O45" s="96">
        <f>Amnt_Deposited!B40</f>
        <v>2026</v>
      </c>
      <c r="P45" s="99">
        <f>Amnt_Deposited!D40</f>
        <v>6.2493774868799994</v>
      </c>
      <c r="Q45" s="284">
        <f>MCF!R44</f>
        <v>0.8</v>
      </c>
      <c r="R45" s="67">
        <f t="shared" si="5"/>
        <v>0.9999003979008001</v>
      </c>
      <c r="S45" s="67">
        <f t="shared" si="7"/>
        <v>0.9999003979008001</v>
      </c>
      <c r="T45" s="67">
        <f t="shared" si="8"/>
        <v>0</v>
      </c>
      <c r="U45" s="67">
        <f t="shared" si="9"/>
        <v>10.387703485207279</v>
      </c>
      <c r="V45" s="67">
        <f t="shared" si="10"/>
        <v>0.68069252783331069</v>
      </c>
      <c r="W45" s="100">
        <f t="shared" si="11"/>
        <v>0.45379501855554044</v>
      </c>
    </row>
    <row r="46" spans="2:23">
      <c r="B46" s="96">
        <f>Amnt_Deposited!B41</f>
        <v>2027</v>
      </c>
      <c r="C46" s="99">
        <f>Amnt_Deposited!D41</f>
        <v>6.3694458824040003</v>
      </c>
      <c r="D46" s="418">
        <f>Dry_Matter_Content!D33</f>
        <v>0.44</v>
      </c>
      <c r="E46" s="284">
        <f>MCF!R45</f>
        <v>0.8</v>
      </c>
      <c r="F46" s="67">
        <f t="shared" si="0"/>
        <v>0.49324988913336576</v>
      </c>
      <c r="G46" s="67">
        <f t="shared" si="1"/>
        <v>0.49324988913336576</v>
      </c>
      <c r="H46" s="67">
        <f t="shared" si="2"/>
        <v>0</v>
      </c>
      <c r="I46" s="67">
        <f t="shared" si="3"/>
        <v>5.1809982669227743</v>
      </c>
      <c r="J46" s="67">
        <f t="shared" si="4"/>
        <v>0.33990010905091345</v>
      </c>
      <c r="K46" s="100">
        <f t="shared" si="6"/>
        <v>0.22660007270060895</v>
      </c>
      <c r="O46" s="96">
        <f>Amnt_Deposited!B41</f>
        <v>2027</v>
      </c>
      <c r="P46" s="99">
        <f>Amnt_Deposited!D41</f>
        <v>6.3694458824040003</v>
      </c>
      <c r="Q46" s="284">
        <f>MCF!R45</f>
        <v>0.8</v>
      </c>
      <c r="R46" s="67">
        <f t="shared" si="5"/>
        <v>1.0191113411846402</v>
      </c>
      <c r="S46" s="67">
        <f t="shared" si="7"/>
        <v>1.0191113411846402</v>
      </c>
      <c r="T46" s="67">
        <f t="shared" si="8"/>
        <v>0</v>
      </c>
      <c r="U46" s="67">
        <f t="shared" si="9"/>
        <v>10.704541873807386</v>
      </c>
      <c r="V46" s="67">
        <f t="shared" si="10"/>
        <v>0.70227295258453204</v>
      </c>
      <c r="W46" s="100">
        <f t="shared" si="11"/>
        <v>0.46818196838968801</v>
      </c>
    </row>
    <row r="47" spans="2:23">
      <c r="B47" s="96">
        <f>Amnt_Deposited!B42</f>
        <v>2028</v>
      </c>
      <c r="C47" s="99">
        <f>Amnt_Deposited!D42</f>
        <v>6.4895142779280004</v>
      </c>
      <c r="D47" s="418">
        <f>Dry_Matter_Content!D34</f>
        <v>0.44</v>
      </c>
      <c r="E47" s="284">
        <f>MCF!R46</f>
        <v>0.8</v>
      </c>
      <c r="F47" s="67">
        <f t="shared" si="0"/>
        <v>0.50254798568274439</v>
      </c>
      <c r="G47" s="67">
        <f t="shared" si="1"/>
        <v>0.50254798568274439</v>
      </c>
      <c r="H47" s="67">
        <f t="shared" si="2"/>
        <v>0</v>
      </c>
      <c r="I47" s="67">
        <f t="shared" si="3"/>
        <v>5.3332787507049675</v>
      </c>
      <c r="J47" s="67">
        <f t="shared" si="4"/>
        <v>0.35026750190055095</v>
      </c>
      <c r="K47" s="100">
        <f t="shared" si="6"/>
        <v>0.23351166793370062</v>
      </c>
      <c r="O47" s="96">
        <f>Amnt_Deposited!B42</f>
        <v>2028</v>
      </c>
      <c r="P47" s="99">
        <f>Amnt_Deposited!D42</f>
        <v>6.4895142779280004</v>
      </c>
      <c r="Q47" s="284">
        <f>MCF!R46</f>
        <v>0.8</v>
      </c>
      <c r="R47" s="67">
        <f t="shared" si="5"/>
        <v>1.0383222844684803</v>
      </c>
      <c r="S47" s="67">
        <f t="shared" si="7"/>
        <v>1.0383222844684803</v>
      </c>
      <c r="T47" s="67">
        <f t="shared" si="8"/>
        <v>0</v>
      </c>
      <c r="U47" s="67">
        <f t="shared" si="9"/>
        <v>11.019170972530926</v>
      </c>
      <c r="V47" s="67">
        <f t="shared" si="10"/>
        <v>0.72369318574494013</v>
      </c>
      <c r="W47" s="100">
        <f t="shared" si="11"/>
        <v>0.48246212382996007</v>
      </c>
    </row>
    <row r="48" spans="2:23">
      <c r="B48" s="96">
        <f>Amnt_Deposited!B43</f>
        <v>2029</v>
      </c>
      <c r="C48" s="99">
        <f>Amnt_Deposited!D43</f>
        <v>6.6095826734519996</v>
      </c>
      <c r="D48" s="418">
        <f>Dry_Matter_Content!D35</f>
        <v>0.44</v>
      </c>
      <c r="E48" s="284">
        <f>MCF!R47</f>
        <v>0.8</v>
      </c>
      <c r="F48" s="67">
        <f t="shared" si="0"/>
        <v>0.51184608223212291</v>
      </c>
      <c r="G48" s="67">
        <f t="shared" si="1"/>
        <v>0.51184608223212291</v>
      </c>
      <c r="H48" s="67">
        <f t="shared" si="2"/>
        <v>0</v>
      </c>
      <c r="I48" s="67">
        <f t="shared" si="3"/>
        <v>5.4845622292251512</v>
      </c>
      <c r="J48" s="67">
        <f t="shared" si="4"/>
        <v>0.36056260371193921</v>
      </c>
      <c r="K48" s="100">
        <f t="shared" si="6"/>
        <v>0.24037506914129281</v>
      </c>
      <c r="O48" s="96">
        <f>Amnt_Deposited!B43</f>
        <v>2029</v>
      </c>
      <c r="P48" s="99">
        <f>Amnt_Deposited!D43</f>
        <v>6.6095826734519996</v>
      </c>
      <c r="Q48" s="284">
        <f>MCF!R47</f>
        <v>0.8</v>
      </c>
      <c r="R48" s="67">
        <f t="shared" si="5"/>
        <v>1.0575332277523202</v>
      </c>
      <c r="S48" s="67">
        <f t="shared" si="7"/>
        <v>1.0575332277523202</v>
      </c>
      <c r="T48" s="67">
        <f t="shared" si="8"/>
        <v>0</v>
      </c>
      <c r="U48" s="67">
        <f t="shared" si="9"/>
        <v>11.331740143027172</v>
      </c>
      <c r="V48" s="67">
        <f t="shared" si="10"/>
        <v>0.74496405725607284</v>
      </c>
      <c r="W48" s="100">
        <f t="shared" si="11"/>
        <v>0.49664270483738188</v>
      </c>
    </row>
    <row r="49" spans="2:23">
      <c r="B49" s="96">
        <f>Amnt_Deposited!B44</f>
        <v>2030</v>
      </c>
      <c r="C49" s="99">
        <f>Amnt_Deposited!D44</f>
        <v>6.7296510689760005</v>
      </c>
      <c r="D49" s="418">
        <f>Dry_Matter_Content!D36</f>
        <v>0.44</v>
      </c>
      <c r="E49" s="284">
        <f>MCF!R48</f>
        <v>0.8</v>
      </c>
      <c r="F49" s="67">
        <f t="shared" si="0"/>
        <v>0.52114417878150154</v>
      </c>
      <c r="G49" s="67">
        <f t="shared" si="1"/>
        <v>0.52114417878150154</v>
      </c>
      <c r="H49" s="67">
        <f t="shared" si="2"/>
        <v>0</v>
      </c>
      <c r="I49" s="67">
        <f t="shared" si="3"/>
        <v>5.634916106200623</v>
      </c>
      <c r="J49" s="67">
        <f t="shared" si="4"/>
        <v>0.3707903018060294</v>
      </c>
      <c r="K49" s="100">
        <f t="shared" si="6"/>
        <v>0.24719353453735293</v>
      </c>
      <c r="O49" s="96">
        <f>Amnt_Deposited!B44</f>
        <v>2030</v>
      </c>
      <c r="P49" s="99">
        <f>Amnt_Deposited!D44</f>
        <v>6.7296510689760005</v>
      </c>
      <c r="Q49" s="284">
        <f>MCF!R48</f>
        <v>0.8</v>
      </c>
      <c r="R49" s="67">
        <f t="shared" si="5"/>
        <v>1.0767441710361603</v>
      </c>
      <c r="S49" s="67">
        <f t="shared" si="7"/>
        <v>1.0767441710361603</v>
      </c>
      <c r="T49" s="67">
        <f t="shared" si="8"/>
        <v>0</v>
      </c>
      <c r="U49" s="67">
        <f t="shared" si="9"/>
        <v>11.642388649174842</v>
      </c>
      <c r="V49" s="67">
        <f t="shared" si="10"/>
        <v>0.76609566488849046</v>
      </c>
      <c r="W49" s="100">
        <f t="shared" si="11"/>
        <v>0.51073044325899364</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5.2539609531099511</v>
      </c>
      <c r="J50" s="67">
        <f t="shared" si="4"/>
        <v>0.38095515309067202</v>
      </c>
      <c r="K50" s="100">
        <f t="shared" si="6"/>
        <v>0.25397010206044801</v>
      </c>
      <c r="O50" s="96">
        <f>Amnt_Deposited!B45</f>
        <v>2031</v>
      </c>
      <c r="P50" s="99">
        <f>Amnt_Deposited!D45</f>
        <v>0</v>
      </c>
      <c r="Q50" s="284">
        <f>MCF!R49</f>
        <v>0.8</v>
      </c>
      <c r="R50" s="67">
        <f t="shared" si="5"/>
        <v>0</v>
      </c>
      <c r="S50" s="67">
        <f t="shared" si="7"/>
        <v>0</v>
      </c>
      <c r="T50" s="67">
        <f t="shared" si="8"/>
        <v>0</v>
      </c>
      <c r="U50" s="67">
        <f t="shared" si="9"/>
        <v>10.855291225433785</v>
      </c>
      <c r="V50" s="67">
        <f t="shared" si="10"/>
        <v>0.78709742374105796</v>
      </c>
      <c r="W50" s="100">
        <f t="shared" si="11"/>
        <v>0.52473161582737193</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4.8987607227068839</v>
      </c>
      <c r="J51" s="67">
        <f t="shared" si="4"/>
        <v>0.35520023040306703</v>
      </c>
      <c r="K51" s="100">
        <f t="shared" si="6"/>
        <v>0.23680015360204468</v>
      </c>
      <c r="O51" s="96">
        <f>Amnt_Deposited!B46</f>
        <v>2032</v>
      </c>
      <c r="P51" s="99">
        <f>Amnt_Deposited!D46</f>
        <v>0</v>
      </c>
      <c r="Q51" s="284">
        <f>MCF!R50</f>
        <v>0.8</v>
      </c>
      <c r="R51" s="67">
        <f t="shared" ref="R51:R82" si="13">P51*$W$6*DOCF*Q51</f>
        <v>0</v>
      </c>
      <c r="S51" s="67">
        <f t="shared" si="7"/>
        <v>0</v>
      </c>
      <c r="T51" s="67">
        <f t="shared" si="8"/>
        <v>0</v>
      </c>
      <c r="U51" s="67">
        <f t="shared" si="9"/>
        <v>10.121406451873728</v>
      </c>
      <c r="V51" s="67">
        <f t="shared" si="10"/>
        <v>0.73388477356005588</v>
      </c>
      <c r="W51" s="100">
        <f t="shared" si="11"/>
        <v>0.48925651570670392</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4.5675742230498955</v>
      </c>
      <c r="J52" s="67">
        <f t="shared" si="4"/>
        <v>0.3311864996569886</v>
      </c>
      <c r="K52" s="100">
        <f t="shared" si="6"/>
        <v>0.22079099977132571</v>
      </c>
      <c r="O52" s="96">
        <f>Amnt_Deposited!B47</f>
        <v>2033</v>
      </c>
      <c r="P52" s="99">
        <f>Amnt_Deposited!D47</f>
        <v>0</v>
      </c>
      <c r="Q52" s="284">
        <f>MCF!R51</f>
        <v>0.8</v>
      </c>
      <c r="R52" s="67">
        <f t="shared" si="13"/>
        <v>0</v>
      </c>
      <c r="S52" s="67">
        <f t="shared" si="7"/>
        <v>0</v>
      </c>
      <c r="T52" s="67">
        <f t="shared" si="8"/>
        <v>0</v>
      </c>
      <c r="U52" s="67">
        <f t="shared" si="9"/>
        <v>9.4371368244832556</v>
      </c>
      <c r="V52" s="67">
        <f t="shared" si="10"/>
        <v>0.68426962739047237</v>
      </c>
      <c r="W52" s="100">
        <f t="shared" si="11"/>
        <v>0.45617975159364821</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4.2587779775334358</v>
      </c>
      <c r="J53" s="67">
        <f t="shared" si="4"/>
        <v>0.30879624551645962</v>
      </c>
      <c r="K53" s="100">
        <f t="shared" si="6"/>
        <v>0.20586416367763974</v>
      </c>
      <c r="O53" s="96">
        <f>Amnt_Deposited!B48</f>
        <v>2034</v>
      </c>
      <c r="P53" s="99">
        <f>Amnt_Deposited!D48</f>
        <v>0</v>
      </c>
      <c r="Q53" s="284">
        <f>MCF!R52</f>
        <v>0.8</v>
      </c>
      <c r="R53" s="67">
        <f t="shared" si="13"/>
        <v>0</v>
      </c>
      <c r="S53" s="67">
        <f t="shared" si="7"/>
        <v>0</v>
      </c>
      <c r="T53" s="67">
        <f t="shared" si="8"/>
        <v>0</v>
      </c>
      <c r="U53" s="67">
        <f t="shared" si="9"/>
        <v>8.7991280527550337</v>
      </c>
      <c r="V53" s="67">
        <f t="shared" si="10"/>
        <v>0.63800877172822235</v>
      </c>
      <c r="W53" s="100">
        <f t="shared" si="11"/>
        <v>0.42533918115214819</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3.9708582666037291</v>
      </c>
      <c r="J54" s="67">
        <f t="shared" si="4"/>
        <v>0.28791971092970686</v>
      </c>
      <c r="K54" s="100">
        <f t="shared" si="6"/>
        <v>0.19194647395313791</v>
      </c>
      <c r="O54" s="96">
        <f>Amnt_Deposited!B49</f>
        <v>2035</v>
      </c>
      <c r="P54" s="99">
        <f>Amnt_Deposited!D49</f>
        <v>0</v>
      </c>
      <c r="Q54" s="284">
        <f>MCF!R53</f>
        <v>0.8</v>
      </c>
      <c r="R54" s="67">
        <f t="shared" si="13"/>
        <v>0</v>
      </c>
      <c r="S54" s="67">
        <f t="shared" si="7"/>
        <v>0</v>
      </c>
      <c r="T54" s="67">
        <f t="shared" si="8"/>
        <v>0</v>
      </c>
      <c r="U54" s="67">
        <f t="shared" si="9"/>
        <v>8.2042526169498551</v>
      </c>
      <c r="V54" s="67">
        <f t="shared" si="10"/>
        <v>0.59487543580517954</v>
      </c>
      <c r="W54" s="100">
        <f t="shared" si="11"/>
        <v>0.39658362387011969</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3.7024037075037635</v>
      </c>
      <c r="J55" s="67">
        <f t="shared" si="4"/>
        <v>0.26845455909996579</v>
      </c>
      <c r="K55" s="100">
        <f t="shared" si="6"/>
        <v>0.17896970606664386</v>
      </c>
      <c r="O55" s="96">
        <f>Amnt_Deposited!B50</f>
        <v>2036</v>
      </c>
      <c r="P55" s="99">
        <f>Amnt_Deposited!D50</f>
        <v>0</v>
      </c>
      <c r="Q55" s="284">
        <f>MCF!R54</f>
        <v>0.8</v>
      </c>
      <c r="R55" s="67">
        <f t="shared" si="13"/>
        <v>0</v>
      </c>
      <c r="S55" s="67">
        <f t="shared" si="7"/>
        <v>0</v>
      </c>
      <c r="T55" s="67">
        <f t="shared" si="8"/>
        <v>0</v>
      </c>
      <c r="U55" s="67">
        <f t="shared" si="9"/>
        <v>7.6495944369912481</v>
      </c>
      <c r="V55" s="67">
        <f t="shared" si="10"/>
        <v>0.55465817995860711</v>
      </c>
      <c r="W55" s="100">
        <f t="shared" si="11"/>
        <v>0.36977211997240472</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3.4520983356733792</v>
      </c>
      <c r="J56" s="67">
        <f t="shared" si="4"/>
        <v>0.25030537183038426</v>
      </c>
      <c r="K56" s="100">
        <f t="shared" si="6"/>
        <v>0.16687024788692284</v>
      </c>
      <c r="O56" s="96">
        <f>Amnt_Deposited!B51</f>
        <v>2037</v>
      </c>
      <c r="P56" s="99">
        <f>Amnt_Deposited!D51</f>
        <v>0</v>
      </c>
      <c r="Q56" s="284">
        <f>MCF!R55</f>
        <v>0.8</v>
      </c>
      <c r="R56" s="67">
        <f t="shared" si="13"/>
        <v>0</v>
      </c>
      <c r="S56" s="67">
        <f t="shared" si="7"/>
        <v>0</v>
      </c>
      <c r="T56" s="67">
        <f t="shared" si="8"/>
        <v>0</v>
      </c>
      <c r="U56" s="67">
        <f t="shared" si="9"/>
        <v>7.1324345778375617</v>
      </c>
      <c r="V56" s="67">
        <f t="shared" si="10"/>
        <v>0.51715985915368656</v>
      </c>
      <c r="W56" s="100">
        <f t="shared" si="11"/>
        <v>0.34477323943579102</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3.2187151538894687</v>
      </c>
      <c r="J57" s="67">
        <f t="shared" si="4"/>
        <v>0.23338318178391071</v>
      </c>
      <c r="K57" s="100">
        <f t="shared" si="6"/>
        <v>0.15558878785594046</v>
      </c>
      <c r="O57" s="96">
        <f>Amnt_Deposited!B52</f>
        <v>2038</v>
      </c>
      <c r="P57" s="99">
        <f>Amnt_Deposited!D52</f>
        <v>0</v>
      </c>
      <c r="Q57" s="284">
        <f>MCF!R56</f>
        <v>0.8</v>
      </c>
      <c r="R57" s="67">
        <f t="shared" si="13"/>
        <v>0</v>
      </c>
      <c r="S57" s="67">
        <f t="shared" si="7"/>
        <v>0</v>
      </c>
      <c r="T57" s="67">
        <f t="shared" si="8"/>
        <v>0</v>
      </c>
      <c r="U57" s="67">
        <f t="shared" si="9"/>
        <v>6.650237921259234</v>
      </c>
      <c r="V57" s="67">
        <f t="shared" si="10"/>
        <v>0.482196656578328</v>
      </c>
      <c r="W57" s="100">
        <f t="shared" si="11"/>
        <v>0.32146443771888533</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3.0011101175241639</v>
      </c>
      <c r="J58" s="67">
        <f t="shared" si="4"/>
        <v>0.21760503636530484</v>
      </c>
      <c r="K58" s="100">
        <f t="shared" si="6"/>
        <v>0.14507002424353654</v>
      </c>
      <c r="O58" s="96">
        <f>Amnt_Deposited!B53</f>
        <v>2039</v>
      </c>
      <c r="P58" s="99">
        <f>Amnt_Deposited!D53</f>
        <v>0</v>
      </c>
      <c r="Q58" s="284">
        <f>MCF!R57</f>
        <v>0.8</v>
      </c>
      <c r="R58" s="67">
        <f t="shared" si="13"/>
        <v>0</v>
      </c>
      <c r="S58" s="67">
        <f t="shared" si="7"/>
        <v>0</v>
      </c>
      <c r="T58" s="67">
        <f t="shared" si="8"/>
        <v>0</v>
      </c>
      <c r="U58" s="67">
        <f t="shared" si="9"/>
        <v>6.2006407386862898</v>
      </c>
      <c r="V58" s="67">
        <f t="shared" si="10"/>
        <v>0.44959718257294395</v>
      </c>
      <c r="W58" s="100">
        <f t="shared" si="11"/>
        <v>0.2997314550486293</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2.7982165264367445</v>
      </c>
      <c r="J59" s="67">
        <f t="shared" si="4"/>
        <v>0.20289359108741936</v>
      </c>
      <c r="K59" s="100">
        <f t="shared" si="6"/>
        <v>0.13526239405827956</v>
      </c>
      <c r="O59" s="96">
        <f>Amnt_Deposited!B54</f>
        <v>2040</v>
      </c>
      <c r="P59" s="99">
        <f>Amnt_Deposited!D54</f>
        <v>0</v>
      </c>
      <c r="Q59" s="284">
        <f>MCF!R58</f>
        <v>0.8</v>
      </c>
      <c r="R59" s="67">
        <f t="shared" si="13"/>
        <v>0</v>
      </c>
      <c r="S59" s="67">
        <f t="shared" si="7"/>
        <v>0</v>
      </c>
      <c r="T59" s="67">
        <f t="shared" si="8"/>
        <v>0</v>
      </c>
      <c r="U59" s="67">
        <f t="shared" si="9"/>
        <v>5.7814391042081503</v>
      </c>
      <c r="V59" s="67">
        <f t="shared" si="10"/>
        <v>0.41920163447813924</v>
      </c>
      <c r="W59" s="100">
        <f t="shared" si="11"/>
        <v>0.27946775631875947</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2.60903979600831</v>
      </c>
      <c r="J60" s="67">
        <f t="shared" si="4"/>
        <v>0.18917673042843439</v>
      </c>
      <c r="K60" s="100">
        <f t="shared" si="6"/>
        <v>0.12611782028562291</v>
      </c>
      <c r="O60" s="96">
        <f>Amnt_Deposited!B55</f>
        <v>2041</v>
      </c>
      <c r="P60" s="99">
        <f>Amnt_Deposited!D55</f>
        <v>0</v>
      </c>
      <c r="Q60" s="284">
        <f>MCF!R59</f>
        <v>0.8</v>
      </c>
      <c r="R60" s="67">
        <f t="shared" si="13"/>
        <v>0</v>
      </c>
      <c r="S60" s="67">
        <f t="shared" si="7"/>
        <v>0</v>
      </c>
      <c r="T60" s="67">
        <f t="shared" si="8"/>
        <v>0</v>
      </c>
      <c r="U60" s="67">
        <f t="shared" si="9"/>
        <v>5.3905780909262608</v>
      </c>
      <c r="V60" s="67">
        <f t="shared" si="10"/>
        <v>0.39086101328188932</v>
      </c>
      <c r="W60" s="100">
        <f t="shared" si="11"/>
        <v>0.26057400885459286</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2.4326525816868241</v>
      </c>
      <c r="J61" s="67">
        <f t="shared" si="4"/>
        <v>0.1763872143214858</v>
      </c>
      <c r="K61" s="100">
        <f t="shared" si="6"/>
        <v>0.11759147621432386</v>
      </c>
      <c r="O61" s="96">
        <f>Amnt_Deposited!B56</f>
        <v>2042</v>
      </c>
      <c r="P61" s="99">
        <f>Amnt_Deposited!D56</f>
        <v>0</v>
      </c>
      <c r="Q61" s="284">
        <f>MCF!R60</f>
        <v>0.8</v>
      </c>
      <c r="R61" s="67">
        <f t="shared" si="13"/>
        <v>0</v>
      </c>
      <c r="S61" s="67">
        <f t="shared" si="7"/>
        <v>0</v>
      </c>
      <c r="T61" s="67">
        <f t="shared" si="8"/>
        <v>0</v>
      </c>
      <c r="U61" s="67">
        <f t="shared" si="9"/>
        <v>5.0261416977000506</v>
      </c>
      <c r="V61" s="67">
        <f t="shared" si="10"/>
        <v>0.36443639322621035</v>
      </c>
      <c r="W61" s="100">
        <f t="shared" si="11"/>
        <v>0.24295759548414023</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2.2681902331430446</v>
      </c>
      <c r="J62" s="67">
        <f t="shared" si="4"/>
        <v>0.16446234854377931</v>
      </c>
      <c r="K62" s="100">
        <f t="shared" si="6"/>
        <v>0.10964156569585287</v>
      </c>
      <c r="O62" s="96">
        <f>Amnt_Deposited!B57</f>
        <v>2043</v>
      </c>
      <c r="P62" s="99">
        <f>Amnt_Deposited!D57</f>
        <v>0</v>
      </c>
      <c r="Q62" s="284">
        <f>MCF!R61</f>
        <v>0.8</v>
      </c>
      <c r="R62" s="67">
        <f t="shared" si="13"/>
        <v>0</v>
      </c>
      <c r="S62" s="67">
        <f t="shared" si="7"/>
        <v>0</v>
      </c>
      <c r="T62" s="67">
        <f t="shared" si="8"/>
        <v>0</v>
      </c>
      <c r="U62" s="67">
        <f t="shared" si="9"/>
        <v>4.6863434569071183</v>
      </c>
      <c r="V62" s="67">
        <f t="shared" si="10"/>
        <v>0.33979824079293253</v>
      </c>
      <c r="W62" s="100">
        <f t="shared" si="11"/>
        <v>0.22653216052862168</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2.1148465557536067</v>
      </c>
      <c r="J63" s="67">
        <f t="shared" si="4"/>
        <v>0.15334367738943785</v>
      </c>
      <c r="K63" s="100">
        <f t="shared" si="6"/>
        <v>0.10222911825962523</v>
      </c>
      <c r="O63" s="96">
        <f>Amnt_Deposited!B58</f>
        <v>2044</v>
      </c>
      <c r="P63" s="99">
        <f>Amnt_Deposited!D58</f>
        <v>0</v>
      </c>
      <c r="Q63" s="284">
        <f>MCF!R62</f>
        <v>0.8</v>
      </c>
      <c r="R63" s="67">
        <f t="shared" si="13"/>
        <v>0</v>
      </c>
      <c r="S63" s="67">
        <f t="shared" si="7"/>
        <v>0</v>
      </c>
      <c r="T63" s="67">
        <f t="shared" si="8"/>
        <v>0</v>
      </c>
      <c r="U63" s="67">
        <f t="shared" si="9"/>
        <v>4.3695176771768747</v>
      </c>
      <c r="V63" s="67">
        <f t="shared" si="10"/>
        <v>0.31682577973024356</v>
      </c>
      <c r="W63" s="100">
        <f t="shared" si="11"/>
        <v>0.21121718648682902</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1.9718698586340433</v>
      </c>
      <c r="J64" s="67">
        <f t="shared" si="4"/>
        <v>0.14297669711956335</v>
      </c>
      <c r="K64" s="100">
        <f t="shared" si="6"/>
        <v>9.5317798079708888E-2</v>
      </c>
      <c r="O64" s="96">
        <f>Amnt_Deposited!B59</f>
        <v>2045</v>
      </c>
      <c r="P64" s="99">
        <f>Amnt_Deposited!D59</f>
        <v>0</v>
      </c>
      <c r="Q64" s="284">
        <f>MCF!R63</f>
        <v>0.8</v>
      </c>
      <c r="R64" s="67">
        <f t="shared" si="13"/>
        <v>0</v>
      </c>
      <c r="S64" s="67">
        <f t="shared" si="7"/>
        <v>0</v>
      </c>
      <c r="T64" s="67">
        <f t="shared" si="8"/>
        <v>0</v>
      </c>
      <c r="U64" s="67">
        <f t="shared" si="9"/>
        <v>4.0741112781695126</v>
      </c>
      <c r="V64" s="67">
        <f t="shared" si="10"/>
        <v>0.29540639900736237</v>
      </c>
      <c r="W64" s="100">
        <f t="shared" si="11"/>
        <v>0.19693759933824156</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1.8385592698491979</v>
      </c>
      <c r="J65" s="67">
        <f t="shared" si="4"/>
        <v>0.13331058878484545</v>
      </c>
      <c r="K65" s="100">
        <f t="shared" si="6"/>
        <v>8.8873725856563626E-2</v>
      </c>
      <c r="O65" s="96">
        <f>Amnt_Deposited!B60</f>
        <v>2046</v>
      </c>
      <c r="P65" s="99">
        <f>Amnt_Deposited!D60</f>
        <v>0</v>
      </c>
      <c r="Q65" s="284">
        <f>MCF!R64</f>
        <v>0.8</v>
      </c>
      <c r="R65" s="67">
        <f t="shared" si="13"/>
        <v>0</v>
      </c>
      <c r="S65" s="67">
        <f t="shared" si="7"/>
        <v>0</v>
      </c>
      <c r="T65" s="67">
        <f t="shared" si="8"/>
        <v>0</v>
      </c>
      <c r="U65" s="67">
        <f t="shared" si="9"/>
        <v>3.7986761773743773</v>
      </c>
      <c r="V65" s="67">
        <f t="shared" si="10"/>
        <v>0.27543510079513533</v>
      </c>
      <c r="W65" s="100">
        <f t="shared" si="11"/>
        <v>0.18362340053009021</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1.7142613007381848</v>
      </c>
      <c r="J66" s="67">
        <f t="shared" si="4"/>
        <v>0.12429796911101312</v>
      </c>
      <c r="K66" s="100">
        <f t="shared" si="6"/>
        <v>8.2865312740675406E-2</v>
      </c>
      <c r="O66" s="96">
        <f>Amnt_Deposited!B61</f>
        <v>2047</v>
      </c>
      <c r="P66" s="99">
        <f>Amnt_Deposited!D61</f>
        <v>0</v>
      </c>
      <c r="Q66" s="284">
        <f>MCF!R65</f>
        <v>0.8</v>
      </c>
      <c r="R66" s="67">
        <f t="shared" si="13"/>
        <v>0</v>
      </c>
      <c r="S66" s="67">
        <f t="shared" si="7"/>
        <v>0</v>
      </c>
      <c r="T66" s="67">
        <f t="shared" si="8"/>
        <v>0</v>
      </c>
      <c r="U66" s="67">
        <f t="shared" si="9"/>
        <v>3.5418621916078212</v>
      </c>
      <c r="V66" s="67">
        <f t="shared" si="10"/>
        <v>0.25681398576655612</v>
      </c>
      <c r="W66" s="100">
        <f t="shared" si="11"/>
        <v>0.17120932384437074</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1.5983666425122158</v>
      </c>
      <c r="J67" s="67">
        <f t="shared" si="4"/>
        <v>0.11589465822596909</v>
      </c>
      <c r="K67" s="100">
        <f t="shared" si="6"/>
        <v>7.7263105483979383E-2</v>
      </c>
      <c r="O67" s="96">
        <f>Amnt_Deposited!B62</f>
        <v>2048</v>
      </c>
      <c r="P67" s="99">
        <f>Amnt_Deposited!D62</f>
        <v>0</v>
      </c>
      <c r="Q67" s="284">
        <f>MCF!R66</f>
        <v>0.8</v>
      </c>
      <c r="R67" s="67">
        <f t="shared" si="13"/>
        <v>0</v>
      </c>
      <c r="S67" s="67">
        <f t="shared" si="7"/>
        <v>0</v>
      </c>
      <c r="T67" s="67">
        <f t="shared" si="8"/>
        <v>0</v>
      </c>
      <c r="U67" s="67">
        <f t="shared" si="9"/>
        <v>3.30241041841367</v>
      </c>
      <c r="V67" s="67">
        <f t="shared" si="10"/>
        <v>0.23945177319415112</v>
      </c>
      <c r="W67" s="100">
        <f t="shared" si="11"/>
        <v>0.15963451546276741</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1.4903071794222102</v>
      </c>
      <c r="J68" s="67">
        <f t="shared" si="4"/>
        <v>0.10805946309000566</v>
      </c>
      <c r="K68" s="100">
        <f t="shared" si="6"/>
        <v>7.2039642060003767E-2</v>
      </c>
      <c r="O68" s="96">
        <f>Amnt_Deposited!B63</f>
        <v>2049</v>
      </c>
      <c r="P68" s="99">
        <f>Amnt_Deposited!D63</f>
        <v>0</v>
      </c>
      <c r="Q68" s="284">
        <f>MCF!R67</f>
        <v>0.8</v>
      </c>
      <c r="R68" s="67">
        <f t="shared" si="13"/>
        <v>0</v>
      </c>
      <c r="S68" s="67">
        <f t="shared" si="7"/>
        <v>0</v>
      </c>
      <c r="T68" s="67">
        <f t="shared" si="8"/>
        <v>0</v>
      </c>
      <c r="U68" s="67">
        <f t="shared" si="9"/>
        <v>3.0791470649219228</v>
      </c>
      <c r="V68" s="67">
        <f t="shared" si="10"/>
        <v>0.22326335349174728</v>
      </c>
      <c r="W68" s="100">
        <f t="shared" si="11"/>
        <v>0.14884223566116483</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1.389553203854734</v>
      </c>
      <c r="J69" s="67">
        <f t="shared" si="4"/>
        <v>0.1007539755674762</v>
      </c>
      <c r="K69" s="100">
        <f t="shared" si="6"/>
        <v>6.7169317044984134E-2</v>
      </c>
      <c r="O69" s="96">
        <f>Amnt_Deposited!B64</f>
        <v>2050</v>
      </c>
      <c r="P69" s="99">
        <f>Amnt_Deposited!D64</f>
        <v>0</v>
      </c>
      <c r="Q69" s="284">
        <f>MCF!R68</f>
        <v>0.8</v>
      </c>
      <c r="R69" s="67">
        <f t="shared" si="13"/>
        <v>0</v>
      </c>
      <c r="S69" s="67">
        <f t="shared" si="7"/>
        <v>0</v>
      </c>
      <c r="T69" s="67">
        <f t="shared" si="8"/>
        <v>0</v>
      </c>
      <c r="U69" s="67">
        <f t="shared" si="9"/>
        <v>2.8709776939147407</v>
      </c>
      <c r="V69" s="67">
        <f t="shared" si="10"/>
        <v>0.2081693710071823</v>
      </c>
      <c r="W69" s="100">
        <f t="shared" si="11"/>
        <v>0.13877958067145485</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1.2956108197046643</v>
      </c>
      <c r="J70" s="67">
        <f t="shared" si="4"/>
        <v>9.3942384150069724E-2</v>
      </c>
      <c r="K70" s="100">
        <f t="shared" si="6"/>
        <v>6.2628256100046478E-2</v>
      </c>
      <c r="O70" s="96">
        <f>Amnt_Deposited!B65</f>
        <v>2051</v>
      </c>
      <c r="P70" s="99">
        <f>Amnt_Deposited!D65</f>
        <v>0</v>
      </c>
      <c r="Q70" s="284">
        <f>MCF!R69</f>
        <v>0.8</v>
      </c>
      <c r="R70" s="67">
        <f t="shared" si="13"/>
        <v>0</v>
      </c>
      <c r="S70" s="67">
        <f t="shared" si="7"/>
        <v>0</v>
      </c>
      <c r="T70" s="67">
        <f t="shared" si="8"/>
        <v>0</v>
      </c>
      <c r="U70" s="67">
        <f t="shared" si="9"/>
        <v>2.6768818588939354</v>
      </c>
      <c r="V70" s="67">
        <f t="shared" si="10"/>
        <v>0.19409583502080527</v>
      </c>
      <c r="W70" s="100">
        <f t="shared" si="11"/>
        <v>0.12939722334720349</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1.2080195212959088</v>
      </c>
      <c r="J71" s="67">
        <f t="shared" si="4"/>
        <v>8.7591298408755514E-2</v>
      </c>
      <c r="K71" s="100">
        <f t="shared" si="6"/>
        <v>5.839419893917034E-2</v>
      </c>
      <c r="O71" s="96">
        <f>Amnt_Deposited!B66</f>
        <v>2052</v>
      </c>
      <c r="P71" s="99">
        <f>Amnt_Deposited!D66</f>
        <v>0</v>
      </c>
      <c r="Q71" s="284">
        <f>MCF!R70</f>
        <v>0.8</v>
      </c>
      <c r="R71" s="67">
        <f t="shared" si="13"/>
        <v>0</v>
      </c>
      <c r="S71" s="67">
        <f t="shared" si="7"/>
        <v>0</v>
      </c>
      <c r="T71" s="67">
        <f t="shared" si="8"/>
        <v>0</v>
      </c>
      <c r="U71" s="67">
        <f t="shared" si="9"/>
        <v>2.4959081018510521</v>
      </c>
      <c r="V71" s="67">
        <f t="shared" si="10"/>
        <v>0.18097375704288335</v>
      </c>
      <c r="W71" s="100">
        <f t="shared" si="11"/>
        <v>0.12064917136192223</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1.1263499359820475</v>
      </c>
      <c r="J72" s="67">
        <f t="shared" si="4"/>
        <v>8.166958531386137E-2</v>
      </c>
      <c r="K72" s="100">
        <f t="shared" si="6"/>
        <v>5.4446390209240914E-2</v>
      </c>
      <c r="O72" s="96">
        <f>Amnt_Deposited!B67</f>
        <v>2053</v>
      </c>
      <c r="P72" s="99">
        <f>Amnt_Deposited!D67</f>
        <v>0</v>
      </c>
      <c r="Q72" s="284">
        <f>MCF!R71</f>
        <v>0.8</v>
      </c>
      <c r="R72" s="67">
        <f t="shared" si="13"/>
        <v>0</v>
      </c>
      <c r="S72" s="67">
        <f t="shared" si="7"/>
        <v>0</v>
      </c>
      <c r="T72" s="67">
        <f t="shared" si="8"/>
        <v>0</v>
      </c>
      <c r="U72" s="67">
        <f t="shared" si="9"/>
        <v>2.3271692892191069</v>
      </c>
      <c r="V72" s="67">
        <f t="shared" si="10"/>
        <v>0.16873881263194501</v>
      </c>
      <c r="W72" s="100">
        <f t="shared" si="11"/>
        <v>0.11249254175463</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1.0502017193611215</v>
      </c>
      <c r="J73" s="67">
        <f t="shared" si="4"/>
        <v>7.614821662092594E-2</v>
      </c>
      <c r="K73" s="100">
        <f t="shared" si="6"/>
        <v>5.076547774728396E-2</v>
      </c>
      <c r="O73" s="96">
        <f>Amnt_Deposited!B68</f>
        <v>2054</v>
      </c>
      <c r="P73" s="99">
        <f>Amnt_Deposited!D68</f>
        <v>0</v>
      </c>
      <c r="Q73" s="284">
        <f>MCF!R72</f>
        <v>0.8</v>
      </c>
      <c r="R73" s="67">
        <f t="shared" si="13"/>
        <v>0</v>
      </c>
      <c r="S73" s="67">
        <f t="shared" si="7"/>
        <v>0</v>
      </c>
      <c r="T73" s="67">
        <f t="shared" si="8"/>
        <v>0</v>
      </c>
      <c r="U73" s="67">
        <f t="shared" si="9"/>
        <v>2.1698382631428137</v>
      </c>
      <c r="V73" s="67">
        <f t="shared" si="10"/>
        <v>0.15733102607629329</v>
      </c>
      <c r="W73" s="100">
        <f t="shared" si="11"/>
        <v>0.10488735071752886</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0.97920159278691077</v>
      </c>
      <c r="J74" s="67">
        <f t="shared" si="4"/>
        <v>7.1000126574210745E-2</v>
      </c>
      <c r="K74" s="100">
        <f t="shared" si="6"/>
        <v>4.7333417716140497E-2</v>
      </c>
      <c r="O74" s="96">
        <f>Amnt_Deposited!B69</f>
        <v>2055</v>
      </c>
      <c r="P74" s="99">
        <f>Amnt_Deposited!D69</f>
        <v>0</v>
      </c>
      <c r="Q74" s="284">
        <f>MCF!R73</f>
        <v>0.8</v>
      </c>
      <c r="R74" s="67">
        <f t="shared" si="13"/>
        <v>0</v>
      </c>
      <c r="S74" s="67">
        <f t="shared" si="7"/>
        <v>0</v>
      </c>
      <c r="T74" s="67">
        <f t="shared" si="8"/>
        <v>0</v>
      </c>
      <c r="U74" s="67">
        <f t="shared" si="9"/>
        <v>2.0231437867498161</v>
      </c>
      <c r="V74" s="67">
        <f t="shared" si="10"/>
        <v>0.14669447639299746</v>
      </c>
      <c r="W74" s="100">
        <f t="shared" si="11"/>
        <v>9.7796317595331639E-2</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0.91300151355657655</v>
      </c>
      <c r="J75" s="67">
        <f t="shared" si="4"/>
        <v>6.6200079230334191E-2</v>
      </c>
      <c r="K75" s="100">
        <f t="shared" si="6"/>
        <v>4.4133386153556123E-2</v>
      </c>
      <c r="O75" s="96">
        <f>Amnt_Deposited!B70</f>
        <v>2056</v>
      </c>
      <c r="P75" s="99">
        <f>Amnt_Deposited!D70</f>
        <v>0</v>
      </c>
      <c r="Q75" s="284">
        <f>MCF!R74</f>
        <v>0.8</v>
      </c>
      <c r="R75" s="67">
        <f t="shared" si="13"/>
        <v>0</v>
      </c>
      <c r="S75" s="67">
        <f t="shared" si="7"/>
        <v>0</v>
      </c>
      <c r="T75" s="67">
        <f t="shared" si="8"/>
        <v>0</v>
      </c>
      <c r="U75" s="67">
        <f t="shared" si="9"/>
        <v>1.8863667635466463</v>
      </c>
      <c r="V75" s="67">
        <f t="shared" si="10"/>
        <v>0.13677702320316984</v>
      </c>
      <c r="W75" s="100">
        <f t="shared" si="11"/>
        <v>9.118468213544656E-2</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0.85127696880492887</v>
      </c>
      <c r="J76" s="67">
        <f t="shared" si="4"/>
        <v>6.1724544751647722E-2</v>
      </c>
      <c r="K76" s="100">
        <f t="shared" si="6"/>
        <v>4.1149696501098482E-2</v>
      </c>
      <c r="O76" s="96">
        <f>Amnt_Deposited!B71</f>
        <v>2057</v>
      </c>
      <c r="P76" s="99">
        <f>Amnt_Deposited!D71</f>
        <v>0</v>
      </c>
      <c r="Q76" s="284">
        <f>MCF!R75</f>
        <v>0.8</v>
      </c>
      <c r="R76" s="67">
        <f t="shared" si="13"/>
        <v>0</v>
      </c>
      <c r="S76" s="67">
        <f t="shared" si="7"/>
        <v>0</v>
      </c>
      <c r="T76" s="67">
        <f t="shared" si="8"/>
        <v>0</v>
      </c>
      <c r="U76" s="67">
        <f t="shared" si="9"/>
        <v>1.7588367124068782</v>
      </c>
      <c r="V76" s="67">
        <f t="shared" si="10"/>
        <v>0.12753005113976806</v>
      </c>
      <c r="W76" s="100">
        <f t="shared" si="11"/>
        <v>8.5020034093178709E-2</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0.7937253847419844</v>
      </c>
      <c r="J77" s="67">
        <f t="shared" si="4"/>
        <v>5.7551584062944472E-2</v>
      </c>
      <c r="K77" s="100">
        <f t="shared" si="6"/>
        <v>3.8367722708629648E-2</v>
      </c>
      <c r="O77" s="96">
        <f>Amnt_Deposited!B72</f>
        <v>2058</v>
      </c>
      <c r="P77" s="99">
        <f>Amnt_Deposited!D72</f>
        <v>0</v>
      </c>
      <c r="Q77" s="284">
        <f>MCF!R76</f>
        <v>0.8</v>
      </c>
      <c r="R77" s="67">
        <f t="shared" si="13"/>
        <v>0</v>
      </c>
      <c r="S77" s="67">
        <f t="shared" si="7"/>
        <v>0</v>
      </c>
      <c r="T77" s="67">
        <f t="shared" si="8"/>
        <v>0</v>
      </c>
      <c r="U77" s="67">
        <f t="shared" si="9"/>
        <v>1.639928480871869</v>
      </c>
      <c r="V77" s="67">
        <f t="shared" si="10"/>
        <v>0.11890823153500928</v>
      </c>
      <c r="W77" s="100">
        <f t="shared" si="11"/>
        <v>7.9272154356672841E-2</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0.74006464343589728</v>
      </c>
      <c r="J78" s="67">
        <f t="shared" si="4"/>
        <v>5.3660741306087091E-2</v>
      </c>
      <c r="K78" s="100">
        <f t="shared" si="6"/>
        <v>3.5773827537391389E-2</v>
      </c>
      <c r="O78" s="96">
        <f>Amnt_Deposited!B73</f>
        <v>2059</v>
      </c>
      <c r="P78" s="99">
        <f>Amnt_Deposited!D73</f>
        <v>0</v>
      </c>
      <c r="Q78" s="284">
        <f>MCF!R77</f>
        <v>0.8</v>
      </c>
      <c r="R78" s="67">
        <f t="shared" si="13"/>
        <v>0</v>
      </c>
      <c r="S78" s="67">
        <f t="shared" si="7"/>
        <v>0</v>
      </c>
      <c r="T78" s="67">
        <f t="shared" si="8"/>
        <v>0</v>
      </c>
      <c r="U78" s="67">
        <f t="shared" si="9"/>
        <v>1.5290591806526808</v>
      </c>
      <c r="V78" s="67">
        <f t="shared" si="10"/>
        <v>0.11086930021918824</v>
      </c>
      <c r="W78" s="100">
        <f t="shared" si="11"/>
        <v>7.3912866812792161E-2</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0.69003169987052981</v>
      </c>
      <c r="J79" s="67">
        <f t="shared" si="4"/>
        <v>5.0032943565367451E-2</v>
      </c>
      <c r="K79" s="100">
        <f t="shared" si="6"/>
        <v>3.3355295710244967E-2</v>
      </c>
      <c r="O79" s="96">
        <f>Amnt_Deposited!B74</f>
        <v>2060</v>
      </c>
      <c r="P79" s="99">
        <f>Amnt_Deposited!D74</f>
        <v>0</v>
      </c>
      <c r="Q79" s="284">
        <f>MCF!R78</f>
        <v>0.8</v>
      </c>
      <c r="R79" s="67">
        <f t="shared" si="13"/>
        <v>0</v>
      </c>
      <c r="S79" s="67">
        <f t="shared" si="7"/>
        <v>0</v>
      </c>
      <c r="T79" s="67">
        <f t="shared" si="8"/>
        <v>0</v>
      </c>
      <c r="U79" s="67">
        <f t="shared" si="9"/>
        <v>1.4256853303110124</v>
      </c>
      <c r="V79" s="67">
        <f t="shared" si="10"/>
        <v>0.10337385034166831</v>
      </c>
      <c r="W79" s="100">
        <f t="shared" si="11"/>
        <v>6.8915900227778867E-2</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0.64338129249847809</v>
      </c>
      <c r="J80" s="67">
        <f t="shared" si="4"/>
        <v>4.6650407372051686E-2</v>
      </c>
      <c r="K80" s="100">
        <f t="shared" si="6"/>
        <v>3.1100271581367789E-2</v>
      </c>
      <c r="O80" s="96">
        <f>Amnt_Deposited!B75</f>
        <v>2061</v>
      </c>
      <c r="P80" s="99">
        <f>Amnt_Deposited!D75</f>
        <v>0</v>
      </c>
      <c r="Q80" s="284">
        <f>MCF!R79</f>
        <v>0.8</v>
      </c>
      <c r="R80" s="67">
        <f t="shared" si="13"/>
        <v>0</v>
      </c>
      <c r="S80" s="67">
        <f t="shared" si="7"/>
        <v>0</v>
      </c>
      <c r="T80" s="67">
        <f t="shared" si="8"/>
        <v>0</v>
      </c>
      <c r="U80" s="67">
        <f t="shared" si="9"/>
        <v>1.3293001911125586</v>
      </c>
      <c r="V80" s="67">
        <f t="shared" si="10"/>
        <v>9.6385139198453929E-2</v>
      </c>
      <c r="W80" s="100">
        <f t="shared" si="11"/>
        <v>6.4256759465635943E-2</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0.59988474096868216</v>
      </c>
      <c r="J81" s="67">
        <f t="shared" si="4"/>
        <v>4.3496551529795882E-2</v>
      </c>
      <c r="K81" s="100">
        <f t="shared" si="6"/>
        <v>2.899770101986392E-2</v>
      </c>
      <c r="O81" s="96">
        <f>Amnt_Deposited!B76</f>
        <v>2062</v>
      </c>
      <c r="P81" s="99">
        <f>Amnt_Deposited!D76</f>
        <v>0</v>
      </c>
      <c r="Q81" s="284">
        <f>MCF!R80</f>
        <v>0.8</v>
      </c>
      <c r="R81" s="67">
        <f t="shared" si="13"/>
        <v>0</v>
      </c>
      <c r="S81" s="67">
        <f t="shared" si="7"/>
        <v>0</v>
      </c>
      <c r="T81" s="67">
        <f t="shared" si="8"/>
        <v>0</v>
      </c>
      <c r="U81" s="67">
        <f t="shared" si="9"/>
        <v>1.2394312829931455</v>
      </c>
      <c r="V81" s="67">
        <f t="shared" si="10"/>
        <v>8.9868908119413018E-2</v>
      </c>
      <c r="W81" s="100">
        <f t="shared" si="11"/>
        <v>5.9912605412942008E-2</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0.55932882513507987</v>
      </c>
      <c r="J82" s="67">
        <f t="shared" si="4"/>
        <v>4.0555915833602296E-2</v>
      </c>
      <c r="K82" s="100">
        <f t="shared" si="6"/>
        <v>2.703727722240153E-2</v>
      </c>
      <c r="O82" s="96">
        <f>Amnt_Deposited!B77</f>
        <v>2063</v>
      </c>
      <c r="P82" s="99">
        <f>Amnt_Deposited!D77</f>
        <v>0</v>
      </c>
      <c r="Q82" s="284">
        <f>MCF!R81</f>
        <v>0.8</v>
      </c>
      <c r="R82" s="67">
        <f t="shared" si="13"/>
        <v>0</v>
      </c>
      <c r="S82" s="67">
        <f t="shared" si="7"/>
        <v>0</v>
      </c>
      <c r="T82" s="67">
        <f t="shared" si="8"/>
        <v>0</v>
      </c>
      <c r="U82" s="67">
        <f t="shared" si="9"/>
        <v>1.1556380684609093</v>
      </c>
      <c r="V82" s="67">
        <f t="shared" si="10"/>
        <v>8.379321453223619E-2</v>
      </c>
      <c r="W82" s="100">
        <f t="shared" si="11"/>
        <v>5.5862143021490791E-2</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0.52151473985120333</v>
      </c>
      <c r="J83" s="67">
        <f t="shared" ref="J83:J99" si="18">I82*(1-$K$10)+H83</f>
        <v>3.7814085283876572E-2</v>
      </c>
      <c r="K83" s="100">
        <f t="shared" si="6"/>
        <v>2.5209390189251047E-2</v>
      </c>
      <c r="O83" s="96">
        <f>Amnt_Deposited!B78</f>
        <v>2064</v>
      </c>
      <c r="P83" s="99">
        <f>Amnt_Deposited!D78</f>
        <v>0</v>
      </c>
      <c r="Q83" s="284">
        <f>MCF!R82</f>
        <v>0.8</v>
      </c>
      <c r="R83" s="67">
        <f t="shared" ref="R83:R99" si="19">P83*$W$6*DOCF*Q83</f>
        <v>0</v>
      </c>
      <c r="S83" s="67">
        <f t="shared" si="7"/>
        <v>0</v>
      </c>
      <c r="T83" s="67">
        <f t="shared" si="8"/>
        <v>0</v>
      </c>
      <c r="U83" s="67">
        <f t="shared" si="9"/>
        <v>1.0775097930809989</v>
      </c>
      <c r="V83" s="67">
        <f t="shared" si="10"/>
        <v>7.8128275379910309E-2</v>
      </c>
      <c r="W83" s="100">
        <f t="shared" si="11"/>
        <v>5.2085516919940206E-2</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0.48625712042712033</v>
      </c>
      <c r="J84" s="67">
        <f t="shared" si="18"/>
        <v>3.5257619424082988E-2</v>
      </c>
      <c r="K84" s="100">
        <f t="shared" si="6"/>
        <v>2.3505079616055323E-2</v>
      </c>
      <c r="O84" s="96">
        <f>Amnt_Deposited!B79</f>
        <v>2065</v>
      </c>
      <c r="P84" s="99">
        <f>Amnt_Deposited!D79</f>
        <v>0</v>
      </c>
      <c r="Q84" s="284">
        <f>MCF!R83</f>
        <v>0.8</v>
      </c>
      <c r="R84" s="67">
        <f t="shared" si="19"/>
        <v>0</v>
      </c>
      <c r="S84" s="67">
        <f t="shared" si="7"/>
        <v>0</v>
      </c>
      <c r="T84" s="67">
        <f t="shared" si="8"/>
        <v>0</v>
      </c>
      <c r="U84" s="67">
        <f t="shared" si="9"/>
        <v>1.0046634719568606</v>
      </c>
      <c r="V84" s="67">
        <f t="shared" si="10"/>
        <v>7.2846321124138427E-2</v>
      </c>
      <c r="W84" s="100">
        <f t="shared" si="11"/>
        <v>4.8564214082758947E-2</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0.45338313397150942</v>
      </c>
      <c r="J85" s="67">
        <f t="shared" si="18"/>
        <v>3.2873986455610897E-2</v>
      </c>
      <c r="K85" s="100">
        <f t="shared" ref="K85:K99" si="20">J85*CH4_fraction*conv</f>
        <v>2.1915990970407265E-2</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0.93674201233782972</v>
      </c>
      <c r="V85" s="67">
        <f t="shared" ref="V85:V98" si="24">U84*(1-$W$10)+T85</f>
        <v>6.7921459619030802E-2</v>
      </c>
      <c r="W85" s="100">
        <f t="shared" ref="W85:W99" si="25">V85*CH4_fraction*conv</f>
        <v>4.5280973079353866E-2</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0.42273163216462595</v>
      </c>
      <c r="J86" s="67">
        <f t="shared" si="18"/>
        <v>3.0651501806883447E-2</v>
      </c>
      <c r="K86" s="100">
        <f t="shared" si="20"/>
        <v>2.0434334537922295E-2</v>
      </c>
      <c r="O86" s="96">
        <f>Amnt_Deposited!B81</f>
        <v>2067</v>
      </c>
      <c r="P86" s="99">
        <f>Amnt_Deposited!D81</f>
        <v>0</v>
      </c>
      <c r="Q86" s="284">
        <f>MCF!R85</f>
        <v>0.8</v>
      </c>
      <c r="R86" s="67">
        <f t="shared" si="19"/>
        <v>0</v>
      </c>
      <c r="S86" s="67">
        <f t="shared" si="21"/>
        <v>0</v>
      </c>
      <c r="T86" s="67">
        <f t="shared" si="22"/>
        <v>0</v>
      </c>
      <c r="U86" s="67">
        <f t="shared" si="23"/>
        <v>0.87341246315005394</v>
      </c>
      <c r="V86" s="67">
        <f t="shared" si="24"/>
        <v>6.3329549187775738E-2</v>
      </c>
      <c r="W86" s="100">
        <f t="shared" si="25"/>
        <v>4.2219699458517154E-2</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0.39415236130905179</v>
      </c>
      <c r="J87" s="67">
        <f t="shared" si="18"/>
        <v>2.8579270855574133E-2</v>
      </c>
      <c r="K87" s="100">
        <f t="shared" si="20"/>
        <v>1.905284723704942E-2</v>
      </c>
      <c r="O87" s="96">
        <f>Amnt_Deposited!B82</f>
        <v>2068</v>
      </c>
      <c r="P87" s="99">
        <f>Amnt_Deposited!D82</f>
        <v>0</v>
      </c>
      <c r="Q87" s="284">
        <f>MCF!R86</f>
        <v>0.8</v>
      </c>
      <c r="R87" s="67">
        <f t="shared" si="19"/>
        <v>0</v>
      </c>
      <c r="S87" s="67">
        <f t="shared" si="21"/>
        <v>0</v>
      </c>
      <c r="T87" s="67">
        <f t="shared" si="22"/>
        <v>0</v>
      </c>
      <c r="U87" s="67">
        <f t="shared" si="23"/>
        <v>0.81436438286994206</v>
      </c>
      <c r="V87" s="67">
        <f t="shared" si="24"/>
        <v>5.9048080280111867E-2</v>
      </c>
      <c r="W87" s="100">
        <f t="shared" si="25"/>
        <v>3.9365386853407909E-2</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0.36750522578589628</v>
      </c>
      <c r="J88" s="67">
        <f t="shared" si="18"/>
        <v>2.66471355231555E-2</v>
      </c>
      <c r="K88" s="100">
        <f t="shared" si="20"/>
        <v>1.7764757015436998E-2</v>
      </c>
      <c r="O88" s="96">
        <f>Amnt_Deposited!B83</f>
        <v>2069</v>
      </c>
      <c r="P88" s="99">
        <f>Amnt_Deposited!D83</f>
        <v>0</v>
      </c>
      <c r="Q88" s="284">
        <f>MCF!R87</f>
        <v>0.8</v>
      </c>
      <c r="R88" s="67">
        <f t="shared" si="19"/>
        <v>0</v>
      </c>
      <c r="S88" s="67">
        <f t="shared" si="21"/>
        <v>0</v>
      </c>
      <c r="T88" s="67">
        <f t="shared" si="22"/>
        <v>0</v>
      </c>
      <c r="U88" s="67">
        <f t="shared" si="23"/>
        <v>0.75930831773945551</v>
      </c>
      <c r="V88" s="67">
        <f t="shared" si="24"/>
        <v>5.5056065130486595E-2</v>
      </c>
      <c r="W88" s="100">
        <f t="shared" si="25"/>
        <v>3.6704043420324392E-2</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0.34265960130590983</v>
      </c>
      <c r="J89" s="67">
        <f t="shared" si="18"/>
        <v>2.4845624479986447E-2</v>
      </c>
      <c r="K89" s="100">
        <f t="shared" si="20"/>
        <v>1.6563749653324297E-2</v>
      </c>
      <c r="O89" s="96">
        <f>Amnt_Deposited!B84</f>
        <v>2070</v>
      </c>
      <c r="P89" s="99">
        <f>Amnt_Deposited!D84</f>
        <v>0</v>
      </c>
      <c r="Q89" s="284">
        <f>MCF!R88</f>
        <v>0.8</v>
      </c>
      <c r="R89" s="67">
        <f t="shared" si="19"/>
        <v>0</v>
      </c>
      <c r="S89" s="67">
        <f t="shared" si="21"/>
        <v>0</v>
      </c>
      <c r="T89" s="67">
        <f t="shared" si="22"/>
        <v>0</v>
      </c>
      <c r="U89" s="67">
        <f t="shared" si="23"/>
        <v>0.70797438286345038</v>
      </c>
      <c r="V89" s="67">
        <f t="shared" si="24"/>
        <v>5.1333934876005079E-2</v>
      </c>
      <c r="W89" s="100">
        <f t="shared" si="25"/>
        <v>3.4222623250670048E-2</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0.31949369458906651</v>
      </c>
      <c r="J90" s="67">
        <f t="shared" si="18"/>
        <v>2.3165906716843303E-2</v>
      </c>
      <c r="K90" s="100">
        <f t="shared" si="20"/>
        <v>1.5443937811228868E-2</v>
      </c>
      <c r="O90" s="96">
        <f>Amnt_Deposited!B85</f>
        <v>2071</v>
      </c>
      <c r="P90" s="99">
        <f>Amnt_Deposited!D85</f>
        <v>0</v>
      </c>
      <c r="Q90" s="284">
        <f>MCF!R89</f>
        <v>0.8</v>
      </c>
      <c r="R90" s="67">
        <f t="shared" si="19"/>
        <v>0</v>
      </c>
      <c r="S90" s="67">
        <f t="shared" si="21"/>
        <v>0</v>
      </c>
      <c r="T90" s="67">
        <f t="shared" si="22"/>
        <v>0</v>
      </c>
      <c r="U90" s="67">
        <f t="shared" si="23"/>
        <v>0.66011093923360886</v>
      </c>
      <c r="V90" s="67">
        <f t="shared" si="24"/>
        <v>4.7863443629841552E-2</v>
      </c>
      <c r="W90" s="100">
        <f t="shared" si="25"/>
        <v>3.1908962419894368E-2</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0.29789394633376415</v>
      </c>
      <c r="J91" s="67">
        <f t="shared" si="18"/>
        <v>2.1599748255302389E-2</v>
      </c>
      <c r="K91" s="100">
        <f t="shared" si="20"/>
        <v>1.4399832170201592E-2</v>
      </c>
      <c r="O91" s="96">
        <f>Amnt_Deposited!B86</f>
        <v>2072</v>
      </c>
      <c r="P91" s="99">
        <f>Amnt_Deposited!D86</f>
        <v>0</v>
      </c>
      <c r="Q91" s="284">
        <f>MCF!R90</f>
        <v>0.8</v>
      </c>
      <c r="R91" s="67">
        <f t="shared" si="19"/>
        <v>0</v>
      </c>
      <c r="S91" s="67">
        <f t="shared" si="21"/>
        <v>0</v>
      </c>
      <c r="T91" s="67">
        <f t="shared" si="22"/>
        <v>0</v>
      </c>
      <c r="U91" s="67">
        <f t="shared" si="23"/>
        <v>0.61548336019372785</v>
      </c>
      <c r="V91" s="67">
        <f t="shared" si="24"/>
        <v>4.4627579039880995E-2</v>
      </c>
      <c r="W91" s="100">
        <f t="shared" si="25"/>
        <v>2.9751719359920662E-2</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0.27775447454899593</v>
      </c>
      <c r="J92" s="67">
        <f t="shared" si="18"/>
        <v>2.0139471784768239E-2</v>
      </c>
      <c r="K92" s="100">
        <f t="shared" si="20"/>
        <v>1.3426314523178825E-2</v>
      </c>
      <c r="O92" s="96">
        <f>Amnt_Deposited!B87</f>
        <v>2073</v>
      </c>
      <c r="P92" s="99">
        <f>Amnt_Deposited!D87</f>
        <v>0</v>
      </c>
      <c r="Q92" s="284">
        <f>MCF!R91</f>
        <v>0.8</v>
      </c>
      <c r="R92" s="67">
        <f t="shared" si="19"/>
        <v>0</v>
      </c>
      <c r="S92" s="67">
        <f t="shared" si="21"/>
        <v>0</v>
      </c>
      <c r="T92" s="67">
        <f t="shared" si="22"/>
        <v>0</v>
      </c>
      <c r="U92" s="67">
        <f t="shared" si="23"/>
        <v>0.57387288129957859</v>
      </c>
      <c r="V92" s="67">
        <f t="shared" si="24"/>
        <v>4.1610478894149275E-2</v>
      </c>
      <c r="W92" s="100">
        <f t="shared" si="25"/>
        <v>2.7740319262766183E-2</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0.25897655552070781</v>
      </c>
      <c r="J93" s="67">
        <f t="shared" si="18"/>
        <v>1.8777919028288126E-2</v>
      </c>
      <c r="K93" s="100">
        <f t="shared" si="20"/>
        <v>1.2518612685525416E-2</v>
      </c>
      <c r="O93" s="96">
        <f>Amnt_Deposited!B88</f>
        <v>2074</v>
      </c>
      <c r="P93" s="99">
        <f>Amnt_Deposited!D88</f>
        <v>0</v>
      </c>
      <c r="Q93" s="284">
        <f>MCF!R92</f>
        <v>0.8</v>
      </c>
      <c r="R93" s="67">
        <f t="shared" si="19"/>
        <v>0</v>
      </c>
      <c r="S93" s="67">
        <f t="shared" si="21"/>
        <v>0</v>
      </c>
      <c r="T93" s="67">
        <f t="shared" si="22"/>
        <v>0</v>
      </c>
      <c r="U93" s="67">
        <f t="shared" si="23"/>
        <v>0.53507552793534696</v>
      </c>
      <c r="V93" s="67">
        <f t="shared" si="24"/>
        <v>3.8797353364231679E-2</v>
      </c>
      <c r="W93" s="100">
        <f t="shared" si="25"/>
        <v>2.5864902242821119E-2</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0.24146813986803764</v>
      </c>
      <c r="J94" s="67">
        <f t="shared" si="18"/>
        <v>1.7508415652670157E-2</v>
      </c>
      <c r="K94" s="100">
        <f t="shared" si="20"/>
        <v>1.1672277101780103E-2</v>
      </c>
      <c r="O94" s="96">
        <f>Amnt_Deposited!B89</f>
        <v>2075</v>
      </c>
      <c r="P94" s="99">
        <f>Amnt_Deposited!D89</f>
        <v>0</v>
      </c>
      <c r="Q94" s="284">
        <f>MCF!R93</f>
        <v>0.8</v>
      </c>
      <c r="R94" s="67">
        <f t="shared" si="19"/>
        <v>0</v>
      </c>
      <c r="S94" s="67">
        <f t="shared" si="21"/>
        <v>0</v>
      </c>
      <c r="T94" s="67">
        <f t="shared" si="22"/>
        <v>0</v>
      </c>
      <c r="U94" s="67">
        <f t="shared" si="23"/>
        <v>0.49890111542983007</v>
      </c>
      <c r="V94" s="67">
        <f t="shared" si="24"/>
        <v>3.6174412505516874E-2</v>
      </c>
      <c r="W94" s="100">
        <f t="shared" si="25"/>
        <v>2.4116275003677915E-2</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0.22514340131714342</v>
      </c>
      <c r="J95" s="67">
        <f t="shared" si="18"/>
        <v>1.6324738550894224E-2</v>
      </c>
      <c r="K95" s="100">
        <f t="shared" si="20"/>
        <v>1.0883159033929482E-2</v>
      </c>
      <c r="O95" s="96">
        <f>Amnt_Deposited!B90</f>
        <v>2076</v>
      </c>
      <c r="P95" s="99">
        <f>Amnt_Deposited!D90</f>
        <v>0</v>
      </c>
      <c r="Q95" s="284">
        <f>MCF!R94</f>
        <v>0.8</v>
      </c>
      <c r="R95" s="67">
        <f t="shared" si="19"/>
        <v>0</v>
      </c>
      <c r="S95" s="67">
        <f t="shared" si="21"/>
        <v>0</v>
      </c>
      <c r="T95" s="67">
        <f t="shared" si="22"/>
        <v>0</v>
      </c>
      <c r="U95" s="67">
        <f t="shared" si="23"/>
        <v>0.46517231677095766</v>
      </c>
      <c r="V95" s="67">
        <f t="shared" si="24"/>
        <v>3.3728798658872378E-2</v>
      </c>
      <c r="W95" s="100">
        <f t="shared" si="25"/>
        <v>2.2485865772581583E-2</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0.20992231598070926</v>
      </c>
      <c r="J96" s="67">
        <f t="shared" si="18"/>
        <v>1.5221085336434161E-2</v>
      </c>
      <c r="K96" s="100">
        <f t="shared" si="20"/>
        <v>1.014739022428944E-2</v>
      </c>
      <c r="O96" s="96">
        <f>Amnt_Deposited!B91</f>
        <v>2077</v>
      </c>
      <c r="P96" s="99">
        <f>Amnt_Deposited!D91</f>
        <v>0</v>
      </c>
      <c r="Q96" s="284">
        <f>MCF!R95</f>
        <v>0.8</v>
      </c>
      <c r="R96" s="67">
        <f t="shared" si="19"/>
        <v>0</v>
      </c>
      <c r="S96" s="67">
        <f t="shared" si="21"/>
        <v>0</v>
      </c>
      <c r="T96" s="67">
        <f t="shared" si="22"/>
        <v>0</v>
      </c>
      <c r="U96" s="67">
        <f t="shared" si="23"/>
        <v>0.43372379334857303</v>
      </c>
      <c r="V96" s="67">
        <f t="shared" si="24"/>
        <v>3.144852342238464E-2</v>
      </c>
      <c r="W96" s="100">
        <f t="shared" si="25"/>
        <v>2.0965682281589758E-2</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0.195730270080757</v>
      </c>
      <c r="J97" s="67">
        <f t="shared" si="18"/>
        <v>1.4192045899952262E-2</v>
      </c>
      <c r="K97" s="100">
        <f t="shared" si="20"/>
        <v>9.4613639333015077E-3</v>
      </c>
      <c r="O97" s="96">
        <f>Amnt_Deposited!B92</f>
        <v>2078</v>
      </c>
      <c r="P97" s="99">
        <f>Amnt_Deposited!D92</f>
        <v>0</v>
      </c>
      <c r="Q97" s="284">
        <f>MCF!R96</f>
        <v>0.8</v>
      </c>
      <c r="R97" s="67">
        <f t="shared" si="19"/>
        <v>0</v>
      </c>
      <c r="S97" s="67">
        <f t="shared" si="21"/>
        <v>0</v>
      </c>
      <c r="T97" s="67">
        <f t="shared" si="22"/>
        <v>0</v>
      </c>
      <c r="U97" s="67">
        <f t="shared" si="23"/>
        <v>0.40440138446437413</v>
      </c>
      <c r="V97" s="67">
        <f t="shared" si="24"/>
        <v>2.9322408884198903E-2</v>
      </c>
      <c r="W97" s="100">
        <f t="shared" si="25"/>
        <v>1.9548272589465933E-2</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0.18249769419181996</v>
      </c>
      <c r="J98" s="67">
        <f t="shared" si="18"/>
        <v>1.3232575888937042E-2</v>
      </c>
      <c r="K98" s="100">
        <f t="shared" si="20"/>
        <v>8.8217172592913607E-3</v>
      </c>
      <c r="O98" s="96">
        <f>Amnt_Deposited!B93</f>
        <v>2079</v>
      </c>
      <c r="P98" s="99">
        <f>Amnt_Deposited!D93</f>
        <v>0</v>
      </c>
      <c r="Q98" s="284">
        <f>MCF!R97</f>
        <v>0.8</v>
      </c>
      <c r="R98" s="67">
        <f t="shared" si="19"/>
        <v>0</v>
      </c>
      <c r="S98" s="67">
        <f t="shared" si="21"/>
        <v>0</v>
      </c>
      <c r="T98" s="67">
        <f t="shared" si="22"/>
        <v>0</v>
      </c>
      <c r="U98" s="67">
        <f t="shared" si="23"/>
        <v>0.3770613516359918</v>
      </c>
      <c r="V98" s="67">
        <f t="shared" si="24"/>
        <v>2.7340032828382328E-2</v>
      </c>
      <c r="W98" s="100">
        <f t="shared" si="25"/>
        <v>1.8226688552254885E-2</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0.17015972221153861</v>
      </c>
      <c r="J99" s="68">
        <f t="shared" si="18"/>
        <v>1.2337971980281357E-2</v>
      </c>
      <c r="K99" s="102">
        <f t="shared" si="20"/>
        <v>8.225314653520905E-3</v>
      </c>
      <c r="O99" s="97">
        <f>Amnt_Deposited!B94</f>
        <v>2080</v>
      </c>
      <c r="P99" s="101">
        <f>Amnt_Deposited!D94</f>
        <v>0</v>
      </c>
      <c r="Q99" s="285">
        <f>MCF!R98</f>
        <v>0.8</v>
      </c>
      <c r="R99" s="68">
        <f t="shared" si="19"/>
        <v>0</v>
      </c>
      <c r="S99" s="68">
        <f>R99*$W$12</f>
        <v>0</v>
      </c>
      <c r="T99" s="68">
        <f>R99*(1-$W$12)</f>
        <v>0</v>
      </c>
      <c r="U99" s="68">
        <f>S99+U98*$W$10</f>
        <v>0.35156967399078237</v>
      </c>
      <c r="V99" s="68">
        <f>U98*(1-$W$10)+T99</f>
        <v>2.5491677645209428E-2</v>
      </c>
      <c r="W99" s="102">
        <f t="shared" si="25"/>
        <v>1.6994451763472952E-2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3.2351669353079999</v>
      </c>
      <c r="D19" s="416">
        <f>Dry_Matter_Content!E6</f>
        <v>0.44</v>
      </c>
      <c r="E19" s="283">
        <f>MCF!R18</f>
        <v>0.8</v>
      </c>
      <c r="F19" s="130">
        <f t="shared" ref="F19:F82" si="0">C19*D19*$K$6*DOCF*E19</f>
        <v>0.34163362836852484</v>
      </c>
      <c r="G19" s="65">
        <f t="shared" ref="G19:G82" si="1">F19*$K$12</f>
        <v>0.34163362836852484</v>
      </c>
      <c r="H19" s="65">
        <f t="shared" ref="H19:H82" si="2">F19*(1-$K$12)</f>
        <v>0</v>
      </c>
      <c r="I19" s="65">
        <f t="shared" ref="I19:I82" si="3">G19+I18*$K$10</f>
        <v>0.34163362836852484</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3.2766131554199998</v>
      </c>
      <c r="D20" s="418">
        <f>Dry_Matter_Content!E7</f>
        <v>0.44</v>
      </c>
      <c r="E20" s="284">
        <f>MCF!R19</f>
        <v>0.8</v>
      </c>
      <c r="F20" s="67">
        <f t="shared" si="0"/>
        <v>0.34601034921235196</v>
      </c>
      <c r="G20" s="67">
        <f t="shared" si="1"/>
        <v>0.34601034921235196</v>
      </c>
      <c r="H20" s="67">
        <f t="shared" si="2"/>
        <v>0</v>
      </c>
      <c r="I20" s="67">
        <f t="shared" si="3"/>
        <v>0.63423462163304056</v>
      </c>
      <c r="J20" s="67">
        <f t="shared" si="4"/>
        <v>5.3409355947836225E-2</v>
      </c>
      <c r="K20" s="100">
        <f>J20*CH4_fraction*conv</f>
        <v>3.5606237298557483E-2</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3.3504481810800004</v>
      </c>
      <c r="D21" s="418">
        <f>Dry_Matter_Content!E8</f>
        <v>0.44</v>
      </c>
      <c r="E21" s="284">
        <f>MCF!R20</f>
        <v>0.8</v>
      </c>
      <c r="F21" s="67">
        <f t="shared" si="0"/>
        <v>0.35380732792204805</v>
      </c>
      <c r="G21" s="67">
        <f t="shared" si="1"/>
        <v>0.35380732792204805</v>
      </c>
      <c r="H21" s="67">
        <f t="shared" si="2"/>
        <v>0</v>
      </c>
      <c r="I21" s="67">
        <f t="shared" si="3"/>
        <v>0.88888876366116398</v>
      </c>
      <c r="J21" s="67">
        <f t="shared" si="4"/>
        <v>9.9153185893924578E-2</v>
      </c>
      <c r="K21" s="100">
        <f t="shared" ref="K21:K84" si="6">J21*CH4_fraction*conv</f>
        <v>6.6102123929283052E-2</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3.4100012782440006</v>
      </c>
      <c r="D22" s="418">
        <f>Dry_Matter_Content!E9</f>
        <v>0.44</v>
      </c>
      <c r="E22" s="284">
        <f>MCF!R21</f>
        <v>0.8</v>
      </c>
      <c r="F22" s="67">
        <f t="shared" si="0"/>
        <v>0.36009613498256643</v>
      </c>
      <c r="G22" s="67">
        <f t="shared" si="1"/>
        <v>0.36009613498256643</v>
      </c>
      <c r="H22" s="67">
        <f t="shared" si="2"/>
        <v>0</v>
      </c>
      <c r="I22" s="67">
        <f t="shared" si="3"/>
        <v>1.1100203107513487</v>
      </c>
      <c r="J22" s="67">
        <f t="shared" si="4"/>
        <v>0.13896458789238181</v>
      </c>
      <c r="K22" s="100">
        <f t="shared" si="6"/>
        <v>9.2643058594921196E-2</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3.4282433405880002</v>
      </c>
      <c r="D23" s="418">
        <f>Dry_Matter_Content!E10</f>
        <v>0.44</v>
      </c>
      <c r="E23" s="284">
        <f>MCF!R22</f>
        <v>0.8</v>
      </c>
      <c r="F23" s="67">
        <f t="shared" si="0"/>
        <v>0.36202249676609283</v>
      </c>
      <c r="G23" s="67">
        <f t="shared" si="1"/>
        <v>0.36202249676609283</v>
      </c>
      <c r="H23" s="67">
        <f t="shared" si="2"/>
        <v>0</v>
      </c>
      <c r="I23" s="67">
        <f t="shared" si="3"/>
        <v>1.2985075786543903</v>
      </c>
      <c r="J23" s="67">
        <f t="shared" si="4"/>
        <v>0.17353522886305126</v>
      </c>
      <c r="K23" s="100">
        <f t="shared" si="6"/>
        <v>0.11569015257536749</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3.7973548522800002</v>
      </c>
      <c r="D24" s="418">
        <f>Dry_Matter_Content!E11</f>
        <v>0.44</v>
      </c>
      <c r="E24" s="284">
        <f>MCF!R23</f>
        <v>0.8</v>
      </c>
      <c r="F24" s="67">
        <f t="shared" si="0"/>
        <v>0.40100067240076803</v>
      </c>
      <c r="G24" s="67">
        <f t="shared" si="1"/>
        <v>0.40100067240076803</v>
      </c>
      <c r="H24" s="67">
        <f t="shared" si="2"/>
        <v>0</v>
      </c>
      <c r="I24" s="67">
        <f t="shared" si="3"/>
        <v>1.4965058305952383</v>
      </c>
      <c r="J24" s="67">
        <f t="shared" si="4"/>
        <v>0.20300242045991981</v>
      </c>
      <c r="K24" s="100">
        <f t="shared" si="6"/>
        <v>0.13533494697327986</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3.8754680948280003</v>
      </c>
      <c r="D25" s="418">
        <f>Dry_Matter_Content!E12</f>
        <v>0.44</v>
      </c>
      <c r="E25" s="284">
        <f>MCF!R24</f>
        <v>0.8</v>
      </c>
      <c r="F25" s="67">
        <f t="shared" si="0"/>
        <v>0.4092494308138368</v>
      </c>
      <c r="G25" s="67">
        <f t="shared" si="1"/>
        <v>0.4092494308138368</v>
      </c>
      <c r="H25" s="67">
        <f t="shared" si="2"/>
        <v>0</v>
      </c>
      <c r="I25" s="67">
        <f t="shared" si="3"/>
        <v>1.6717987479183873</v>
      </c>
      <c r="J25" s="67">
        <f t="shared" si="4"/>
        <v>0.23395651349068772</v>
      </c>
      <c r="K25" s="100">
        <f t="shared" si="6"/>
        <v>0.15597100899379179</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3.9535177207680006</v>
      </c>
      <c r="D26" s="418">
        <f>Dry_Matter_Content!E13</f>
        <v>0.44</v>
      </c>
      <c r="E26" s="284">
        <f>MCF!R25</f>
        <v>0.8</v>
      </c>
      <c r="F26" s="67">
        <f t="shared" si="0"/>
        <v>0.41749147131310088</v>
      </c>
      <c r="G26" s="67">
        <f t="shared" si="1"/>
        <v>0.41749147131310088</v>
      </c>
      <c r="H26" s="67">
        <f t="shared" si="2"/>
        <v>0</v>
      </c>
      <c r="I26" s="67">
        <f t="shared" si="3"/>
        <v>1.827929255361731</v>
      </c>
      <c r="J26" s="67">
        <f t="shared" si="4"/>
        <v>0.26136096386975716</v>
      </c>
      <c r="K26" s="100">
        <f t="shared" si="6"/>
        <v>0.1742406425798381</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4.0310266055400001</v>
      </c>
      <c r="D27" s="418">
        <f>Dry_Matter_Content!E14</f>
        <v>0.44</v>
      </c>
      <c r="E27" s="284">
        <f>MCF!R26</f>
        <v>0.8</v>
      </c>
      <c r="F27" s="67">
        <f t="shared" si="0"/>
        <v>0.42567640954502406</v>
      </c>
      <c r="G27" s="67">
        <f t="shared" si="1"/>
        <v>0.42567640954502406</v>
      </c>
      <c r="H27" s="67">
        <f t="shared" si="2"/>
        <v>0</v>
      </c>
      <c r="I27" s="67">
        <f t="shared" si="3"/>
        <v>1.9678360095209431</v>
      </c>
      <c r="J27" s="67">
        <f t="shared" si="4"/>
        <v>0.285769655385812</v>
      </c>
      <c r="K27" s="100">
        <f t="shared" si="6"/>
        <v>0.19051310359054133</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4.1074221996720004</v>
      </c>
      <c r="D28" s="418">
        <f>Dry_Matter_Content!E15</f>
        <v>0.44</v>
      </c>
      <c r="E28" s="284">
        <f>MCF!R27</f>
        <v>0.8</v>
      </c>
      <c r="F28" s="67">
        <f t="shared" si="0"/>
        <v>0.43374378428536331</v>
      </c>
      <c r="G28" s="67">
        <f t="shared" si="1"/>
        <v>0.43374378428536331</v>
      </c>
      <c r="H28" s="67">
        <f t="shared" si="2"/>
        <v>0</v>
      </c>
      <c r="I28" s="67">
        <f t="shared" si="3"/>
        <v>2.0939377903496093</v>
      </c>
      <c r="J28" s="67">
        <f t="shared" si="4"/>
        <v>0.30764200345669707</v>
      </c>
      <c r="K28" s="100">
        <f t="shared" si="6"/>
        <v>0.20509466897113138</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4.4339105840040007</v>
      </c>
      <c r="D29" s="418">
        <f>Dry_Matter_Content!E16</f>
        <v>0.44</v>
      </c>
      <c r="E29" s="284">
        <f>MCF!R28</f>
        <v>0.8</v>
      </c>
      <c r="F29" s="67">
        <f t="shared" si="0"/>
        <v>0.4682209576708225</v>
      </c>
      <c r="G29" s="67">
        <f t="shared" si="1"/>
        <v>0.4682209576708225</v>
      </c>
      <c r="H29" s="67">
        <f t="shared" si="2"/>
        <v>0</v>
      </c>
      <c r="I29" s="67">
        <f t="shared" si="3"/>
        <v>2.2348025995303624</v>
      </c>
      <c r="J29" s="67">
        <f t="shared" si="4"/>
        <v>0.32735614849006922</v>
      </c>
      <c r="K29" s="100">
        <f t="shared" si="6"/>
        <v>0.2182374323267128</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4.550050653984</v>
      </c>
      <c r="D30" s="418">
        <f>Dry_Matter_Content!E17</f>
        <v>0.44</v>
      </c>
      <c r="E30" s="284">
        <f>MCF!R29</f>
        <v>0.8</v>
      </c>
      <c r="F30" s="67">
        <f t="shared" si="0"/>
        <v>0.48048534906071039</v>
      </c>
      <c r="G30" s="67">
        <f t="shared" si="1"/>
        <v>0.48048534906071039</v>
      </c>
      <c r="H30" s="67">
        <f t="shared" si="2"/>
        <v>0</v>
      </c>
      <c r="I30" s="67">
        <f t="shared" si="3"/>
        <v>2.3659096743226149</v>
      </c>
      <c r="J30" s="67">
        <f t="shared" si="4"/>
        <v>0.34937827426845769</v>
      </c>
      <c r="K30" s="100">
        <f t="shared" si="6"/>
        <v>0.23291884951230513</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4.6382232726719996</v>
      </c>
      <c r="D31" s="418">
        <f>Dry_Matter_Content!E18</f>
        <v>0.44</v>
      </c>
      <c r="E31" s="284">
        <f>MCF!R30</f>
        <v>0.8</v>
      </c>
      <c r="F31" s="67">
        <f t="shared" si="0"/>
        <v>0.48979637759416317</v>
      </c>
      <c r="G31" s="67">
        <f t="shared" si="1"/>
        <v>0.48979637759416317</v>
      </c>
      <c r="H31" s="67">
        <f t="shared" si="2"/>
        <v>0</v>
      </c>
      <c r="I31" s="67">
        <f t="shared" si="3"/>
        <v>2.4858311290651622</v>
      </c>
      <c r="J31" s="67">
        <f t="shared" si="4"/>
        <v>0.36987492285161611</v>
      </c>
      <c r="K31" s="100">
        <f t="shared" si="6"/>
        <v>0.24658328190107739</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4.7260937124720002</v>
      </c>
      <c r="D32" s="418">
        <f>Dry_Matter_Content!E19</f>
        <v>0.44</v>
      </c>
      <c r="E32" s="284">
        <f>MCF!R31</f>
        <v>0.8</v>
      </c>
      <c r="F32" s="67">
        <f t="shared" si="0"/>
        <v>0.49907549603704321</v>
      </c>
      <c r="G32" s="67">
        <f t="shared" si="1"/>
        <v>0.49907549603704321</v>
      </c>
      <c r="H32" s="67">
        <f t="shared" si="2"/>
        <v>0</v>
      </c>
      <c r="I32" s="67">
        <f t="shared" si="3"/>
        <v>2.5962837596293848</v>
      </c>
      <c r="J32" s="67">
        <f t="shared" si="4"/>
        <v>0.38862286547282071</v>
      </c>
      <c r="K32" s="100">
        <f t="shared" si="6"/>
        <v>0.25908191031521377</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4.8117693792959999</v>
      </c>
      <c r="D33" s="418">
        <f>Dry_Matter_Content!E20</f>
        <v>0.44</v>
      </c>
      <c r="E33" s="284">
        <f>MCF!R32</f>
        <v>0.8</v>
      </c>
      <c r="F33" s="67">
        <f t="shared" si="0"/>
        <v>0.50812284645365757</v>
      </c>
      <c r="G33" s="67">
        <f t="shared" si="1"/>
        <v>0.50812284645365757</v>
      </c>
      <c r="H33" s="67">
        <f t="shared" si="2"/>
        <v>0</v>
      </c>
      <c r="I33" s="67">
        <f t="shared" si="3"/>
        <v>2.698516108353552</v>
      </c>
      <c r="J33" s="67">
        <f t="shared" si="4"/>
        <v>0.40589049772949032</v>
      </c>
      <c r="K33" s="100">
        <f t="shared" si="6"/>
        <v>0.27059366515299355</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4.8950912316239998</v>
      </c>
      <c r="D34" s="418">
        <f>Dry_Matter_Content!E21</f>
        <v>0.44</v>
      </c>
      <c r="E34" s="284">
        <f>MCF!R33</f>
        <v>0.8</v>
      </c>
      <c r="F34" s="67">
        <f t="shared" si="0"/>
        <v>0.51692163405949443</v>
      </c>
      <c r="G34" s="67">
        <f t="shared" si="1"/>
        <v>0.51692163405949443</v>
      </c>
      <c r="H34" s="67">
        <f t="shared" si="2"/>
        <v>0</v>
      </c>
      <c r="I34" s="67">
        <f t="shared" si="3"/>
        <v>2.7935647316959811</v>
      </c>
      <c r="J34" s="67">
        <f t="shared" si="4"/>
        <v>0.42187301071706546</v>
      </c>
      <c r="K34" s="100">
        <f t="shared" si="6"/>
        <v>0.28124867381137697</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4.9777451095679996</v>
      </c>
      <c r="D35" s="418">
        <f>Dry_Matter_Content!E22</f>
        <v>0.44</v>
      </c>
      <c r="E35" s="284">
        <f>MCF!R34</f>
        <v>0.8</v>
      </c>
      <c r="F35" s="67">
        <f t="shared" si="0"/>
        <v>0.52564988357038078</v>
      </c>
      <c r="G35" s="67">
        <f t="shared" si="1"/>
        <v>0.52564988357038078</v>
      </c>
      <c r="H35" s="67">
        <f t="shared" si="2"/>
        <v>0</v>
      </c>
      <c r="I35" s="67">
        <f t="shared" si="3"/>
        <v>2.8824821605867967</v>
      </c>
      <c r="J35" s="67">
        <f t="shared" si="4"/>
        <v>0.43673245467956534</v>
      </c>
      <c r="K35" s="100">
        <f t="shared" si="6"/>
        <v>0.29115496978637689</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5.1687619271640006</v>
      </c>
      <c r="D36" s="418">
        <f>Dry_Matter_Content!E23</f>
        <v>0.44</v>
      </c>
      <c r="E36" s="284">
        <f>MCF!R35</f>
        <v>0.8</v>
      </c>
      <c r="F36" s="67">
        <f t="shared" si="0"/>
        <v>0.54582125950851845</v>
      </c>
      <c r="G36" s="67">
        <f t="shared" si="1"/>
        <v>0.54582125950851845</v>
      </c>
      <c r="H36" s="67">
        <f t="shared" si="2"/>
        <v>0</v>
      </c>
      <c r="I36" s="67">
        <f t="shared" si="3"/>
        <v>2.9776700428623259</v>
      </c>
      <c r="J36" s="67">
        <f t="shared" si="4"/>
        <v>0.45063337723298902</v>
      </c>
      <c r="K36" s="100">
        <f t="shared" si="6"/>
        <v>0.30042225148865931</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5.2888303226880007</v>
      </c>
      <c r="D37" s="418">
        <f>Dry_Matter_Content!E24</f>
        <v>0.44</v>
      </c>
      <c r="E37" s="284">
        <f>MCF!R36</f>
        <v>0.8</v>
      </c>
      <c r="F37" s="67">
        <f t="shared" si="0"/>
        <v>0.5585004820758529</v>
      </c>
      <c r="G37" s="67">
        <f t="shared" si="1"/>
        <v>0.5585004820758529</v>
      </c>
      <c r="H37" s="67">
        <f t="shared" si="2"/>
        <v>0</v>
      </c>
      <c r="I37" s="67">
        <f t="shared" si="3"/>
        <v>3.0706559326718432</v>
      </c>
      <c r="J37" s="67">
        <f t="shared" si="4"/>
        <v>0.46551459226633574</v>
      </c>
      <c r="K37" s="100">
        <f t="shared" si="6"/>
        <v>0.31034306151089047</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5.4088987182120007</v>
      </c>
      <c r="D38" s="418">
        <f>Dry_Matter_Content!E25</f>
        <v>0.44</v>
      </c>
      <c r="E38" s="284">
        <f>MCF!R37</f>
        <v>0.8</v>
      </c>
      <c r="F38" s="67">
        <f t="shared" si="0"/>
        <v>0.57117970464318724</v>
      </c>
      <c r="G38" s="67">
        <f t="shared" si="1"/>
        <v>0.57117970464318724</v>
      </c>
      <c r="H38" s="67">
        <f t="shared" si="2"/>
        <v>0</v>
      </c>
      <c r="I38" s="67">
        <f t="shared" si="3"/>
        <v>3.1617840789113756</v>
      </c>
      <c r="J38" s="67">
        <f t="shared" si="4"/>
        <v>0.48005155840365504</v>
      </c>
      <c r="K38" s="100">
        <f t="shared" si="6"/>
        <v>0.32003437226910336</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5.5289671137360017</v>
      </c>
      <c r="D39" s="418">
        <f>Dry_Matter_Content!E26</f>
        <v>0.44</v>
      </c>
      <c r="E39" s="284">
        <f>MCF!R38</f>
        <v>0.8</v>
      </c>
      <c r="F39" s="67">
        <f t="shared" si="0"/>
        <v>0.58385892721052179</v>
      </c>
      <c r="G39" s="67">
        <f t="shared" si="1"/>
        <v>0.58385892721052179</v>
      </c>
      <c r="H39" s="67">
        <f t="shared" si="2"/>
        <v>0</v>
      </c>
      <c r="I39" s="67">
        <f t="shared" si="3"/>
        <v>3.2513449122626534</v>
      </c>
      <c r="J39" s="67">
        <f t="shared" si="4"/>
        <v>0.49429809385924395</v>
      </c>
      <c r="K39" s="100">
        <f t="shared" si="6"/>
        <v>0.3295320625728293</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5.6490355092600009</v>
      </c>
      <c r="D40" s="418">
        <f>Dry_Matter_Content!E27</f>
        <v>0.44</v>
      </c>
      <c r="E40" s="284">
        <f>MCF!R39</f>
        <v>0.8</v>
      </c>
      <c r="F40" s="67">
        <f t="shared" si="0"/>
        <v>0.59653814977785613</v>
      </c>
      <c r="G40" s="67">
        <f t="shared" si="1"/>
        <v>0.59653814977785613</v>
      </c>
      <c r="H40" s="67">
        <f t="shared" si="2"/>
        <v>0</v>
      </c>
      <c r="I40" s="67">
        <f t="shared" si="3"/>
        <v>3.3395834588735127</v>
      </c>
      <c r="J40" s="67">
        <f t="shared" si="4"/>
        <v>0.50829960316699663</v>
      </c>
      <c r="K40" s="100">
        <f t="shared" si="6"/>
        <v>0.33886640211133107</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5.7691039047840009</v>
      </c>
      <c r="D41" s="418">
        <f>Dry_Matter_Content!E28</f>
        <v>0.44</v>
      </c>
      <c r="E41" s="284">
        <f>MCF!R40</f>
        <v>0.8</v>
      </c>
      <c r="F41" s="67">
        <f t="shared" si="0"/>
        <v>0.60921737234519047</v>
      </c>
      <c r="G41" s="67">
        <f t="shared" si="1"/>
        <v>0.60921737234519047</v>
      </c>
      <c r="H41" s="67">
        <f t="shared" si="2"/>
        <v>0</v>
      </c>
      <c r="I41" s="67">
        <f t="shared" si="3"/>
        <v>3.4267064386840294</v>
      </c>
      <c r="J41" s="67">
        <f t="shared" si="4"/>
        <v>0.52209439253467393</v>
      </c>
      <c r="K41" s="100">
        <f t="shared" si="6"/>
        <v>0.34806292835644925</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5.8891723003080019</v>
      </c>
      <c r="D42" s="418">
        <f>Dry_Matter_Content!E29</f>
        <v>0.44</v>
      </c>
      <c r="E42" s="284">
        <f>MCF!R41</f>
        <v>0.8</v>
      </c>
      <c r="F42" s="67">
        <f t="shared" si="0"/>
        <v>0.62189659491252502</v>
      </c>
      <c r="G42" s="67">
        <f t="shared" si="1"/>
        <v>0.62189659491252502</v>
      </c>
      <c r="H42" s="67">
        <f t="shared" si="2"/>
        <v>0</v>
      </c>
      <c r="I42" s="67">
        <f t="shared" si="3"/>
        <v>3.5128882540345336</v>
      </c>
      <c r="J42" s="67">
        <f t="shared" si="4"/>
        <v>0.53571477956202052</v>
      </c>
      <c r="K42" s="100">
        <f t="shared" si="6"/>
        <v>0.35714318637468034</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6.0092406958320002</v>
      </c>
      <c r="D43" s="418">
        <f>Dry_Matter_Content!E30</f>
        <v>0.44</v>
      </c>
      <c r="E43" s="284">
        <f>MCF!R42</f>
        <v>0.8</v>
      </c>
      <c r="F43" s="67">
        <f t="shared" si="0"/>
        <v>0.63457581747985925</v>
      </c>
      <c r="G43" s="67">
        <f t="shared" si="1"/>
        <v>0.63457581747985925</v>
      </c>
      <c r="H43" s="67">
        <f t="shared" si="2"/>
        <v>0</v>
      </c>
      <c r="I43" s="67">
        <f t="shared" si="3"/>
        <v>3.5982760420434947</v>
      </c>
      <c r="J43" s="67">
        <f t="shared" si="4"/>
        <v>0.54918802947089829</v>
      </c>
      <c r="K43" s="100">
        <f t="shared" si="6"/>
        <v>0.36612535298059884</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6.1293090913560002</v>
      </c>
      <c r="D44" s="418">
        <f>Dry_Matter_Content!E31</f>
        <v>0.44</v>
      </c>
      <c r="E44" s="284">
        <f>MCF!R43</f>
        <v>0.8</v>
      </c>
      <c r="F44" s="67">
        <f t="shared" si="0"/>
        <v>0.6472550400471937</v>
      </c>
      <c r="G44" s="67">
        <f t="shared" si="1"/>
        <v>0.6472550400471937</v>
      </c>
      <c r="H44" s="67">
        <f t="shared" si="2"/>
        <v>0</v>
      </c>
      <c r="I44" s="67">
        <f t="shared" si="3"/>
        <v>3.6829939371209806</v>
      </c>
      <c r="J44" s="67">
        <f t="shared" si="4"/>
        <v>0.5625371449697083</v>
      </c>
      <c r="K44" s="100">
        <f t="shared" si="6"/>
        <v>0.37502476331313883</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6.2493774868799994</v>
      </c>
      <c r="D45" s="418">
        <f>Dry_Matter_Content!E32</f>
        <v>0.44</v>
      </c>
      <c r="E45" s="284">
        <f>MCF!R44</f>
        <v>0.8</v>
      </c>
      <c r="F45" s="67">
        <f t="shared" si="0"/>
        <v>0.65993426261452792</v>
      </c>
      <c r="G45" s="67">
        <f t="shared" si="1"/>
        <v>0.65993426261452792</v>
      </c>
      <c r="H45" s="67">
        <f t="shared" si="2"/>
        <v>0</v>
      </c>
      <c r="I45" s="67">
        <f t="shared" si="3"/>
        <v>3.7671466671012928</v>
      </c>
      <c r="J45" s="67">
        <f t="shared" si="4"/>
        <v>0.57578153263421539</v>
      </c>
      <c r="K45" s="100">
        <f t="shared" si="6"/>
        <v>0.38385435508947691</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6.3694458824040003</v>
      </c>
      <c r="D46" s="418">
        <f>Dry_Matter_Content!E33</f>
        <v>0.44</v>
      </c>
      <c r="E46" s="284">
        <f>MCF!R45</f>
        <v>0.8</v>
      </c>
      <c r="F46" s="67">
        <f t="shared" si="0"/>
        <v>0.67261348518186237</v>
      </c>
      <c r="G46" s="67">
        <f t="shared" si="1"/>
        <v>0.67261348518186237</v>
      </c>
      <c r="H46" s="67">
        <f t="shared" si="2"/>
        <v>0</v>
      </c>
      <c r="I46" s="67">
        <f t="shared" si="3"/>
        <v>3.8508225871735529</v>
      </c>
      <c r="J46" s="67">
        <f t="shared" si="4"/>
        <v>0.58893756510960249</v>
      </c>
      <c r="K46" s="100">
        <f t="shared" si="6"/>
        <v>0.39262504340640164</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6.4895142779280004</v>
      </c>
      <c r="D47" s="418">
        <f>Dry_Matter_Content!E34</f>
        <v>0.44</v>
      </c>
      <c r="E47" s="284">
        <f>MCF!R46</f>
        <v>0.8</v>
      </c>
      <c r="F47" s="67">
        <f t="shared" si="0"/>
        <v>0.68529270774919682</v>
      </c>
      <c r="G47" s="67">
        <f t="shared" si="1"/>
        <v>0.68529270774919682</v>
      </c>
      <c r="H47" s="67">
        <f t="shared" si="2"/>
        <v>0</v>
      </c>
      <c r="I47" s="67">
        <f t="shared" si="3"/>
        <v>3.9340962395021837</v>
      </c>
      <c r="J47" s="67">
        <f t="shared" si="4"/>
        <v>0.60201905542056555</v>
      </c>
      <c r="K47" s="100">
        <f t="shared" si="6"/>
        <v>0.40134603694704368</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6.6095826734519996</v>
      </c>
      <c r="D48" s="418">
        <f>Dry_Matter_Content!E35</f>
        <v>0.44</v>
      </c>
      <c r="E48" s="284">
        <f>MCF!R47</f>
        <v>0.8</v>
      </c>
      <c r="F48" s="67">
        <f t="shared" si="0"/>
        <v>0.69797193031653126</v>
      </c>
      <c r="G48" s="67">
        <f t="shared" si="1"/>
        <v>0.69797193031653126</v>
      </c>
      <c r="H48" s="67">
        <f t="shared" si="2"/>
        <v>0</v>
      </c>
      <c r="I48" s="67">
        <f t="shared" si="3"/>
        <v>4.0170305126886641</v>
      </c>
      <c r="J48" s="67">
        <f t="shared" si="4"/>
        <v>0.6150376571300511</v>
      </c>
      <c r="K48" s="100">
        <f t="shared" si="6"/>
        <v>0.4100251047533674</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6.7296510689760005</v>
      </c>
      <c r="D49" s="418">
        <f>Dry_Matter_Content!E36</f>
        <v>0.44</v>
      </c>
      <c r="E49" s="284">
        <f>MCF!R48</f>
        <v>0.8</v>
      </c>
      <c r="F49" s="67">
        <f t="shared" si="0"/>
        <v>0.71065115288386571</v>
      </c>
      <c r="G49" s="67">
        <f t="shared" si="1"/>
        <v>0.71065115288386571</v>
      </c>
      <c r="H49" s="67">
        <f t="shared" si="2"/>
        <v>0</v>
      </c>
      <c r="I49" s="67">
        <f t="shared" si="3"/>
        <v>4.0996784636334249</v>
      </c>
      <c r="J49" s="67">
        <f t="shared" si="4"/>
        <v>0.62800320193910508</v>
      </c>
      <c r="K49" s="100">
        <f t="shared" si="6"/>
        <v>0.4186688012927367</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3.4587544791254374</v>
      </c>
      <c r="J50" s="67">
        <f t="shared" si="4"/>
        <v>0.64092398450798738</v>
      </c>
      <c r="K50" s="100">
        <f t="shared" si="6"/>
        <v>0.42728265633865825</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2.9180294632832826</v>
      </c>
      <c r="J51" s="67">
        <f t="shared" si="4"/>
        <v>0.5407250158421546</v>
      </c>
      <c r="K51" s="100">
        <f t="shared" si="6"/>
        <v>0.36048334389476971</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2.4618387919637348</v>
      </c>
      <c r="J52" s="67">
        <f t="shared" si="4"/>
        <v>0.45619067131954799</v>
      </c>
      <c r="K52" s="100">
        <f t="shared" si="6"/>
        <v>0.30412711421303196</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2.076966772911947</v>
      </c>
      <c r="J53" s="67">
        <f t="shared" si="4"/>
        <v>0.38487201905178764</v>
      </c>
      <c r="K53" s="100">
        <f t="shared" si="6"/>
        <v>0.25658134603452509</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1.7522637915455406</v>
      </c>
      <c r="J54" s="67">
        <f t="shared" si="4"/>
        <v>0.3247029813664063</v>
      </c>
      <c r="K54" s="100">
        <f t="shared" si="6"/>
        <v>0.21646865424427086</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1.4783233103227524</v>
      </c>
      <c r="J55" s="67">
        <f t="shared" si="4"/>
        <v>0.27394048122278813</v>
      </c>
      <c r="K55" s="100">
        <f t="shared" si="6"/>
        <v>0.18262698748185874</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1.2472093644736038</v>
      </c>
      <c r="J56" s="67">
        <f t="shared" si="4"/>
        <v>0.23111394584914868</v>
      </c>
      <c r="K56" s="100">
        <f t="shared" si="6"/>
        <v>0.15407596389943246</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1.0522266597359151</v>
      </c>
      <c r="J57" s="67">
        <f t="shared" si="4"/>
        <v>0.19498270473768856</v>
      </c>
      <c r="K57" s="100">
        <f t="shared" si="6"/>
        <v>0.12998846982512569</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0.88772661190392632</v>
      </c>
      <c r="J58" s="67">
        <f t="shared" si="4"/>
        <v>0.16450004783198885</v>
      </c>
      <c r="K58" s="100">
        <f t="shared" si="6"/>
        <v>0.10966669855465923</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0.74894370921965514</v>
      </c>
      <c r="J59" s="67">
        <f t="shared" si="4"/>
        <v>0.13878290268427124</v>
      </c>
      <c r="K59" s="100">
        <f t="shared" si="6"/>
        <v>9.2521935122847482E-2</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0.63185745707981567</v>
      </c>
      <c r="J60" s="67">
        <f t="shared" si="4"/>
        <v>0.11708625213983946</v>
      </c>
      <c r="K60" s="100">
        <f t="shared" si="6"/>
        <v>7.8057501426559636E-2</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0.53307590564230012</v>
      </c>
      <c r="J61" s="67">
        <f t="shared" si="4"/>
        <v>9.8781551437515588E-2</v>
      </c>
      <c r="K61" s="100">
        <f t="shared" si="6"/>
        <v>6.5854367625010388E-2</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0.44973738616566228</v>
      </c>
      <c r="J62" s="67">
        <f t="shared" si="4"/>
        <v>8.333851947663784E-2</v>
      </c>
      <c r="K62" s="100">
        <f t="shared" si="6"/>
        <v>5.5559012984425227E-2</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0.37942760941599046</v>
      </c>
      <c r="J63" s="67">
        <f t="shared" si="4"/>
        <v>7.0309776749671815E-2</v>
      </c>
      <c r="K63" s="100">
        <f t="shared" si="6"/>
        <v>4.6873184499781208E-2</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0.32010972450954589</v>
      </c>
      <c r="J64" s="67">
        <f t="shared" si="4"/>
        <v>5.931788490644456E-2</v>
      </c>
      <c r="K64" s="100">
        <f t="shared" si="6"/>
        <v>3.9545256604296371E-2</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0.27006531201906497</v>
      </c>
      <c r="J65" s="67">
        <f t="shared" si="4"/>
        <v>5.0044412490480944E-2</v>
      </c>
      <c r="K65" s="100">
        <f t="shared" si="6"/>
        <v>3.3362941660320625E-2</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0.22784460193360959</v>
      </c>
      <c r="J66" s="67">
        <f t="shared" si="4"/>
        <v>4.222071008545538E-2</v>
      </c>
      <c r="K66" s="100">
        <f t="shared" si="6"/>
        <v>2.8147140056970252E-2</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0.1922244743027948</v>
      </c>
      <c r="J67" s="67">
        <f t="shared" si="4"/>
        <v>3.5620127630814805E-2</v>
      </c>
      <c r="K67" s="100">
        <f t="shared" si="6"/>
        <v>2.3746751753876534E-2</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0.16217302585800364</v>
      </c>
      <c r="J68" s="67">
        <f t="shared" si="4"/>
        <v>3.0051448444791153E-2</v>
      </c>
      <c r="K68" s="100">
        <f t="shared" si="6"/>
        <v>2.00342989631941E-2</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0.13681967611737322</v>
      </c>
      <c r="J69" s="67">
        <f t="shared" si="4"/>
        <v>2.5353349740630408E-2</v>
      </c>
      <c r="K69" s="100">
        <f t="shared" si="6"/>
        <v>1.690223316042027E-2</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0.1154299469583403</v>
      </c>
      <c r="J70" s="67">
        <f t="shared" si="4"/>
        <v>2.1389729159032922E-2</v>
      </c>
      <c r="K70" s="100">
        <f t="shared" si="6"/>
        <v>1.4259819439355281E-2</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9.7384185030338466E-2</v>
      </c>
      <c r="J71" s="67">
        <f t="shared" si="4"/>
        <v>1.8045761928001832E-2</v>
      </c>
      <c r="K71" s="100">
        <f t="shared" si="6"/>
        <v>1.203050795200122E-2</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8.2159610603008804E-2</v>
      </c>
      <c r="J72" s="67">
        <f t="shared" si="4"/>
        <v>1.5224574427329669E-2</v>
      </c>
      <c r="K72" s="100">
        <f t="shared" si="6"/>
        <v>1.0149716284886446E-2</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6.931517281101772E-2</v>
      </c>
      <c r="J73" s="67">
        <f t="shared" si="4"/>
        <v>1.2844437791991079E-2</v>
      </c>
      <c r="K73" s="100">
        <f t="shared" si="6"/>
        <v>8.562958527994052E-3</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5.8478772556953905E-2</v>
      </c>
      <c r="J74" s="67">
        <f t="shared" si="4"/>
        <v>1.0836400254063813E-2</v>
      </c>
      <c r="K74" s="100">
        <f t="shared" si="6"/>
        <v>7.2242668360425416E-3</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4.9336482924044155E-2</v>
      </c>
      <c r="J75" s="67">
        <f t="shared" si="4"/>
        <v>9.142289632909752E-3</v>
      </c>
      <c r="K75" s="100">
        <f t="shared" si="6"/>
        <v>6.094859755273168E-3</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4.1623454817624327E-2</v>
      </c>
      <c r="J76" s="67">
        <f t="shared" si="4"/>
        <v>7.7130281064198263E-3</v>
      </c>
      <c r="K76" s="100">
        <f t="shared" si="6"/>
        <v>5.142018737613217E-3</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3.5116244374818889E-2</v>
      </c>
      <c r="J77" s="67">
        <f t="shared" si="4"/>
        <v>6.5072104428054358E-3</v>
      </c>
      <c r="K77" s="100">
        <f t="shared" si="6"/>
        <v>4.3381402952036236E-3</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2.9626339870035368E-2</v>
      </c>
      <c r="J78" s="67">
        <f t="shared" si="4"/>
        <v>5.48990450478352E-3</v>
      </c>
      <c r="K78" s="100">
        <f t="shared" si="6"/>
        <v>3.6599363365223464E-3</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2.4994700592875518E-2</v>
      </c>
      <c r="J79" s="67">
        <f t="shared" si="4"/>
        <v>4.6316392771598488E-3</v>
      </c>
      <c r="K79" s="100">
        <f t="shared" si="6"/>
        <v>3.0877595181065657E-3</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2.1087149491569847E-2</v>
      </c>
      <c r="J80" s="67">
        <f t="shared" si="4"/>
        <v>3.9075511013056709E-3</v>
      </c>
      <c r="K80" s="100">
        <f t="shared" si="6"/>
        <v>2.6050340675371139E-3</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1.7790486108345802E-2</v>
      </c>
      <c r="J81" s="67">
        <f t="shared" si="4"/>
        <v>3.2966633832240463E-3</v>
      </c>
      <c r="K81" s="100">
        <f t="shared" si="6"/>
        <v>2.1977755888160306E-3</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1.5009207199758073E-2</v>
      </c>
      <c r="J82" s="67">
        <f t="shared" si="4"/>
        <v>2.7812789085877288E-3</v>
      </c>
      <c r="K82" s="100">
        <f t="shared" si="6"/>
        <v>1.8541859390584859E-3</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1.2662740039441017E-2</v>
      </c>
      <c r="J83" s="67">
        <f t="shared" ref="J83:J99" si="16">I82*(1-$K$10)+H83</f>
        <v>2.3464671603170566E-3</v>
      </c>
      <c r="K83" s="100">
        <f t="shared" si="6"/>
        <v>1.5643114402113709E-3</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1.0683108252982691E-2</v>
      </c>
      <c r="J84" s="67">
        <f t="shared" si="16"/>
        <v>1.9796317864583268E-3</v>
      </c>
      <c r="K84" s="100">
        <f t="shared" si="6"/>
        <v>1.319754524305551E-3</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9.0129625649319547E-3</v>
      </c>
      <c r="J85" s="67">
        <f t="shared" si="16"/>
        <v>1.6701456880507358E-3</v>
      </c>
      <c r="K85" s="100">
        <f t="shared" ref="K85:K99" si="18">J85*CH4_fraction*conv</f>
        <v>1.1134304587004905E-3</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7.6039194093333899E-3</v>
      </c>
      <c r="J86" s="67">
        <f t="shared" si="16"/>
        <v>1.4090431555985651E-3</v>
      </c>
      <c r="K86" s="100">
        <f t="shared" si="18"/>
        <v>9.3936210373237665E-4</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6.4151592738889368E-3</v>
      </c>
      <c r="J87" s="67">
        <f t="shared" si="16"/>
        <v>1.1887601354444533E-3</v>
      </c>
      <c r="K87" s="100">
        <f t="shared" si="18"/>
        <v>7.9250675696296877E-4</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5.4122441722421E-3</v>
      </c>
      <c r="J88" s="67">
        <f t="shared" si="16"/>
        <v>1.0029151016468368E-3</v>
      </c>
      <c r="K88" s="100">
        <f t="shared" si="18"/>
        <v>6.6861006776455789E-4</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4.5661199869494774E-3</v>
      </c>
      <c r="J89" s="67">
        <f t="shared" si="16"/>
        <v>8.4612418529262214E-4</v>
      </c>
      <c r="K89" s="100">
        <f t="shared" si="18"/>
        <v>5.6408279019508139E-4</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3.8522747813468129E-3</v>
      </c>
      <c r="J90" s="67">
        <f t="shared" si="16"/>
        <v>7.1384520560266462E-4</v>
      </c>
      <c r="K90" s="100">
        <f t="shared" si="18"/>
        <v>4.7589680373510973E-4</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3.2500286968838331E-3</v>
      </c>
      <c r="J91" s="67">
        <f t="shared" si="16"/>
        <v>6.0224608446297987E-4</v>
      </c>
      <c r="K91" s="100">
        <f t="shared" si="18"/>
        <v>4.0149738964198654E-4</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2.7419348644894827E-3</v>
      </c>
      <c r="J92" s="67">
        <f t="shared" si="16"/>
        <v>5.0809383239435011E-4</v>
      </c>
      <c r="K92" s="100">
        <f t="shared" si="18"/>
        <v>3.387292215962334E-4</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2.3132739745687497E-3</v>
      </c>
      <c r="J93" s="67">
        <f t="shared" si="16"/>
        <v>4.2866088992073306E-4</v>
      </c>
      <c r="K93" s="100">
        <f t="shared" si="18"/>
        <v>2.8577392661382204E-4</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1.9516278634917317E-3</v>
      </c>
      <c r="J94" s="67">
        <f t="shared" si="16"/>
        <v>3.6164611107701789E-4</v>
      </c>
      <c r="K94" s="100">
        <f t="shared" si="18"/>
        <v>2.4109740738467858E-4</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1.646519763517144E-3</v>
      </c>
      <c r="J95" s="67">
        <f t="shared" si="16"/>
        <v>3.051080999745877E-4</v>
      </c>
      <c r="K95" s="100">
        <f t="shared" si="18"/>
        <v>2.0340539998305846E-4</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1.3891107943100123E-3</v>
      </c>
      <c r="J96" s="67">
        <f t="shared" si="16"/>
        <v>2.5740896920713164E-4</v>
      </c>
      <c r="K96" s="100">
        <f t="shared" si="18"/>
        <v>1.7160597947142109E-4</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1.1719439035136135E-3</v>
      </c>
      <c r="J97" s="67">
        <f t="shared" si="16"/>
        <v>2.1716689079639889E-4</v>
      </c>
      <c r="K97" s="100">
        <f t="shared" si="18"/>
        <v>1.4477792719759926E-4</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9.887278384190627E-4</v>
      </c>
      <c r="J98" s="67">
        <f t="shared" si="16"/>
        <v>1.8321606509455075E-4</v>
      </c>
      <c r="K98" s="100">
        <f t="shared" si="18"/>
        <v>1.2214404339636715E-4</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8.3415489046355742E-4</v>
      </c>
      <c r="J99" s="68">
        <f t="shared" si="16"/>
        <v>1.5457294795550525E-4</v>
      </c>
      <c r="K99" s="102">
        <f t="shared" si="18"/>
        <v>1.0304863197033683E-4</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2.4828025317479998</v>
      </c>
      <c r="Q19" s="283">
        <f>MCF!R18</f>
        <v>0.8</v>
      </c>
      <c r="R19" s="130">
        <f t="shared" ref="R19:R82" si="5">P19*$W$6*DOCF*Q19</f>
        <v>0.427042035460656</v>
      </c>
      <c r="S19" s="65">
        <f>R19*$W$12</f>
        <v>0.427042035460656</v>
      </c>
      <c r="T19" s="65">
        <f>R19*(1-$W$12)</f>
        <v>0</v>
      </c>
      <c r="U19" s="65">
        <f>S19+U18*$W$10</f>
        <v>0.427042035460656</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2.5146100960200002</v>
      </c>
      <c r="Q20" s="284">
        <f>MCF!R19</f>
        <v>0.8</v>
      </c>
      <c r="R20" s="67">
        <f t="shared" si="5"/>
        <v>0.43251293651544009</v>
      </c>
      <c r="S20" s="67">
        <f>R20*$W$12</f>
        <v>0.43251293651544009</v>
      </c>
      <c r="T20" s="67">
        <f>R20*(1-$W$12)</f>
        <v>0</v>
      </c>
      <c r="U20" s="67">
        <f>S20+U19*$W$10</f>
        <v>0.84486703892590531</v>
      </c>
      <c r="V20" s="67">
        <f>U19*(1-$W$10)+T20</f>
        <v>1.4687933050190805E-2</v>
      </c>
      <c r="W20" s="100">
        <f>V20*CH4_fraction*conv</f>
        <v>9.7919553667938693E-3</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2.5712741854800001</v>
      </c>
      <c r="Q21" s="284">
        <f>MCF!R20</f>
        <v>0.8</v>
      </c>
      <c r="R21" s="67">
        <f t="shared" si="5"/>
        <v>0.44225915990256004</v>
      </c>
      <c r="S21" s="67">
        <f t="shared" ref="S21:S84" si="7">R21*$W$12</f>
        <v>0.44225915990256004</v>
      </c>
      <c r="T21" s="67">
        <f t="shared" ref="T21:T84" si="8">R21*(1-$W$12)</f>
        <v>0</v>
      </c>
      <c r="U21" s="67">
        <f t="shared" ref="U21:U84" si="9">S21+U20*$W$10</f>
        <v>1.2580673487069065</v>
      </c>
      <c r="V21" s="67">
        <f t="shared" ref="V21:V84" si="10">U20*(1-$W$10)+T21</f>
        <v>2.9058850121558906E-2</v>
      </c>
      <c r="W21" s="100">
        <f t="shared" ref="W21:W84" si="11">V21*CH4_fraction*conv</f>
        <v>1.9372566747705936E-2</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2.6169777251640003</v>
      </c>
      <c r="Q22" s="284">
        <f>MCF!R21</f>
        <v>0.8</v>
      </c>
      <c r="R22" s="67">
        <f t="shared" si="5"/>
        <v>0.45012016872820804</v>
      </c>
      <c r="S22" s="67">
        <f t="shared" si="7"/>
        <v>0.45012016872820804</v>
      </c>
      <c r="T22" s="67">
        <f t="shared" si="8"/>
        <v>0</v>
      </c>
      <c r="U22" s="67">
        <f t="shared" si="9"/>
        <v>1.6649168146563933</v>
      </c>
      <c r="V22" s="67">
        <f t="shared" si="10"/>
        <v>4.3270702778721033E-2</v>
      </c>
      <c r="W22" s="100">
        <f t="shared" si="11"/>
        <v>2.884713518581402E-2</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2.6309774474280001</v>
      </c>
      <c r="Q23" s="284">
        <f>MCF!R22</f>
        <v>0.8</v>
      </c>
      <c r="R23" s="67">
        <f t="shared" si="5"/>
        <v>0.45252812095761608</v>
      </c>
      <c r="S23" s="67">
        <f t="shared" si="7"/>
        <v>0.45252812095761608</v>
      </c>
      <c r="T23" s="67">
        <f t="shared" si="8"/>
        <v>0</v>
      </c>
      <c r="U23" s="67">
        <f t="shared" si="9"/>
        <v>2.0601808148081244</v>
      </c>
      <c r="V23" s="67">
        <f t="shared" si="10"/>
        <v>5.7264120805885013E-2</v>
      </c>
      <c r="W23" s="100">
        <f t="shared" si="11"/>
        <v>3.8176080537256671E-2</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2.9142490726800001</v>
      </c>
      <c r="Q24" s="284">
        <f>MCF!R23</f>
        <v>0.8</v>
      </c>
      <c r="R24" s="67">
        <f t="shared" si="5"/>
        <v>0.50125084050096003</v>
      </c>
      <c r="S24" s="67">
        <f t="shared" si="7"/>
        <v>0.50125084050096003</v>
      </c>
      <c r="T24" s="67">
        <f t="shared" si="8"/>
        <v>0</v>
      </c>
      <c r="U24" s="67">
        <f t="shared" si="9"/>
        <v>2.4905725937496115</v>
      </c>
      <c r="V24" s="67">
        <f t="shared" si="10"/>
        <v>7.0859061559472997E-2</v>
      </c>
      <c r="W24" s="100">
        <f t="shared" si="11"/>
        <v>4.7239374372981993E-2</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2.9741964448680003</v>
      </c>
      <c r="Q25" s="284">
        <f>MCF!R24</f>
        <v>0.8</v>
      </c>
      <c r="R25" s="67">
        <f t="shared" si="5"/>
        <v>0.51156178851729606</v>
      </c>
      <c r="S25" s="67">
        <f t="shared" si="7"/>
        <v>0.51156178851729606</v>
      </c>
      <c r="T25" s="67">
        <f t="shared" si="8"/>
        <v>0</v>
      </c>
      <c r="U25" s="67">
        <f t="shared" si="9"/>
        <v>2.9164721746245768</v>
      </c>
      <c r="V25" s="67">
        <f t="shared" si="10"/>
        <v>8.5662207642330915E-2</v>
      </c>
      <c r="W25" s="100">
        <f t="shared" si="11"/>
        <v>5.7108138428220608E-2</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3.0340949950080005</v>
      </c>
      <c r="Q26" s="284">
        <f>MCF!R25</f>
        <v>0.8</v>
      </c>
      <c r="R26" s="67">
        <f t="shared" si="5"/>
        <v>0.52186433914137609</v>
      </c>
      <c r="S26" s="67">
        <f t="shared" si="7"/>
        <v>0.52186433914137609</v>
      </c>
      <c r="T26" s="67">
        <f t="shared" si="8"/>
        <v>0</v>
      </c>
      <c r="U26" s="67">
        <f t="shared" si="9"/>
        <v>3.3380256673233508</v>
      </c>
      <c r="V26" s="67">
        <f t="shared" si="10"/>
        <v>0.10031084644260226</v>
      </c>
      <c r="W26" s="100">
        <f t="shared" si="11"/>
        <v>6.6873897628401499E-2</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3.0935785577399999</v>
      </c>
      <c r="Q27" s="284">
        <f>MCF!R26</f>
        <v>0.8</v>
      </c>
      <c r="R27" s="67">
        <f t="shared" si="5"/>
        <v>0.53209551193128002</v>
      </c>
      <c r="S27" s="67">
        <f t="shared" si="7"/>
        <v>0.53209551193128002</v>
      </c>
      <c r="T27" s="67">
        <f t="shared" si="8"/>
        <v>0</v>
      </c>
      <c r="U27" s="67">
        <f t="shared" si="9"/>
        <v>3.7553111759054851</v>
      </c>
      <c r="V27" s="67">
        <f t="shared" si="10"/>
        <v>0.11481000334914558</v>
      </c>
      <c r="W27" s="100">
        <f t="shared" si="11"/>
        <v>7.6540002232763721E-2</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3.1522077346320003</v>
      </c>
      <c r="Q28" s="284">
        <f>MCF!R27</f>
        <v>0.8</v>
      </c>
      <c r="R28" s="67">
        <f t="shared" si="5"/>
        <v>0.54217973035670408</v>
      </c>
      <c r="S28" s="67">
        <f t="shared" si="7"/>
        <v>0.54217973035670408</v>
      </c>
      <c r="T28" s="67">
        <f t="shared" si="8"/>
        <v>0</v>
      </c>
      <c r="U28" s="67">
        <f t="shared" si="9"/>
        <v>4.1683285415436115</v>
      </c>
      <c r="V28" s="67">
        <f t="shared" si="10"/>
        <v>0.12916236471857778</v>
      </c>
      <c r="W28" s="100">
        <f t="shared" si="11"/>
        <v>8.6108243145718522E-2</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3.4027685877240006</v>
      </c>
      <c r="Q29" s="284">
        <f>MCF!R28</f>
        <v>0.8</v>
      </c>
      <c r="R29" s="67">
        <f t="shared" si="5"/>
        <v>0.58527619708852807</v>
      </c>
      <c r="S29" s="67">
        <f t="shared" si="7"/>
        <v>0.58527619708852807</v>
      </c>
      <c r="T29" s="67">
        <f t="shared" si="8"/>
        <v>0</v>
      </c>
      <c r="U29" s="67">
        <f t="shared" si="9"/>
        <v>4.6102368135440424</v>
      </c>
      <c r="V29" s="67">
        <f t="shared" si="10"/>
        <v>0.14336792508809759</v>
      </c>
      <c r="W29" s="100">
        <f t="shared" si="11"/>
        <v>9.5578616725398385E-2</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3.4918993391040001</v>
      </c>
      <c r="Q30" s="284">
        <f>MCF!R29</f>
        <v>0.8</v>
      </c>
      <c r="R30" s="67">
        <f t="shared" si="5"/>
        <v>0.6006066863258881</v>
      </c>
      <c r="S30" s="67">
        <f t="shared" si="7"/>
        <v>0.6006066863258881</v>
      </c>
      <c r="T30" s="67">
        <f t="shared" si="8"/>
        <v>0</v>
      </c>
      <c r="U30" s="67">
        <f t="shared" si="9"/>
        <v>5.0522763237140396</v>
      </c>
      <c r="V30" s="67">
        <f t="shared" si="10"/>
        <v>0.15856717615589053</v>
      </c>
      <c r="W30" s="100">
        <f t="shared" si="11"/>
        <v>0.10571145077059368</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3.559566697632</v>
      </c>
      <c r="Q31" s="284">
        <f>MCF!R30</f>
        <v>0.8</v>
      </c>
      <c r="R31" s="67">
        <f t="shared" si="5"/>
        <v>0.61224547199270407</v>
      </c>
      <c r="S31" s="67">
        <f t="shared" si="7"/>
        <v>0.61224547199270407</v>
      </c>
      <c r="T31" s="67">
        <f t="shared" si="8"/>
        <v>0</v>
      </c>
      <c r="U31" s="67">
        <f t="shared" si="9"/>
        <v>5.4907508546008472</v>
      </c>
      <c r="V31" s="67">
        <f t="shared" si="10"/>
        <v>0.17377094110589678</v>
      </c>
      <c r="W31" s="100">
        <f t="shared" si="11"/>
        <v>0.11584729407059785</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3.6270021514319999</v>
      </c>
      <c r="Q32" s="284">
        <f>MCF!R31</f>
        <v>0.8</v>
      </c>
      <c r="R32" s="67">
        <f t="shared" si="5"/>
        <v>0.623844370046304</v>
      </c>
      <c r="S32" s="67">
        <f t="shared" si="7"/>
        <v>0.623844370046304</v>
      </c>
      <c r="T32" s="67">
        <f t="shared" si="8"/>
        <v>0</v>
      </c>
      <c r="U32" s="67">
        <f t="shared" si="9"/>
        <v>5.9257431345697436</v>
      </c>
      <c r="V32" s="67">
        <f t="shared" si="10"/>
        <v>0.18885209007740736</v>
      </c>
      <c r="W32" s="100">
        <f t="shared" si="11"/>
        <v>0.12590139338493822</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3.6927532445759996</v>
      </c>
      <c r="Q33" s="284">
        <f>MCF!R32</f>
        <v>0.8</v>
      </c>
      <c r="R33" s="67">
        <f t="shared" si="5"/>
        <v>0.63515355806707197</v>
      </c>
      <c r="S33" s="67">
        <f t="shared" si="7"/>
        <v>0.63515355806707197</v>
      </c>
      <c r="T33" s="67">
        <f t="shared" si="8"/>
        <v>0</v>
      </c>
      <c r="U33" s="67">
        <f t="shared" si="9"/>
        <v>6.3570832241587052</v>
      </c>
      <c r="V33" s="67">
        <f t="shared" si="10"/>
        <v>0.20381346847810966</v>
      </c>
      <c r="W33" s="100">
        <f t="shared" si="11"/>
        <v>0.13587564565207311</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3.7566979219440002</v>
      </c>
      <c r="Q34" s="284">
        <f>MCF!R33</f>
        <v>0.8</v>
      </c>
      <c r="R34" s="67">
        <f t="shared" si="5"/>
        <v>0.64615204257436809</v>
      </c>
      <c r="S34" s="67">
        <f t="shared" si="7"/>
        <v>0.64615204257436809</v>
      </c>
      <c r="T34" s="67">
        <f t="shared" si="8"/>
        <v>0</v>
      </c>
      <c r="U34" s="67">
        <f t="shared" si="9"/>
        <v>6.7845860354221275</v>
      </c>
      <c r="V34" s="67">
        <f t="shared" si="10"/>
        <v>0.21864923131094599</v>
      </c>
      <c r="W34" s="100">
        <f t="shared" si="11"/>
        <v>0.14576615420729733</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3.8201299678079996</v>
      </c>
      <c r="Q35" s="284">
        <f>MCF!R34</f>
        <v>0.8</v>
      </c>
      <c r="R35" s="67">
        <f t="shared" si="5"/>
        <v>0.65706235446297601</v>
      </c>
      <c r="S35" s="67">
        <f t="shared" si="7"/>
        <v>0.65706235446297601</v>
      </c>
      <c r="T35" s="67">
        <f t="shared" si="8"/>
        <v>0</v>
      </c>
      <c r="U35" s="67">
        <f t="shared" si="9"/>
        <v>7.208295377332032</v>
      </c>
      <c r="V35" s="67">
        <f t="shared" si="10"/>
        <v>0.2333530125530715</v>
      </c>
      <c r="W35" s="100">
        <f t="shared" si="11"/>
        <v>0.15556867503538099</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3.9667242696840006</v>
      </c>
      <c r="Q36" s="284">
        <f>MCF!R35</f>
        <v>0.8</v>
      </c>
      <c r="R36" s="67">
        <f t="shared" si="5"/>
        <v>0.68227657438564815</v>
      </c>
      <c r="S36" s="67">
        <f t="shared" si="7"/>
        <v>0.68227657438564815</v>
      </c>
      <c r="T36" s="67">
        <f t="shared" si="8"/>
        <v>0</v>
      </c>
      <c r="U36" s="67">
        <f t="shared" si="9"/>
        <v>7.6426456327218375</v>
      </c>
      <c r="V36" s="67">
        <f t="shared" si="10"/>
        <v>0.24792631899584314</v>
      </c>
      <c r="W36" s="100">
        <f t="shared" si="11"/>
        <v>0.16528421266389542</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4.0588697825280002</v>
      </c>
      <c r="Q37" s="284">
        <f>MCF!R36</f>
        <v>0.8</v>
      </c>
      <c r="R37" s="67">
        <f t="shared" si="5"/>
        <v>0.69812560259481604</v>
      </c>
      <c r="S37" s="67">
        <f t="shared" si="7"/>
        <v>0.69812560259481604</v>
      </c>
      <c r="T37" s="67">
        <f t="shared" si="8"/>
        <v>0</v>
      </c>
      <c r="U37" s="67">
        <f t="shared" si="9"/>
        <v>8.0779056200882593</v>
      </c>
      <c r="V37" s="67">
        <f t="shared" si="10"/>
        <v>0.26286561522839519</v>
      </c>
      <c r="W37" s="100">
        <f t="shared" si="11"/>
        <v>0.17524374348559679</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4.1510152953720008</v>
      </c>
      <c r="Q38" s="284">
        <f>MCF!R37</f>
        <v>0.8</v>
      </c>
      <c r="R38" s="67">
        <f t="shared" si="5"/>
        <v>0.71397463080398416</v>
      </c>
      <c r="S38" s="67">
        <f t="shared" si="7"/>
        <v>0.71397463080398416</v>
      </c>
      <c r="T38" s="67">
        <f t="shared" si="8"/>
        <v>0</v>
      </c>
      <c r="U38" s="67">
        <f t="shared" si="9"/>
        <v>8.5140440495786436</v>
      </c>
      <c r="V38" s="67">
        <f t="shared" si="10"/>
        <v>0.27783620131360015</v>
      </c>
      <c r="W38" s="100">
        <f t="shared" si="11"/>
        <v>0.18522413420906675</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4.2431608082160013</v>
      </c>
      <c r="Q39" s="284">
        <f>MCF!R38</f>
        <v>0.8</v>
      </c>
      <c r="R39" s="67">
        <f t="shared" si="5"/>
        <v>0.72982365901315227</v>
      </c>
      <c r="S39" s="67">
        <f t="shared" si="7"/>
        <v>0.72982365901315227</v>
      </c>
      <c r="T39" s="67">
        <f t="shared" si="8"/>
        <v>0</v>
      </c>
      <c r="U39" s="67">
        <f t="shared" si="9"/>
        <v>8.9510307075417952</v>
      </c>
      <c r="V39" s="67">
        <f t="shared" si="10"/>
        <v>0.2928370010500006</v>
      </c>
      <c r="W39" s="100">
        <f t="shared" si="11"/>
        <v>0.19522466736666705</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4.3353063210600009</v>
      </c>
      <c r="Q40" s="284">
        <f>MCF!R39</f>
        <v>0.8</v>
      </c>
      <c r="R40" s="67">
        <f t="shared" si="5"/>
        <v>0.74567268722232027</v>
      </c>
      <c r="S40" s="67">
        <f t="shared" si="7"/>
        <v>0.74567268722232027</v>
      </c>
      <c r="T40" s="67">
        <f t="shared" si="8"/>
        <v>0</v>
      </c>
      <c r="U40" s="67">
        <f t="shared" si="9"/>
        <v>9.3888364195124758</v>
      </c>
      <c r="V40" s="67">
        <f t="shared" si="10"/>
        <v>0.30786697525164042</v>
      </c>
      <c r="W40" s="100">
        <f t="shared" si="11"/>
        <v>0.20524465016776028</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4.4274518339040005</v>
      </c>
      <c r="Q41" s="284">
        <f>MCF!R40</f>
        <v>0.8</v>
      </c>
      <c r="R41" s="67">
        <f t="shared" si="5"/>
        <v>0.76152171543148817</v>
      </c>
      <c r="S41" s="67">
        <f t="shared" si="7"/>
        <v>0.76152171543148817</v>
      </c>
      <c r="T41" s="67">
        <f t="shared" si="8"/>
        <v>0</v>
      </c>
      <c r="U41" s="67">
        <f t="shared" si="9"/>
        <v>9.8274330144690332</v>
      </c>
      <c r="V41" s="67">
        <f t="shared" si="10"/>
        <v>0.32292512047493172</v>
      </c>
      <c r="W41" s="100">
        <f t="shared" si="11"/>
        <v>0.21528341364995446</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4.5195973467480011</v>
      </c>
      <c r="Q42" s="284">
        <f>MCF!R41</f>
        <v>0.8</v>
      </c>
      <c r="R42" s="67">
        <f t="shared" si="5"/>
        <v>0.77737074364065617</v>
      </c>
      <c r="S42" s="67">
        <f t="shared" si="7"/>
        <v>0.77737074364065617</v>
      </c>
      <c r="T42" s="67">
        <f t="shared" si="8"/>
        <v>0</v>
      </c>
      <c r="U42" s="67">
        <f t="shared" si="9"/>
        <v>10.266793290320377</v>
      </c>
      <c r="V42" s="67">
        <f t="shared" si="10"/>
        <v>0.33801046778931121</v>
      </c>
      <c r="W42" s="100">
        <f t="shared" si="11"/>
        <v>0.22534031185954079</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4.6117428595920007</v>
      </c>
      <c r="Q43" s="284">
        <f>MCF!R42</f>
        <v>0.8</v>
      </c>
      <c r="R43" s="67">
        <f t="shared" si="5"/>
        <v>0.79321977184982417</v>
      </c>
      <c r="S43" s="67">
        <f t="shared" si="7"/>
        <v>0.79321977184982417</v>
      </c>
      <c r="T43" s="67">
        <f t="shared" si="8"/>
        <v>0</v>
      </c>
      <c r="U43" s="67">
        <f t="shared" si="9"/>
        <v>10.706890980580022</v>
      </c>
      <c r="V43" s="67">
        <f t="shared" si="10"/>
        <v>0.35312208159017899</v>
      </c>
      <c r="W43" s="100">
        <f t="shared" si="11"/>
        <v>0.23541472106011932</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4.7038883724360003</v>
      </c>
      <c r="Q44" s="284">
        <f>MCF!R43</f>
        <v>0.8</v>
      </c>
      <c r="R44" s="67">
        <f t="shared" si="5"/>
        <v>0.80906880005899218</v>
      </c>
      <c r="S44" s="67">
        <f t="shared" si="7"/>
        <v>0.80906880005899218</v>
      </c>
      <c r="T44" s="67">
        <f t="shared" si="8"/>
        <v>0</v>
      </c>
      <c r="U44" s="67">
        <f t="shared" si="9"/>
        <v>11.147700722186348</v>
      </c>
      <c r="V44" s="67">
        <f t="shared" si="10"/>
        <v>0.36825905845266593</v>
      </c>
      <c r="W44" s="100">
        <f t="shared" si="11"/>
        <v>0.24550603896844395</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4.79603388528</v>
      </c>
      <c r="Q45" s="284">
        <f>MCF!R44</f>
        <v>0.8</v>
      </c>
      <c r="R45" s="67">
        <f t="shared" si="5"/>
        <v>0.82491782826815996</v>
      </c>
      <c r="S45" s="67">
        <f t="shared" si="7"/>
        <v>0.82491782826815996</v>
      </c>
      <c r="T45" s="67">
        <f t="shared" si="8"/>
        <v>0</v>
      </c>
      <c r="U45" s="67">
        <f t="shared" si="9"/>
        <v>11.589198024429685</v>
      </c>
      <c r="V45" s="67">
        <f t="shared" si="10"/>
        <v>0.38342052602482518</v>
      </c>
      <c r="W45" s="100">
        <f t="shared" si="11"/>
        <v>0.2556136840165501</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4.8881793981240005</v>
      </c>
      <c r="Q46" s="284">
        <f>MCF!R45</f>
        <v>0.8</v>
      </c>
      <c r="R46" s="67">
        <f t="shared" si="5"/>
        <v>0.84076685647732807</v>
      </c>
      <c r="S46" s="67">
        <f t="shared" si="7"/>
        <v>0.84076685647732807</v>
      </c>
      <c r="T46" s="67">
        <f t="shared" si="8"/>
        <v>0</v>
      </c>
      <c r="U46" s="67">
        <f t="shared" si="9"/>
        <v>12.031359238948122</v>
      </c>
      <c r="V46" s="67">
        <f t="shared" si="10"/>
        <v>0.39860564195889209</v>
      </c>
      <c r="W46" s="100">
        <f t="shared" si="11"/>
        <v>0.26573709463926137</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4.980324910968001</v>
      </c>
      <c r="Q47" s="284">
        <f>MCF!R46</f>
        <v>0.8</v>
      </c>
      <c r="R47" s="67">
        <f t="shared" si="5"/>
        <v>0.85661588468649619</v>
      </c>
      <c r="S47" s="67">
        <f t="shared" si="7"/>
        <v>0.85661588468649619</v>
      </c>
      <c r="T47" s="67">
        <f t="shared" si="8"/>
        <v>0</v>
      </c>
      <c r="U47" s="67">
        <f t="shared" si="9"/>
        <v>12.474161530755316</v>
      </c>
      <c r="V47" s="67">
        <f t="shared" si="10"/>
        <v>0.41381359287930264</v>
      </c>
      <c r="W47" s="100">
        <f t="shared" si="11"/>
        <v>0.27587572858620174</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5.0724704238119998</v>
      </c>
      <c r="Q48" s="284">
        <f>MCF!R47</f>
        <v>0.8</v>
      </c>
      <c r="R48" s="67">
        <f t="shared" si="5"/>
        <v>0.87246491289566386</v>
      </c>
      <c r="S48" s="67">
        <f t="shared" si="7"/>
        <v>0.87246491289566386</v>
      </c>
      <c r="T48" s="67">
        <f t="shared" si="8"/>
        <v>0</v>
      </c>
      <c r="U48" s="67">
        <f t="shared" si="9"/>
        <v>12.917582850264774</v>
      </c>
      <c r="V48" s="67">
        <f t="shared" si="10"/>
        <v>0.42904359338620662</v>
      </c>
      <c r="W48" s="100">
        <f t="shared" si="11"/>
        <v>0.28602906225747105</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5.1646159366560003</v>
      </c>
      <c r="Q49" s="284">
        <f>MCF!R48</f>
        <v>0.8</v>
      </c>
      <c r="R49" s="67">
        <f t="shared" si="5"/>
        <v>0.88831394110483208</v>
      </c>
      <c r="S49" s="67">
        <f t="shared" si="7"/>
        <v>0.88831394110483208</v>
      </c>
      <c r="T49" s="67">
        <f t="shared" si="8"/>
        <v>0</v>
      </c>
      <c r="U49" s="67">
        <f t="shared" si="9"/>
        <v>13.36160190627635</v>
      </c>
      <c r="V49" s="67">
        <f t="shared" si="10"/>
        <v>0.44429488509325504</v>
      </c>
      <c r="W49" s="100">
        <f t="shared" si="11"/>
        <v>0.29619659006217003</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12.902035170577868</v>
      </c>
      <c r="V50" s="67">
        <f t="shared" si="10"/>
        <v>0.4595667356984815</v>
      </c>
      <c r="W50" s="100">
        <f t="shared" si="11"/>
        <v>0.30637782379898765</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12.458275041455606</v>
      </c>
      <c r="V51" s="67">
        <f t="shared" si="10"/>
        <v>0.44376012912226326</v>
      </c>
      <c r="W51" s="100">
        <f t="shared" si="11"/>
        <v>0.2958400860815088</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12.029777857255992</v>
      </c>
      <c r="V52" s="67">
        <f t="shared" si="10"/>
        <v>0.42849718419961447</v>
      </c>
      <c r="W52" s="100">
        <f t="shared" si="11"/>
        <v>0.28566478946640961</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11.616018655341728</v>
      </c>
      <c r="V53" s="67">
        <f t="shared" si="10"/>
        <v>0.41375920191426391</v>
      </c>
      <c r="W53" s="100">
        <f t="shared" si="11"/>
        <v>0.27583946794284259</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11.216490528946906</v>
      </c>
      <c r="V54" s="67">
        <f t="shared" si="10"/>
        <v>0.39952812639482127</v>
      </c>
      <c r="W54" s="100">
        <f t="shared" si="11"/>
        <v>0.26635208426321416</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10.830704006152828</v>
      </c>
      <c r="V55" s="67">
        <f t="shared" si="10"/>
        <v>0.38578652279407699</v>
      </c>
      <c r="W55" s="100">
        <f t="shared" si="11"/>
        <v>0.25719101519605131</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10.458186450223694</v>
      </c>
      <c r="V56" s="67">
        <f t="shared" si="10"/>
        <v>0.37251755592913388</v>
      </c>
      <c r="W56" s="100">
        <f t="shared" si="11"/>
        <v>0.24834503728608925</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10.098481480567491</v>
      </c>
      <c r="V57" s="67">
        <f t="shared" si="10"/>
        <v>0.35970496965620258</v>
      </c>
      <c r="W57" s="100">
        <f t="shared" si="11"/>
        <v>0.23980331310413505</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9.7511484136126985</v>
      </c>
      <c r="V58" s="67">
        <f t="shared" si="10"/>
        <v>0.34733306695479277</v>
      </c>
      <c r="W58" s="100">
        <f t="shared" si="11"/>
        <v>0.23155537796986184</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9.4157617229157982</v>
      </c>
      <c r="V59" s="67">
        <f t="shared" si="10"/>
        <v>0.33538669069689991</v>
      </c>
      <c r="W59" s="100">
        <f t="shared" si="11"/>
        <v>0.22359112713126661</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9.0919105178381709</v>
      </c>
      <c r="V60" s="67">
        <f t="shared" si="10"/>
        <v>0.32385120507762771</v>
      </c>
      <c r="W60" s="100">
        <f t="shared" si="11"/>
        <v>0.21590080338508513</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8.7791980401536733</v>
      </c>
      <c r="V61" s="67">
        <f t="shared" si="10"/>
        <v>0.31271247768449723</v>
      </c>
      <c r="W61" s="100">
        <f t="shared" si="11"/>
        <v>0.20847498512299814</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8.4772411779701997</v>
      </c>
      <c r="V62" s="67">
        <f t="shared" si="10"/>
        <v>0.3019568621834739</v>
      </c>
      <c r="W62" s="100">
        <f t="shared" si="11"/>
        <v>0.20130457478898259</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8.1856699963696986</v>
      </c>
      <c r="V63" s="67">
        <f t="shared" si="10"/>
        <v>0.29157118160050194</v>
      </c>
      <c r="W63" s="100">
        <f t="shared" si="11"/>
        <v>0.19438078773366796</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7.9041272841916355</v>
      </c>
      <c r="V64" s="67">
        <f t="shared" si="10"/>
        <v>0.2815427121780632</v>
      </c>
      <c r="W64" s="100">
        <f t="shared" si="11"/>
        <v>0.18769514145204214</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7.6322681164046529</v>
      </c>
      <c r="V65" s="67">
        <f t="shared" si="10"/>
        <v>0.27185916778698299</v>
      </c>
      <c r="W65" s="100">
        <f t="shared" si="11"/>
        <v>0.18123944519132199</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7.3697594315302677</v>
      </c>
      <c r="V66" s="67">
        <f t="shared" si="10"/>
        <v>0.26250868487438533</v>
      </c>
      <c r="W66" s="100">
        <f t="shared" si="11"/>
        <v>0.17500578991625687</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7.1162796236009109</v>
      </c>
      <c r="V67" s="67">
        <f t="shared" si="10"/>
        <v>0.25347980792935715</v>
      </c>
      <c r="W67" s="100">
        <f t="shared" si="11"/>
        <v>0.16898653861957141</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6.8715181481523961</v>
      </c>
      <c r="V68" s="67">
        <f t="shared" si="10"/>
        <v>0.24476147544851495</v>
      </c>
      <c r="W68" s="100">
        <f t="shared" si="11"/>
        <v>0.16317431696567664</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6.6351751417681166</v>
      </c>
      <c r="V69" s="67">
        <f t="shared" si="10"/>
        <v>0.23634300638427941</v>
      </c>
      <c r="W69" s="100">
        <f t="shared" si="11"/>
        <v>0.15756200425618627</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6.4069610547088596</v>
      </c>
      <c r="V70" s="67">
        <f t="shared" si="10"/>
        <v>0.2282140870592568</v>
      </c>
      <c r="W70" s="100">
        <f t="shared" si="11"/>
        <v>0.15214272470617118</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6.1865962961781653</v>
      </c>
      <c r="V71" s="67">
        <f t="shared" si="10"/>
        <v>0.22036475853069418</v>
      </c>
      <c r="W71" s="100">
        <f t="shared" si="11"/>
        <v>0.14690983902046278</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5.9738108917886361</v>
      </c>
      <c r="V72" s="67">
        <f t="shared" si="10"/>
        <v>0.21278540438952906</v>
      </c>
      <c r="W72" s="100">
        <f t="shared" si="11"/>
        <v>0.14185693625968604</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5.7683441528095507</v>
      </c>
      <c r="V73" s="67">
        <f t="shared" si="10"/>
        <v>0.20546673897908582</v>
      </c>
      <c r="W73" s="100">
        <f t="shared" si="11"/>
        <v>0.13697782598605721</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5.5699443567905655</v>
      </c>
      <c r="V74" s="67">
        <f t="shared" si="10"/>
        <v>0.19839979601898494</v>
      </c>
      <c r="W74" s="100">
        <f t="shared" si="11"/>
        <v>0.13226653067932329</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5.3783684391702371</v>
      </c>
      <c r="V75" s="67">
        <f t="shared" si="10"/>
        <v>0.19157591762032822</v>
      </c>
      <c r="W75" s="100">
        <f t="shared" si="11"/>
        <v>0.12771727841355213</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5.1933816954915351</v>
      </c>
      <c r="V76" s="67">
        <f t="shared" si="10"/>
        <v>0.18498674367870227</v>
      </c>
      <c r="W76" s="100">
        <f t="shared" si="11"/>
        <v>0.12332449578580151</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5.0147574938595296</v>
      </c>
      <c r="V77" s="67">
        <f t="shared" si="10"/>
        <v>0.17862420163200507</v>
      </c>
      <c r="W77" s="100">
        <f t="shared" si="11"/>
        <v>0.11908280108800337</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4.8422769972889821</v>
      </c>
      <c r="V78" s="67">
        <f t="shared" si="10"/>
        <v>0.17248049657054773</v>
      </c>
      <c r="W78" s="100">
        <f t="shared" si="11"/>
        <v>0.11498699771369848</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4.6757288956016669</v>
      </c>
      <c r="V79" s="67">
        <f t="shared" si="10"/>
        <v>0.16654810168731551</v>
      </c>
      <c r="W79" s="100">
        <f t="shared" si="11"/>
        <v>0.11103206779154368</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4.5149091465449791</v>
      </c>
      <c r="V80" s="67">
        <f t="shared" si="10"/>
        <v>0.16081974905668781</v>
      </c>
      <c r="W80" s="100">
        <f t="shared" si="11"/>
        <v>0.10721316603779187</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4.3596207258146586</v>
      </c>
      <c r="V81" s="67">
        <f t="shared" si="10"/>
        <v>0.15528842073032043</v>
      </c>
      <c r="W81" s="100">
        <f t="shared" si="11"/>
        <v>0.10352561382021361</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4.2096733856753774</v>
      </c>
      <c r="V82" s="67">
        <f t="shared" si="10"/>
        <v>0.14994734013928115</v>
      </c>
      <c r="W82" s="100">
        <f t="shared" si="11"/>
        <v>9.9964893426187432E-2</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4.0648834218834722</v>
      </c>
      <c r="V83" s="67">
        <f t="shared" si="10"/>
        <v>0.14478996379190548</v>
      </c>
      <c r="W83" s="100">
        <f t="shared" si="11"/>
        <v>9.6526642527936982E-2</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3.9250734486262715</v>
      </c>
      <c r="V84" s="67">
        <f t="shared" si="10"/>
        <v>0.13980997325720088</v>
      </c>
      <c r="W84" s="100">
        <f t="shared" si="11"/>
        <v>9.3206648838133913E-2</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3.7900721812022926</v>
      </c>
      <c r="V85" s="67">
        <f t="shared" ref="V85:V98" si="22">U84*(1-$W$10)+T85</f>
        <v>0.13500126742397869</v>
      </c>
      <c r="W85" s="100">
        <f t="shared" ref="W85:W99" si="23">V85*CH4_fraction*conv</f>
        <v>9.000084494931912E-2</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3.6597142261760625</v>
      </c>
      <c r="V86" s="67">
        <f t="shared" si="22"/>
        <v>0.13035795502622999</v>
      </c>
      <c r="W86" s="100">
        <f t="shared" si="23"/>
        <v>8.6905303350819987E-2</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3.5338398787504746</v>
      </c>
      <c r="V87" s="67">
        <f t="shared" si="22"/>
        <v>0.12587434742558792</v>
      </c>
      <c r="W87" s="100">
        <f t="shared" si="23"/>
        <v>8.3916231617058606E-2</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3.4122949271084404</v>
      </c>
      <c r="V88" s="67">
        <f t="shared" si="22"/>
        <v>0.12154495164203438</v>
      </c>
      <c r="W88" s="100">
        <f t="shared" si="23"/>
        <v>8.102996776135625E-2</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3.2949304634841279</v>
      </c>
      <c r="V89" s="67">
        <f t="shared" si="22"/>
        <v>0.1173644636243124</v>
      </c>
      <c r="W89" s="100">
        <f t="shared" si="23"/>
        <v>7.8242975749541588E-2</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3.1816027017323276</v>
      </c>
      <c r="V90" s="67">
        <f t="shared" si="22"/>
        <v>0.11332776175180019</v>
      </c>
      <c r="W90" s="100">
        <f t="shared" si="23"/>
        <v>7.5551841167866784E-2</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3.0721728011724423</v>
      </c>
      <c r="V91" s="67">
        <f t="shared" si="22"/>
        <v>0.10942990055988533</v>
      </c>
      <c r="W91" s="100">
        <f t="shared" si="23"/>
        <v>7.2953267039923553E-2</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2.9665066964912903</v>
      </c>
      <c r="V92" s="67">
        <f t="shared" si="22"/>
        <v>0.10566610468115219</v>
      </c>
      <c r="W92" s="100">
        <f t="shared" si="23"/>
        <v>7.0444069787434782E-2</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2.8644749334963309</v>
      </c>
      <c r="V93" s="67">
        <f t="shared" si="22"/>
        <v>0.10203176299495956</v>
      </c>
      <c r="W93" s="100">
        <f t="shared" si="23"/>
        <v>6.8021175329973038E-2</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2.7659525105180895</v>
      </c>
      <c r="V94" s="67">
        <f t="shared" si="22"/>
        <v>9.8522422978241292E-2</v>
      </c>
      <c r="W94" s="100">
        <f t="shared" si="23"/>
        <v>6.5681615318827519E-2</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2.6708187252674809</v>
      </c>
      <c r="V95" s="67">
        <f t="shared" si="22"/>
        <v>9.5133785250608713E-2</v>
      </c>
      <c r="W95" s="100">
        <f t="shared" si="23"/>
        <v>6.3422523500405809E-2</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2.578957026960409</v>
      </c>
      <c r="V96" s="67">
        <f t="shared" si="22"/>
        <v>9.1861698307071957E-2</v>
      </c>
      <c r="W96" s="100">
        <f t="shared" si="23"/>
        <v>6.1241132204714638E-2</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2.4902548735284817</v>
      </c>
      <c r="V97" s="67">
        <f t="shared" si="22"/>
        <v>8.8702153431927208E-2</v>
      </c>
      <c r="W97" s="100">
        <f t="shared" si="23"/>
        <v>5.9134768954618139E-2</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2.4046035937409029</v>
      </c>
      <c r="V98" s="67">
        <f t="shared" si="22"/>
        <v>8.565127978757861E-2</v>
      </c>
      <c r="W98" s="100">
        <f t="shared" si="23"/>
        <v>5.7100853191719071E-2</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2.3218982540686248</v>
      </c>
      <c r="V99" s="68">
        <f>U98*(1-$W$10)+T99</f>
        <v>8.2705339672278125E-2</v>
      </c>
      <c r="W99" s="102">
        <f t="shared" si="23"/>
        <v>5.5136893114852079E-2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0.67712796320399993</v>
      </c>
      <c r="D19" s="416">
        <f>Dry_Matter_Content!H6</f>
        <v>0.73</v>
      </c>
      <c r="E19" s="283">
        <f>MCF!R18</f>
        <v>0.8</v>
      </c>
      <c r="F19" s="130">
        <f t="shared" ref="F19:F50" si="0">C19*D19*$K$6*DOCF*E19</f>
        <v>5.9316409576670392E-2</v>
      </c>
      <c r="G19" s="65">
        <f t="shared" ref="G19:G82" si="1">F19*$K$12</f>
        <v>5.9316409576670392E-2</v>
      </c>
      <c r="H19" s="65">
        <f t="shared" ref="H19:H82" si="2">F19*(1-$K$12)</f>
        <v>0</v>
      </c>
      <c r="I19" s="65">
        <f t="shared" ref="I19:I82" si="3">G19+I18*$K$10</f>
        <v>5.9316409576670392E-2</v>
      </c>
      <c r="J19" s="65">
        <f t="shared" ref="J19:J82" si="4">I18*(1-$K$10)+H19</f>
        <v>0</v>
      </c>
      <c r="K19" s="66">
        <f>J19*CH4_fraction*conv</f>
        <v>0</v>
      </c>
      <c r="O19" s="95">
        <f>Amnt_Deposited!B14</f>
        <v>2000</v>
      </c>
      <c r="P19" s="98">
        <f>Amnt_Deposited!H14</f>
        <v>0.67712796320399993</v>
      </c>
      <c r="Q19" s="283">
        <f>MCF!R18</f>
        <v>0.8</v>
      </c>
      <c r="R19" s="130">
        <f t="shared" ref="R19:R50" si="5">P19*$W$6*DOCF*Q19</f>
        <v>6.5004284467583995E-2</v>
      </c>
      <c r="S19" s="65">
        <f>R19*$W$12</f>
        <v>6.5004284467583995E-2</v>
      </c>
      <c r="T19" s="65">
        <f>R19*(1-$W$12)</f>
        <v>0</v>
      </c>
      <c r="U19" s="65">
        <f>S19+U18*$W$10</f>
        <v>6.5004284467583995E-2</v>
      </c>
      <c r="V19" s="65">
        <f>U18*(1-$W$10)+T19</f>
        <v>0</v>
      </c>
      <c r="W19" s="66">
        <f>V19*CH4_fraction*conv</f>
        <v>0</v>
      </c>
    </row>
    <row r="20" spans="2:23">
      <c r="B20" s="96">
        <f>Amnt_Deposited!B15</f>
        <v>2001</v>
      </c>
      <c r="C20" s="99">
        <f>Amnt_Deposited!H15</f>
        <v>0.68580275345999997</v>
      </c>
      <c r="D20" s="418">
        <f>Dry_Matter_Content!H7</f>
        <v>0.73</v>
      </c>
      <c r="E20" s="284">
        <f>MCF!R19</f>
        <v>0.8</v>
      </c>
      <c r="F20" s="67">
        <f t="shared" si="0"/>
        <v>6.0076321203096E-2</v>
      </c>
      <c r="G20" s="67">
        <f t="shared" si="1"/>
        <v>6.0076321203096E-2</v>
      </c>
      <c r="H20" s="67">
        <f t="shared" si="2"/>
        <v>0</v>
      </c>
      <c r="I20" s="67">
        <f t="shared" si="3"/>
        <v>0.11538257491139348</v>
      </c>
      <c r="J20" s="67">
        <f t="shared" si="4"/>
        <v>4.0101558683729131E-3</v>
      </c>
      <c r="K20" s="100">
        <f>J20*CH4_fraction*conv</f>
        <v>2.6734372455819418E-3</v>
      </c>
      <c r="M20" s="393"/>
      <c r="O20" s="96">
        <f>Amnt_Deposited!B15</f>
        <v>2001</v>
      </c>
      <c r="P20" s="99">
        <f>Amnt_Deposited!H15</f>
        <v>0.68580275345999997</v>
      </c>
      <c r="Q20" s="284">
        <f>MCF!R19</f>
        <v>0.8</v>
      </c>
      <c r="R20" s="67">
        <f t="shared" si="5"/>
        <v>6.5837064332160009E-2</v>
      </c>
      <c r="S20" s="67">
        <f>R20*$W$12</f>
        <v>6.5837064332160009E-2</v>
      </c>
      <c r="T20" s="67">
        <f>R20*(1-$W$12)</f>
        <v>0</v>
      </c>
      <c r="U20" s="67">
        <f>S20+U19*$W$10</f>
        <v>0.12644665743714356</v>
      </c>
      <c r="V20" s="67">
        <f>U19*(1-$W$10)+T20</f>
        <v>4.3946913626004532E-3</v>
      </c>
      <c r="W20" s="100">
        <f>V20*CH4_fraction*conv</f>
        <v>2.9297942417336352E-3</v>
      </c>
    </row>
    <row r="21" spans="2:23">
      <c r="B21" s="96">
        <f>Amnt_Deposited!B16</f>
        <v>2002</v>
      </c>
      <c r="C21" s="99">
        <f>Amnt_Deposited!H16</f>
        <v>0.70125659604000001</v>
      </c>
      <c r="D21" s="418">
        <f>Dry_Matter_Content!H8</f>
        <v>0.73</v>
      </c>
      <c r="E21" s="284">
        <f>MCF!R20</f>
        <v>0.8</v>
      </c>
      <c r="F21" s="67">
        <f t="shared" si="0"/>
        <v>6.1430077813104E-2</v>
      </c>
      <c r="G21" s="67">
        <f t="shared" si="1"/>
        <v>6.1430077813104E-2</v>
      </c>
      <c r="H21" s="67">
        <f t="shared" si="2"/>
        <v>0</v>
      </c>
      <c r="I21" s="67">
        <f t="shared" si="3"/>
        <v>0.16901207758532238</v>
      </c>
      <c r="J21" s="67">
        <f t="shared" si="4"/>
        <v>7.8005751391750817E-3</v>
      </c>
      <c r="K21" s="100">
        <f t="shared" ref="K21:K84" si="6">J21*CH4_fraction*conv</f>
        <v>5.2003834261167212E-3</v>
      </c>
      <c r="O21" s="96">
        <f>Amnt_Deposited!B16</f>
        <v>2002</v>
      </c>
      <c r="P21" s="99">
        <f>Amnt_Deposited!H16</f>
        <v>0.70125659604000001</v>
      </c>
      <c r="Q21" s="284">
        <f>MCF!R20</f>
        <v>0.8</v>
      </c>
      <c r="R21" s="67">
        <f t="shared" si="5"/>
        <v>6.7320633219839998E-2</v>
      </c>
      <c r="S21" s="67">
        <f t="shared" ref="S21:S84" si="7">R21*$W$12</f>
        <v>6.7320633219839998E-2</v>
      </c>
      <c r="T21" s="67">
        <f t="shared" ref="T21:T84" si="8">R21*(1-$W$12)</f>
        <v>0</v>
      </c>
      <c r="U21" s="67">
        <f t="shared" ref="U21:U84" si="9">S21+U20*$W$10</f>
        <v>0.18521871516199717</v>
      </c>
      <c r="V21" s="67">
        <f t="shared" ref="V21:V84" si="10">U20*(1-$W$10)+T21</f>
        <v>8.5485754949863931E-3</v>
      </c>
      <c r="W21" s="100">
        <f t="shared" ref="W21:W84" si="11">V21*CH4_fraction*conv</f>
        <v>5.6990503299909285E-3</v>
      </c>
    </row>
    <row r="22" spans="2:23">
      <c r="B22" s="96">
        <f>Amnt_Deposited!B17</f>
        <v>2003</v>
      </c>
      <c r="C22" s="99">
        <f>Amnt_Deposited!H17</f>
        <v>0.71372119777200005</v>
      </c>
      <c r="D22" s="418">
        <f>Dry_Matter_Content!H9</f>
        <v>0.73</v>
      </c>
      <c r="E22" s="284">
        <f>MCF!R21</f>
        <v>0.8</v>
      </c>
      <c r="F22" s="67">
        <f t="shared" si="0"/>
        <v>6.2521976924827208E-2</v>
      </c>
      <c r="G22" s="67">
        <f t="shared" si="1"/>
        <v>6.2521976924827208E-2</v>
      </c>
      <c r="H22" s="67">
        <f t="shared" si="2"/>
        <v>0</v>
      </c>
      <c r="I22" s="67">
        <f t="shared" si="3"/>
        <v>0.22010779355484644</v>
      </c>
      <c r="J22" s="67">
        <f t="shared" si="4"/>
        <v>1.1426260955303148E-2</v>
      </c>
      <c r="K22" s="100">
        <f t="shared" si="6"/>
        <v>7.617507303535432E-3</v>
      </c>
      <c r="N22" s="258"/>
      <c r="O22" s="96">
        <f>Amnt_Deposited!B17</f>
        <v>2003</v>
      </c>
      <c r="P22" s="99">
        <f>Amnt_Deposited!H17</f>
        <v>0.71372119777200005</v>
      </c>
      <c r="Q22" s="284">
        <f>MCF!R21</f>
        <v>0.8</v>
      </c>
      <c r="R22" s="67">
        <f t="shared" si="5"/>
        <v>6.8517234986111994E-2</v>
      </c>
      <c r="S22" s="67">
        <f t="shared" si="7"/>
        <v>6.8517234986111994E-2</v>
      </c>
      <c r="T22" s="67">
        <f t="shared" si="8"/>
        <v>0</v>
      </c>
      <c r="U22" s="67">
        <f t="shared" si="9"/>
        <v>0.24121402033407829</v>
      </c>
      <c r="V22" s="67">
        <f t="shared" si="10"/>
        <v>1.2521929814030851E-2</v>
      </c>
      <c r="W22" s="100">
        <f t="shared" si="11"/>
        <v>8.3479532093539005E-3</v>
      </c>
    </row>
    <row r="23" spans="2:23">
      <c r="B23" s="96">
        <f>Amnt_Deposited!B18</f>
        <v>2004</v>
      </c>
      <c r="C23" s="99">
        <f>Amnt_Deposited!H18</f>
        <v>0.717539303844</v>
      </c>
      <c r="D23" s="418">
        <f>Dry_Matter_Content!H10</f>
        <v>0.73</v>
      </c>
      <c r="E23" s="284">
        <f>MCF!R22</f>
        <v>0.8</v>
      </c>
      <c r="F23" s="67">
        <f t="shared" si="0"/>
        <v>6.2856443016734403E-2</v>
      </c>
      <c r="G23" s="67">
        <f t="shared" si="1"/>
        <v>6.2856443016734403E-2</v>
      </c>
      <c r="H23" s="67">
        <f t="shared" si="2"/>
        <v>0</v>
      </c>
      <c r="I23" s="67">
        <f t="shared" si="3"/>
        <v>0.26808358944040755</v>
      </c>
      <c r="J23" s="67">
        <f t="shared" si="4"/>
        <v>1.4880647131173307E-2</v>
      </c>
      <c r="K23" s="100">
        <f t="shared" si="6"/>
        <v>9.9204314207822046E-3</v>
      </c>
      <c r="N23" s="258"/>
      <c r="O23" s="96">
        <f>Amnt_Deposited!B18</f>
        <v>2004</v>
      </c>
      <c r="P23" s="99">
        <f>Amnt_Deposited!H18</f>
        <v>0.717539303844</v>
      </c>
      <c r="Q23" s="284">
        <f>MCF!R22</f>
        <v>0.8</v>
      </c>
      <c r="R23" s="67">
        <f t="shared" si="5"/>
        <v>6.8883773169023998E-2</v>
      </c>
      <c r="S23" s="67">
        <f t="shared" si="7"/>
        <v>6.8883773169023998E-2</v>
      </c>
      <c r="T23" s="67">
        <f t="shared" si="8"/>
        <v>0</v>
      </c>
      <c r="U23" s="67">
        <f t="shared" si="9"/>
        <v>0.29379023500318635</v>
      </c>
      <c r="V23" s="67">
        <f t="shared" si="10"/>
        <v>1.6307558499915952E-2</v>
      </c>
      <c r="W23" s="100">
        <f t="shared" si="11"/>
        <v>1.0871705666610634E-2</v>
      </c>
    </row>
    <row r="24" spans="2:23">
      <c r="B24" s="96">
        <f>Amnt_Deposited!B19</f>
        <v>2005</v>
      </c>
      <c r="C24" s="99">
        <f>Amnt_Deposited!H19</f>
        <v>0.79479520163999995</v>
      </c>
      <c r="D24" s="418">
        <f>Dry_Matter_Content!H11</f>
        <v>0.73</v>
      </c>
      <c r="E24" s="284">
        <f>MCF!R23</f>
        <v>0.8</v>
      </c>
      <c r="F24" s="67">
        <f t="shared" si="0"/>
        <v>6.9624059663663987E-2</v>
      </c>
      <c r="G24" s="67">
        <f t="shared" si="1"/>
        <v>6.9624059663663987E-2</v>
      </c>
      <c r="H24" s="67">
        <f t="shared" si="2"/>
        <v>0</v>
      </c>
      <c r="I24" s="67">
        <f t="shared" si="3"/>
        <v>0.31958354167610353</v>
      </c>
      <c r="J24" s="67">
        <f t="shared" si="4"/>
        <v>1.8124107427968016E-2</v>
      </c>
      <c r="K24" s="100">
        <f t="shared" si="6"/>
        <v>1.2082738285312009E-2</v>
      </c>
      <c r="N24" s="258"/>
      <c r="O24" s="96">
        <f>Amnt_Deposited!B19</f>
        <v>2005</v>
      </c>
      <c r="P24" s="99">
        <f>Amnt_Deposited!H19</f>
        <v>0.79479520163999995</v>
      </c>
      <c r="Q24" s="284">
        <f>MCF!R23</f>
        <v>0.8</v>
      </c>
      <c r="R24" s="67">
        <f t="shared" si="5"/>
        <v>7.6300339357440003E-2</v>
      </c>
      <c r="S24" s="67">
        <f t="shared" si="7"/>
        <v>7.6300339357440003E-2</v>
      </c>
      <c r="T24" s="67">
        <f t="shared" si="8"/>
        <v>0</v>
      </c>
      <c r="U24" s="67">
        <f t="shared" si="9"/>
        <v>0.35022853882312716</v>
      </c>
      <c r="V24" s="67">
        <f t="shared" si="10"/>
        <v>1.9862035537499195E-2</v>
      </c>
      <c r="W24" s="100">
        <f t="shared" si="11"/>
        <v>1.3241357024999463E-2</v>
      </c>
    </row>
    <row r="25" spans="2:23">
      <c r="B25" s="96">
        <f>Amnt_Deposited!B20</f>
        <v>2006</v>
      </c>
      <c r="C25" s="99">
        <f>Amnt_Deposited!H20</f>
        <v>0.81114448496400005</v>
      </c>
      <c r="D25" s="418">
        <f>Dry_Matter_Content!H12</f>
        <v>0.73</v>
      </c>
      <c r="E25" s="284">
        <f>MCF!R24</f>
        <v>0.8</v>
      </c>
      <c r="F25" s="67">
        <f t="shared" si="0"/>
        <v>7.1056256882846405E-2</v>
      </c>
      <c r="G25" s="67">
        <f t="shared" si="1"/>
        <v>7.1056256882846405E-2</v>
      </c>
      <c r="H25" s="67">
        <f t="shared" si="2"/>
        <v>0</v>
      </c>
      <c r="I25" s="67">
        <f t="shared" si="3"/>
        <v>0.36903397608530036</v>
      </c>
      <c r="J25" s="67">
        <f t="shared" si="4"/>
        <v>2.160582247364954E-2</v>
      </c>
      <c r="K25" s="100">
        <f t="shared" si="6"/>
        <v>1.4403881649099693E-2</v>
      </c>
      <c r="N25" s="258"/>
      <c r="O25" s="96">
        <f>Amnt_Deposited!B20</f>
        <v>2006</v>
      </c>
      <c r="P25" s="99">
        <f>Amnt_Deposited!H20</f>
        <v>0.81114448496400005</v>
      </c>
      <c r="Q25" s="284">
        <f>MCF!R24</f>
        <v>0.8</v>
      </c>
      <c r="R25" s="67">
        <f t="shared" si="5"/>
        <v>7.7869870556543999E-2</v>
      </c>
      <c r="S25" s="67">
        <f t="shared" si="7"/>
        <v>7.7869870556543999E-2</v>
      </c>
      <c r="T25" s="67">
        <f t="shared" si="8"/>
        <v>0</v>
      </c>
      <c r="U25" s="67">
        <f t="shared" si="9"/>
        <v>0.40442079570991823</v>
      </c>
      <c r="V25" s="67">
        <f t="shared" si="10"/>
        <v>2.367761366975292E-2</v>
      </c>
      <c r="W25" s="100">
        <f t="shared" si="11"/>
        <v>1.5785075779835279E-2</v>
      </c>
    </row>
    <row r="26" spans="2:23">
      <c r="B26" s="96">
        <f>Amnt_Deposited!B21</f>
        <v>2007</v>
      </c>
      <c r="C26" s="99">
        <f>Amnt_Deposited!H21</f>
        <v>0.8274804531840001</v>
      </c>
      <c r="D26" s="418">
        <f>Dry_Matter_Content!H13</f>
        <v>0.73</v>
      </c>
      <c r="E26" s="284">
        <f>MCF!R25</f>
        <v>0.8</v>
      </c>
      <c r="F26" s="67">
        <f t="shared" si="0"/>
        <v>7.2487287698918421E-2</v>
      </c>
      <c r="G26" s="67">
        <f t="shared" si="1"/>
        <v>7.2487287698918421E-2</v>
      </c>
      <c r="H26" s="67">
        <f t="shared" si="2"/>
        <v>0</v>
      </c>
      <c r="I26" s="67">
        <f t="shared" si="3"/>
        <v>0.41657228633617199</v>
      </c>
      <c r="J26" s="67">
        <f t="shared" si="4"/>
        <v>2.4948977448046795E-2</v>
      </c>
      <c r="K26" s="100">
        <f t="shared" si="6"/>
        <v>1.6632651632031197E-2</v>
      </c>
      <c r="N26" s="258"/>
      <c r="O26" s="96">
        <f>Amnt_Deposited!B21</f>
        <v>2007</v>
      </c>
      <c r="P26" s="99">
        <f>Amnt_Deposited!H21</f>
        <v>0.8274804531840001</v>
      </c>
      <c r="Q26" s="284">
        <f>MCF!R25</f>
        <v>0.8</v>
      </c>
      <c r="R26" s="67">
        <f t="shared" si="5"/>
        <v>7.943812350566401E-2</v>
      </c>
      <c r="S26" s="67">
        <f t="shared" si="7"/>
        <v>7.943812350566401E-2</v>
      </c>
      <c r="T26" s="67">
        <f t="shared" si="8"/>
        <v>0</v>
      </c>
      <c r="U26" s="67">
        <f t="shared" si="9"/>
        <v>0.45651757406703786</v>
      </c>
      <c r="V26" s="67">
        <f t="shared" si="10"/>
        <v>2.7341345148544433E-2</v>
      </c>
      <c r="W26" s="100">
        <f t="shared" si="11"/>
        <v>1.8227563432362953E-2</v>
      </c>
    </row>
    <row r="27" spans="2:23">
      <c r="B27" s="96">
        <f>Amnt_Deposited!B22</f>
        <v>2008</v>
      </c>
      <c r="C27" s="99">
        <f>Amnt_Deposited!H22</f>
        <v>0.84370324301999999</v>
      </c>
      <c r="D27" s="418">
        <f>Dry_Matter_Content!H14</f>
        <v>0.73</v>
      </c>
      <c r="E27" s="284">
        <f>MCF!R26</f>
        <v>0.8</v>
      </c>
      <c r="F27" s="67">
        <f t="shared" si="0"/>
        <v>7.3908404088551996E-2</v>
      </c>
      <c r="G27" s="67">
        <f t="shared" si="1"/>
        <v>7.3908404088551996E-2</v>
      </c>
      <c r="H27" s="67">
        <f t="shared" si="2"/>
        <v>0</v>
      </c>
      <c r="I27" s="67">
        <f t="shared" si="3"/>
        <v>0.46231782941248983</v>
      </c>
      <c r="J27" s="67">
        <f t="shared" si="4"/>
        <v>2.8162861012234128E-2</v>
      </c>
      <c r="K27" s="100">
        <f t="shared" si="6"/>
        <v>1.8775240674822752E-2</v>
      </c>
      <c r="N27" s="258"/>
      <c r="O27" s="96">
        <f>Amnt_Deposited!B22</f>
        <v>2008</v>
      </c>
      <c r="P27" s="99">
        <f>Amnt_Deposited!H22</f>
        <v>0.84370324301999999</v>
      </c>
      <c r="Q27" s="284">
        <f>MCF!R26</f>
        <v>0.8</v>
      </c>
      <c r="R27" s="67">
        <f t="shared" si="5"/>
        <v>8.099551132992E-2</v>
      </c>
      <c r="S27" s="67">
        <f t="shared" si="7"/>
        <v>8.099551132992E-2</v>
      </c>
      <c r="T27" s="67">
        <f t="shared" si="8"/>
        <v>0</v>
      </c>
      <c r="U27" s="67">
        <f t="shared" si="9"/>
        <v>0.5066496760684821</v>
      </c>
      <c r="V27" s="67">
        <f t="shared" si="10"/>
        <v>3.0863409328475758E-2</v>
      </c>
      <c r="W27" s="100">
        <f t="shared" si="11"/>
        <v>2.0575606218983838E-2</v>
      </c>
    </row>
    <row r="28" spans="2:23">
      <c r="B28" s="96">
        <f>Amnt_Deposited!B23</f>
        <v>2009</v>
      </c>
      <c r="C28" s="99">
        <f>Amnt_Deposited!H23</f>
        <v>0.859693018536</v>
      </c>
      <c r="D28" s="418">
        <f>Dry_Matter_Content!H15</f>
        <v>0.73</v>
      </c>
      <c r="E28" s="284">
        <f>MCF!R27</f>
        <v>0.8</v>
      </c>
      <c r="F28" s="67">
        <f t="shared" si="0"/>
        <v>7.5309108423753601E-2</v>
      </c>
      <c r="G28" s="67">
        <f t="shared" si="1"/>
        <v>7.5309108423753601E-2</v>
      </c>
      <c r="H28" s="67">
        <f t="shared" si="2"/>
        <v>0</v>
      </c>
      <c r="I28" s="67">
        <f t="shared" si="3"/>
        <v>0.50637139540029152</v>
      </c>
      <c r="J28" s="67">
        <f t="shared" si="4"/>
        <v>3.1255542435951869E-2</v>
      </c>
      <c r="K28" s="100">
        <f t="shared" si="6"/>
        <v>2.0837028290634579E-2</v>
      </c>
      <c r="N28" s="258"/>
      <c r="O28" s="96">
        <f>Amnt_Deposited!B23</f>
        <v>2009</v>
      </c>
      <c r="P28" s="99">
        <f>Amnt_Deposited!H23</f>
        <v>0.859693018536</v>
      </c>
      <c r="Q28" s="284">
        <f>MCF!R27</f>
        <v>0.8</v>
      </c>
      <c r="R28" s="67">
        <f t="shared" si="5"/>
        <v>8.2530529779456005E-2</v>
      </c>
      <c r="S28" s="67">
        <f t="shared" si="7"/>
        <v>8.2530529779456005E-2</v>
      </c>
      <c r="T28" s="67">
        <f t="shared" si="8"/>
        <v>0</v>
      </c>
      <c r="U28" s="67">
        <f t="shared" si="9"/>
        <v>0.55492755660305937</v>
      </c>
      <c r="V28" s="67">
        <f t="shared" si="10"/>
        <v>3.4252649244878773E-2</v>
      </c>
      <c r="W28" s="100">
        <f t="shared" si="11"/>
        <v>2.2835099496585846E-2</v>
      </c>
    </row>
    <row r="29" spans="2:23">
      <c r="B29" s="96">
        <f>Amnt_Deposited!B24</f>
        <v>2010</v>
      </c>
      <c r="C29" s="99">
        <f>Amnt_Deposited!H24</f>
        <v>0.92802779665200008</v>
      </c>
      <c r="D29" s="418">
        <f>Dry_Matter_Content!H16</f>
        <v>0.73</v>
      </c>
      <c r="E29" s="284">
        <f>MCF!R28</f>
        <v>0.8</v>
      </c>
      <c r="F29" s="67">
        <f t="shared" si="0"/>
        <v>8.1295234986715204E-2</v>
      </c>
      <c r="G29" s="67">
        <f t="shared" si="1"/>
        <v>8.1295234986715204E-2</v>
      </c>
      <c r="H29" s="67">
        <f t="shared" si="2"/>
        <v>0</v>
      </c>
      <c r="I29" s="67">
        <f t="shared" si="3"/>
        <v>0.55343279463509831</v>
      </c>
      <c r="J29" s="67">
        <f t="shared" si="4"/>
        <v>3.4233835751908387E-2</v>
      </c>
      <c r="K29" s="100">
        <f t="shared" si="6"/>
        <v>2.2822557167938923E-2</v>
      </c>
      <c r="O29" s="96">
        <f>Amnt_Deposited!B24</f>
        <v>2010</v>
      </c>
      <c r="P29" s="99">
        <f>Amnt_Deposited!H24</f>
        <v>0.92802779665200008</v>
      </c>
      <c r="Q29" s="284">
        <f>MCF!R28</f>
        <v>0.8</v>
      </c>
      <c r="R29" s="67">
        <f t="shared" si="5"/>
        <v>8.9090668478592011E-2</v>
      </c>
      <c r="S29" s="67">
        <f t="shared" si="7"/>
        <v>8.9090668478592011E-2</v>
      </c>
      <c r="T29" s="67">
        <f t="shared" si="8"/>
        <v>0</v>
      </c>
      <c r="U29" s="67">
        <f t="shared" si="9"/>
        <v>0.60650169275079291</v>
      </c>
      <c r="V29" s="67">
        <f t="shared" si="10"/>
        <v>3.7516532330858512E-2</v>
      </c>
      <c r="W29" s="100">
        <f t="shared" si="11"/>
        <v>2.5011021553905673E-2</v>
      </c>
    </row>
    <row r="30" spans="2:23">
      <c r="B30" s="96">
        <f>Amnt_Deposited!B25</f>
        <v>2011</v>
      </c>
      <c r="C30" s="99">
        <f>Amnt_Deposited!H25</f>
        <v>0.95233618339199988</v>
      </c>
      <c r="D30" s="418">
        <f>Dry_Matter_Content!H17</f>
        <v>0.73</v>
      </c>
      <c r="E30" s="284">
        <f>MCF!R29</f>
        <v>0.8</v>
      </c>
      <c r="F30" s="67">
        <f t="shared" si="0"/>
        <v>8.3424649665139183E-2</v>
      </c>
      <c r="G30" s="67">
        <f t="shared" si="1"/>
        <v>8.3424649665139183E-2</v>
      </c>
      <c r="H30" s="67">
        <f t="shared" si="2"/>
        <v>0</v>
      </c>
      <c r="I30" s="67">
        <f t="shared" si="3"/>
        <v>0.59944196711618269</v>
      </c>
      <c r="J30" s="67">
        <f t="shared" si="4"/>
        <v>3.7415477184054802E-2</v>
      </c>
      <c r="K30" s="100">
        <f t="shared" si="6"/>
        <v>2.4943651456036532E-2</v>
      </c>
      <c r="O30" s="96">
        <f>Amnt_Deposited!B25</f>
        <v>2011</v>
      </c>
      <c r="P30" s="99">
        <f>Amnt_Deposited!H25</f>
        <v>0.95233618339199988</v>
      </c>
      <c r="Q30" s="284">
        <f>MCF!R29</f>
        <v>0.8</v>
      </c>
      <c r="R30" s="67">
        <f t="shared" si="5"/>
        <v>9.1424273605631989E-2</v>
      </c>
      <c r="S30" s="67">
        <f t="shared" si="7"/>
        <v>9.1424273605631989E-2</v>
      </c>
      <c r="T30" s="67">
        <f t="shared" si="8"/>
        <v>0</v>
      </c>
      <c r="U30" s="67">
        <f t="shared" si="9"/>
        <v>0.65692270368896755</v>
      </c>
      <c r="V30" s="67">
        <f t="shared" si="10"/>
        <v>4.1003262667457331E-2</v>
      </c>
      <c r="W30" s="100">
        <f t="shared" si="11"/>
        <v>2.7335508444971554E-2</v>
      </c>
    </row>
    <row r="31" spans="2:23">
      <c r="B31" s="96">
        <f>Amnt_Deposited!B26</f>
        <v>2012</v>
      </c>
      <c r="C31" s="99">
        <f>Amnt_Deposited!H26</f>
        <v>0.970790917536</v>
      </c>
      <c r="D31" s="418">
        <f>Dry_Matter_Content!H18</f>
        <v>0.73</v>
      </c>
      <c r="E31" s="284">
        <f>MCF!R30</f>
        <v>0.8</v>
      </c>
      <c r="F31" s="67">
        <f t="shared" si="0"/>
        <v>8.5041284376153603E-2</v>
      </c>
      <c r="G31" s="67">
        <f t="shared" si="1"/>
        <v>8.5041284376153603E-2</v>
      </c>
      <c r="H31" s="67">
        <f t="shared" si="2"/>
        <v>0</v>
      </c>
      <c r="I31" s="67">
        <f t="shared" si="3"/>
        <v>0.64395726990754709</v>
      </c>
      <c r="J31" s="67">
        <f t="shared" si="4"/>
        <v>4.0525981584789282E-2</v>
      </c>
      <c r="K31" s="100">
        <f t="shared" si="6"/>
        <v>2.7017321056526187E-2</v>
      </c>
      <c r="O31" s="96">
        <f>Amnt_Deposited!B26</f>
        <v>2012</v>
      </c>
      <c r="P31" s="99">
        <f>Amnt_Deposited!H26</f>
        <v>0.970790917536</v>
      </c>
      <c r="Q31" s="284">
        <f>MCF!R30</f>
        <v>0.8</v>
      </c>
      <c r="R31" s="67">
        <f t="shared" si="5"/>
        <v>9.3195928083456003E-2</v>
      </c>
      <c r="S31" s="67">
        <f t="shared" si="7"/>
        <v>9.3195928083456003E-2</v>
      </c>
      <c r="T31" s="67">
        <f t="shared" si="8"/>
        <v>0</v>
      </c>
      <c r="U31" s="67">
        <f t="shared" si="9"/>
        <v>0.70570659715895578</v>
      </c>
      <c r="V31" s="67">
        <f t="shared" si="10"/>
        <v>4.4412034613467717E-2</v>
      </c>
      <c r="W31" s="100">
        <f t="shared" si="11"/>
        <v>2.9608023075645144E-2</v>
      </c>
    </row>
    <row r="32" spans="2:23">
      <c r="B32" s="96">
        <f>Amnt_Deposited!B27</f>
        <v>2013</v>
      </c>
      <c r="C32" s="99">
        <f>Amnt_Deposited!H27</f>
        <v>0.98918240493599996</v>
      </c>
      <c r="D32" s="418">
        <f>Dry_Matter_Content!H19</f>
        <v>0.73</v>
      </c>
      <c r="E32" s="284">
        <f>MCF!R31</f>
        <v>0.8</v>
      </c>
      <c r="F32" s="67">
        <f t="shared" si="0"/>
        <v>8.6652378672393601E-2</v>
      </c>
      <c r="G32" s="67">
        <f t="shared" si="1"/>
        <v>8.6652378672393601E-2</v>
      </c>
      <c r="H32" s="67">
        <f t="shared" si="2"/>
        <v>0</v>
      </c>
      <c r="I32" s="67">
        <f t="shared" si="3"/>
        <v>0.68707415741769717</v>
      </c>
      <c r="J32" s="67">
        <f t="shared" si="4"/>
        <v>4.3535491162243506E-2</v>
      </c>
      <c r="K32" s="100">
        <f t="shared" si="6"/>
        <v>2.9023660774829003E-2</v>
      </c>
      <c r="O32" s="96">
        <f>Amnt_Deposited!B27</f>
        <v>2013</v>
      </c>
      <c r="P32" s="99">
        <f>Amnt_Deposited!H27</f>
        <v>0.98918240493599996</v>
      </c>
      <c r="Q32" s="284">
        <f>MCF!R31</f>
        <v>0.8</v>
      </c>
      <c r="R32" s="67">
        <f t="shared" si="5"/>
        <v>9.4961510873856E-2</v>
      </c>
      <c r="S32" s="67">
        <f t="shared" si="7"/>
        <v>9.4961510873856E-2</v>
      </c>
      <c r="T32" s="67">
        <f t="shared" si="8"/>
        <v>0</v>
      </c>
      <c r="U32" s="67">
        <f t="shared" si="9"/>
        <v>0.75295798073172293</v>
      </c>
      <c r="V32" s="67">
        <f t="shared" si="10"/>
        <v>4.7710127301088777E-2</v>
      </c>
      <c r="W32" s="100">
        <f t="shared" si="11"/>
        <v>3.180675153405918E-2</v>
      </c>
    </row>
    <row r="33" spans="2:23">
      <c r="B33" s="96">
        <f>Amnt_Deposited!B28</f>
        <v>2014</v>
      </c>
      <c r="C33" s="99">
        <f>Amnt_Deposited!H28</f>
        <v>1.0071145212479999</v>
      </c>
      <c r="D33" s="418">
        <f>Dry_Matter_Content!H20</f>
        <v>0.73</v>
      </c>
      <c r="E33" s="284">
        <f>MCF!R32</f>
        <v>0.8</v>
      </c>
      <c r="F33" s="67">
        <f t="shared" si="0"/>
        <v>8.8223232061324805E-2</v>
      </c>
      <c r="G33" s="67">
        <f t="shared" si="1"/>
        <v>8.8223232061324805E-2</v>
      </c>
      <c r="H33" s="67">
        <f t="shared" si="2"/>
        <v>0</v>
      </c>
      <c r="I33" s="67">
        <f t="shared" si="3"/>
        <v>0.72884693025467229</v>
      </c>
      <c r="J33" s="67">
        <f t="shared" si="4"/>
        <v>4.6450459224349684E-2</v>
      </c>
      <c r="K33" s="100">
        <f t="shared" si="6"/>
        <v>3.0966972816233122E-2</v>
      </c>
      <c r="O33" s="96">
        <f>Amnt_Deposited!B28</f>
        <v>2014</v>
      </c>
      <c r="P33" s="99">
        <f>Amnt_Deposited!H28</f>
        <v>1.0071145212479999</v>
      </c>
      <c r="Q33" s="284">
        <f>MCF!R32</f>
        <v>0.8</v>
      </c>
      <c r="R33" s="67">
        <f t="shared" si="5"/>
        <v>9.6682994039807998E-2</v>
      </c>
      <c r="S33" s="67">
        <f t="shared" si="7"/>
        <v>9.6682994039807998E-2</v>
      </c>
      <c r="T33" s="67">
        <f t="shared" si="8"/>
        <v>0</v>
      </c>
      <c r="U33" s="67">
        <f t="shared" si="9"/>
        <v>0.79873636192292852</v>
      </c>
      <c r="V33" s="67">
        <f t="shared" si="10"/>
        <v>5.0904612848602392E-2</v>
      </c>
      <c r="W33" s="100">
        <f t="shared" si="11"/>
        <v>3.3936408565734925E-2</v>
      </c>
    </row>
    <row r="34" spans="2:23">
      <c r="B34" s="96">
        <f>Amnt_Deposited!B29</f>
        <v>2015</v>
      </c>
      <c r="C34" s="99">
        <f>Amnt_Deposited!H29</f>
        <v>1.0245539787119999</v>
      </c>
      <c r="D34" s="418">
        <f>Dry_Matter_Content!H21</f>
        <v>0.73</v>
      </c>
      <c r="E34" s="284">
        <f>MCF!R33</f>
        <v>0.8</v>
      </c>
      <c r="F34" s="67">
        <f t="shared" si="0"/>
        <v>8.9750928535171193E-2</v>
      </c>
      <c r="G34" s="67">
        <f t="shared" si="1"/>
        <v>8.9750928535171193E-2</v>
      </c>
      <c r="H34" s="67">
        <f t="shared" si="2"/>
        <v>0</v>
      </c>
      <c r="I34" s="67">
        <f t="shared" si="3"/>
        <v>0.76932330196204934</v>
      </c>
      <c r="J34" s="67">
        <f t="shared" si="4"/>
        <v>4.9274556827794136E-2</v>
      </c>
      <c r="K34" s="100">
        <f t="shared" si="6"/>
        <v>3.2849704551862757E-2</v>
      </c>
      <c r="O34" s="96">
        <f>Amnt_Deposited!B29</f>
        <v>2015</v>
      </c>
      <c r="P34" s="99">
        <f>Amnt_Deposited!H29</f>
        <v>1.0245539787119999</v>
      </c>
      <c r="Q34" s="284">
        <f>MCF!R33</f>
        <v>0.8</v>
      </c>
      <c r="R34" s="67">
        <f t="shared" si="5"/>
        <v>9.8357181956351999E-2</v>
      </c>
      <c r="S34" s="67">
        <f t="shared" si="7"/>
        <v>9.8357181956351999E-2</v>
      </c>
      <c r="T34" s="67">
        <f t="shared" si="8"/>
        <v>0</v>
      </c>
      <c r="U34" s="67">
        <f t="shared" si="9"/>
        <v>0.84309402954745138</v>
      </c>
      <c r="V34" s="67">
        <f t="shared" si="10"/>
        <v>5.3999514331829188E-2</v>
      </c>
      <c r="W34" s="100">
        <f t="shared" si="11"/>
        <v>3.5999676221219454E-2</v>
      </c>
    </row>
    <row r="35" spans="2:23">
      <c r="B35" s="96">
        <f>Amnt_Deposited!B30</f>
        <v>2016</v>
      </c>
      <c r="C35" s="99">
        <f>Amnt_Deposited!H30</f>
        <v>1.0418536275839998</v>
      </c>
      <c r="D35" s="418">
        <f>Dry_Matter_Content!H22</f>
        <v>0.73</v>
      </c>
      <c r="E35" s="284">
        <f>MCF!R34</f>
        <v>0.8</v>
      </c>
      <c r="F35" s="67">
        <f t="shared" si="0"/>
        <v>9.1266377776358376E-2</v>
      </c>
      <c r="G35" s="67">
        <f t="shared" si="1"/>
        <v>9.1266377776358376E-2</v>
      </c>
      <c r="H35" s="67">
        <f t="shared" si="2"/>
        <v>0</v>
      </c>
      <c r="I35" s="67">
        <f t="shared" si="3"/>
        <v>0.80857867003541084</v>
      </c>
      <c r="J35" s="67">
        <f t="shared" si="4"/>
        <v>5.2011009702996845E-2</v>
      </c>
      <c r="K35" s="100">
        <f t="shared" si="6"/>
        <v>3.4674006468664559E-2</v>
      </c>
      <c r="O35" s="96">
        <f>Amnt_Deposited!B30</f>
        <v>2016</v>
      </c>
      <c r="P35" s="99">
        <f>Amnt_Deposited!H30</f>
        <v>1.0418536275839998</v>
      </c>
      <c r="Q35" s="284">
        <f>MCF!R34</f>
        <v>0.8</v>
      </c>
      <c r="R35" s="67">
        <f t="shared" si="5"/>
        <v>0.10001794824806398</v>
      </c>
      <c r="S35" s="67">
        <f t="shared" si="7"/>
        <v>0.10001794824806398</v>
      </c>
      <c r="T35" s="67">
        <f t="shared" si="8"/>
        <v>0</v>
      </c>
      <c r="U35" s="67">
        <f t="shared" si="9"/>
        <v>0.88611361099771058</v>
      </c>
      <c r="V35" s="67">
        <f t="shared" si="10"/>
        <v>5.6998366797804768E-2</v>
      </c>
      <c r="W35" s="100">
        <f t="shared" si="11"/>
        <v>3.799891119853651E-2</v>
      </c>
    </row>
    <row r="36" spans="2:23">
      <c r="B36" s="96">
        <f>Amnt_Deposited!B31</f>
        <v>2017</v>
      </c>
      <c r="C36" s="99">
        <f>Amnt_Deposited!H31</f>
        <v>1.0818338917320001</v>
      </c>
      <c r="D36" s="418">
        <f>Dry_Matter_Content!H23</f>
        <v>0.73</v>
      </c>
      <c r="E36" s="284">
        <f>MCF!R35</f>
        <v>0.8</v>
      </c>
      <c r="F36" s="67">
        <f t="shared" si="0"/>
        <v>9.4768648915723203E-2</v>
      </c>
      <c r="G36" s="67">
        <f t="shared" si="1"/>
        <v>9.4768648915723203E-2</v>
      </c>
      <c r="H36" s="67">
        <f t="shared" si="2"/>
        <v>0</v>
      </c>
      <c r="I36" s="67">
        <f t="shared" si="3"/>
        <v>0.84868240376451121</v>
      </c>
      <c r="J36" s="67">
        <f t="shared" si="4"/>
        <v>5.4664915186622809E-2</v>
      </c>
      <c r="K36" s="100">
        <f t="shared" si="6"/>
        <v>3.644327679108187E-2</v>
      </c>
      <c r="O36" s="96">
        <f>Amnt_Deposited!B31</f>
        <v>2017</v>
      </c>
      <c r="P36" s="99">
        <f>Amnt_Deposited!H31</f>
        <v>1.0818338917320001</v>
      </c>
      <c r="Q36" s="284">
        <f>MCF!R35</f>
        <v>0.8</v>
      </c>
      <c r="R36" s="67">
        <f t="shared" si="5"/>
        <v>0.10385605360627199</v>
      </c>
      <c r="S36" s="67">
        <f t="shared" si="7"/>
        <v>0.10385605360627199</v>
      </c>
      <c r="T36" s="67">
        <f t="shared" si="8"/>
        <v>0</v>
      </c>
      <c r="U36" s="67">
        <f t="shared" si="9"/>
        <v>0.93006290823508087</v>
      </c>
      <c r="V36" s="67">
        <f t="shared" si="10"/>
        <v>5.9906756368901713E-2</v>
      </c>
      <c r="W36" s="100">
        <f t="shared" si="11"/>
        <v>3.9937837579267804E-2</v>
      </c>
    </row>
    <row r="37" spans="2:23">
      <c r="B37" s="96">
        <f>Amnt_Deposited!B32</f>
        <v>2018</v>
      </c>
      <c r="C37" s="99">
        <f>Amnt_Deposited!H32</f>
        <v>1.106964486144</v>
      </c>
      <c r="D37" s="418">
        <f>Dry_Matter_Content!H24</f>
        <v>0.73</v>
      </c>
      <c r="E37" s="284">
        <f>MCF!R36</f>
        <v>0.8</v>
      </c>
      <c r="F37" s="67">
        <f t="shared" si="0"/>
        <v>9.6970088986214398E-2</v>
      </c>
      <c r="G37" s="67">
        <f t="shared" si="1"/>
        <v>9.6970088986214398E-2</v>
      </c>
      <c r="H37" s="67">
        <f t="shared" si="2"/>
        <v>0</v>
      </c>
      <c r="I37" s="67">
        <f t="shared" si="3"/>
        <v>0.88827631731916934</v>
      </c>
      <c r="J37" s="67">
        <f t="shared" si="4"/>
        <v>5.7376175431556264E-2</v>
      </c>
      <c r="K37" s="100">
        <f t="shared" si="6"/>
        <v>3.825078362103751E-2</v>
      </c>
      <c r="O37" s="96">
        <f>Amnt_Deposited!B32</f>
        <v>2018</v>
      </c>
      <c r="P37" s="99">
        <f>Amnt_Deposited!H32</f>
        <v>1.106964486144</v>
      </c>
      <c r="Q37" s="284">
        <f>MCF!R36</f>
        <v>0.8</v>
      </c>
      <c r="R37" s="67">
        <f t="shared" si="5"/>
        <v>0.106268590669824</v>
      </c>
      <c r="S37" s="67">
        <f t="shared" si="7"/>
        <v>0.106268590669824</v>
      </c>
      <c r="T37" s="67">
        <f t="shared" si="8"/>
        <v>0</v>
      </c>
      <c r="U37" s="67">
        <f t="shared" si="9"/>
        <v>0.97345349843196649</v>
      </c>
      <c r="V37" s="67">
        <f t="shared" si="10"/>
        <v>6.2878000472938386E-2</v>
      </c>
      <c r="W37" s="100">
        <f t="shared" si="11"/>
        <v>4.1918666981958924E-2</v>
      </c>
    </row>
    <row r="38" spans="2:23">
      <c r="B38" s="96">
        <f>Amnt_Deposited!B33</f>
        <v>2019</v>
      </c>
      <c r="C38" s="99">
        <f>Amnt_Deposited!H33</f>
        <v>1.1320950805560002</v>
      </c>
      <c r="D38" s="418">
        <f>Dry_Matter_Content!H25</f>
        <v>0.73</v>
      </c>
      <c r="E38" s="284">
        <f>MCF!R37</f>
        <v>0.8</v>
      </c>
      <c r="F38" s="67">
        <f t="shared" si="0"/>
        <v>9.9171529056705621E-2</v>
      </c>
      <c r="G38" s="67">
        <f t="shared" si="1"/>
        <v>9.9171529056705621E-2</v>
      </c>
      <c r="H38" s="67">
        <f t="shared" si="2"/>
        <v>0</v>
      </c>
      <c r="I38" s="67">
        <f t="shared" si="3"/>
        <v>0.92739487769391427</v>
      </c>
      <c r="J38" s="67">
        <f t="shared" si="4"/>
        <v>6.0052968681960799E-2</v>
      </c>
      <c r="K38" s="100">
        <f t="shared" si="6"/>
        <v>4.003531245464053E-2</v>
      </c>
      <c r="O38" s="96">
        <f>Amnt_Deposited!B33</f>
        <v>2019</v>
      </c>
      <c r="P38" s="99">
        <f>Amnt_Deposited!H33</f>
        <v>1.1320950805560002</v>
      </c>
      <c r="Q38" s="284">
        <f>MCF!R37</f>
        <v>0.8</v>
      </c>
      <c r="R38" s="67">
        <f t="shared" si="5"/>
        <v>0.10868112773337602</v>
      </c>
      <c r="S38" s="67">
        <f t="shared" si="7"/>
        <v>0.10868112773337602</v>
      </c>
      <c r="T38" s="67">
        <f t="shared" si="8"/>
        <v>0</v>
      </c>
      <c r="U38" s="67">
        <f t="shared" si="9"/>
        <v>1.0163231536371664</v>
      </c>
      <c r="V38" s="67">
        <f t="shared" si="10"/>
        <v>6.5811472528176221E-2</v>
      </c>
      <c r="W38" s="100">
        <f t="shared" si="11"/>
        <v>4.3874315018784145E-2</v>
      </c>
    </row>
    <row r="39" spans="2:23">
      <c r="B39" s="96">
        <f>Amnt_Deposited!B34</f>
        <v>2020</v>
      </c>
      <c r="C39" s="99">
        <f>Amnt_Deposited!H34</f>
        <v>1.1572256749680003</v>
      </c>
      <c r="D39" s="418">
        <f>Dry_Matter_Content!H26</f>
        <v>0.73</v>
      </c>
      <c r="E39" s="284">
        <f>MCF!R38</f>
        <v>0.8</v>
      </c>
      <c r="F39" s="67">
        <f t="shared" si="0"/>
        <v>0.10137296912719683</v>
      </c>
      <c r="G39" s="67">
        <f t="shared" si="1"/>
        <v>0.10137296912719683</v>
      </c>
      <c r="H39" s="67">
        <f t="shared" si="2"/>
        <v>0</v>
      </c>
      <c r="I39" s="67">
        <f t="shared" si="3"/>
        <v>0.96607022170143531</v>
      </c>
      <c r="J39" s="67">
        <f t="shared" si="4"/>
        <v>6.2697625119675846E-2</v>
      </c>
      <c r="K39" s="100">
        <f t="shared" si="6"/>
        <v>4.1798416746450559E-2</v>
      </c>
      <c r="O39" s="96">
        <f>Amnt_Deposited!B34</f>
        <v>2020</v>
      </c>
      <c r="P39" s="99">
        <f>Amnt_Deposited!H34</f>
        <v>1.1572256749680003</v>
      </c>
      <c r="Q39" s="284">
        <f>MCF!R38</f>
        <v>0.8</v>
      </c>
      <c r="R39" s="67">
        <f t="shared" si="5"/>
        <v>0.11109366479692805</v>
      </c>
      <c r="S39" s="67">
        <f t="shared" si="7"/>
        <v>0.11109366479692805</v>
      </c>
      <c r="T39" s="67">
        <f t="shared" si="8"/>
        <v>0</v>
      </c>
      <c r="U39" s="67">
        <f t="shared" si="9"/>
        <v>1.0587070922755455</v>
      </c>
      <c r="V39" s="67">
        <f t="shared" si="10"/>
        <v>6.8709726158548881E-2</v>
      </c>
      <c r="W39" s="100">
        <f t="shared" si="11"/>
        <v>4.5806484105699249E-2</v>
      </c>
    </row>
    <row r="40" spans="2:23">
      <c r="B40" s="96">
        <f>Amnt_Deposited!B35</f>
        <v>2021</v>
      </c>
      <c r="C40" s="99">
        <f>Amnt_Deposited!H35</f>
        <v>1.18235626938</v>
      </c>
      <c r="D40" s="418">
        <f>Dry_Matter_Content!H27</f>
        <v>0.73</v>
      </c>
      <c r="E40" s="284">
        <f>MCF!R39</f>
        <v>0.8</v>
      </c>
      <c r="F40" s="67">
        <f t="shared" si="0"/>
        <v>0.103574409197688</v>
      </c>
      <c r="G40" s="67">
        <f t="shared" si="1"/>
        <v>0.103574409197688</v>
      </c>
      <c r="H40" s="67">
        <f t="shared" si="2"/>
        <v>0</v>
      </c>
      <c r="I40" s="67">
        <f t="shared" si="3"/>
        <v>1.0043323135072755</v>
      </c>
      <c r="J40" s="67">
        <f t="shared" si="4"/>
        <v>6.5312317391847716E-2</v>
      </c>
      <c r="K40" s="100">
        <f t="shared" si="6"/>
        <v>4.3541544927898475E-2</v>
      </c>
      <c r="O40" s="96">
        <f>Amnt_Deposited!B35</f>
        <v>2021</v>
      </c>
      <c r="P40" s="99">
        <f>Amnt_Deposited!H35</f>
        <v>1.18235626938</v>
      </c>
      <c r="Q40" s="284">
        <f>MCF!R39</f>
        <v>0.8</v>
      </c>
      <c r="R40" s="67">
        <f t="shared" si="5"/>
        <v>0.11350620186047999</v>
      </c>
      <c r="S40" s="67">
        <f t="shared" si="7"/>
        <v>0.11350620186047999</v>
      </c>
      <c r="T40" s="67">
        <f t="shared" si="8"/>
        <v>0</v>
      </c>
      <c r="U40" s="67">
        <f t="shared" si="9"/>
        <v>1.1006381517887951</v>
      </c>
      <c r="V40" s="67">
        <f t="shared" si="10"/>
        <v>7.1575142347230364E-2</v>
      </c>
      <c r="W40" s="100">
        <f t="shared" si="11"/>
        <v>4.7716761564820243E-2</v>
      </c>
    </row>
    <row r="41" spans="2:23">
      <c r="B41" s="96">
        <f>Amnt_Deposited!B36</f>
        <v>2022</v>
      </c>
      <c r="C41" s="99">
        <f>Amnt_Deposited!H36</f>
        <v>1.207486863792</v>
      </c>
      <c r="D41" s="418">
        <f>Dry_Matter_Content!H28</f>
        <v>0.73</v>
      </c>
      <c r="E41" s="284">
        <f>MCF!R40</f>
        <v>0.8</v>
      </c>
      <c r="F41" s="67">
        <f t="shared" si="0"/>
        <v>0.10577584926817921</v>
      </c>
      <c r="G41" s="67">
        <f t="shared" si="1"/>
        <v>0.10577584926817921</v>
      </c>
      <c r="H41" s="67">
        <f t="shared" si="2"/>
        <v>0</v>
      </c>
      <c r="I41" s="67">
        <f t="shared" si="3"/>
        <v>1.0422090915142062</v>
      </c>
      <c r="J41" s="67">
        <f t="shared" si="4"/>
        <v>6.7899071261248486E-2</v>
      </c>
      <c r="K41" s="100">
        <f t="shared" si="6"/>
        <v>4.5266047507498991E-2</v>
      </c>
      <c r="O41" s="96">
        <f>Amnt_Deposited!B36</f>
        <v>2022</v>
      </c>
      <c r="P41" s="99">
        <f>Amnt_Deposited!H36</f>
        <v>1.207486863792</v>
      </c>
      <c r="Q41" s="284">
        <f>MCF!R40</f>
        <v>0.8</v>
      </c>
      <c r="R41" s="67">
        <f t="shared" si="5"/>
        <v>0.115918738924032</v>
      </c>
      <c r="S41" s="67">
        <f t="shared" si="7"/>
        <v>0.115918738924032</v>
      </c>
      <c r="T41" s="67">
        <f t="shared" si="8"/>
        <v>0</v>
      </c>
      <c r="U41" s="67">
        <f t="shared" si="9"/>
        <v>1.1421469496046095</v>
      </c>
      <c r="V41" s="67">
        <f t="shared" si="10"/>
        <v>7.4409941108217525E-2</v>
      </c>
      <c r="W41" s="100">
        <f t="shared" si="11"/>
        <v>4.9606627405478346E-2</v>
      </c>
    </row>
    <row r="42" spans="2:23">
      <c r="B42" s="96">
        <f>Amnt_Deposited!B37</f>
        <v>2023</v>
      </c>
      <c r="C42" s="99">
        <f>Amnt_Deposited!H37</f>
        <v>1.2326174582040004</v>
      </c>
      <c r="D42" s="418">
        <f>Dry_Matter_Content!H29</f>
        <v>0.73</v>
      </c>
      <c r="E42" s="284">
        <f>MCF!R41</f>
        <v>0.8</v>
      </c>
      <c r="F42" s="67">
        <f t="shared" si="0"/>
        <v>0.10797728933867044</v>
      </c>
      <c r="G42" s="67">
        <f t="shared" si="1"/>
        <v>0.10797728933867044</v>
      </c>
      <c r="H42" s="67">
        <f t="shared" si="2"/>
        <v>0</v>
      </c>
      <c r="I42" s="67">
        <f t="shared" si="3"/>
        <v>1.079726605316309</v>
      </c>
      <c r="J42" s="67">
        <f t="shared" si="4"/>
        <v>7.0459775536567459E-2</v>
      </c>
      <c r="K42" s="100">
        <f t="shared" si="6"/>
        <v>4.6973183691044973E-2</v>
      </c>
      <c r="O42" s="96">
        <f>Amnt_Deposited!B37</f>
        <v>2023</v>
      </c>
      <c r="P42" s="99">
        <f>Amnt_Deposited!H37</f>
        <v>1.2326174582040004</v>
      </c>
      <c r="Q42" s="284">
        <f>MCF!R41</f>
        <v>0.8</v>
      </c>
      <c r="R42" s="67">
        <f t="shared" si="5"/>
        <v>0.11833127598758404</v>
      </c>
      <c r="S42" s="67">
        <f t="shared" si="7"/>
        <v>0.11833127598758404</v>
      </c>
      <c r="T42" s="67">
        <f t="shared" si="8"/>
        <v>0</v>
      </c>
      <c r="U42" s="67">
        <f t="shared" si="9"/>
        <v>1.1832620332233525</v>
      </c>
      <c r="V42" s="67">
        <f t="shared" si="10"/>
        <v>7.7216192368841058E-2</v>
      </c>
      <c r="W42" s="100">
        <f t="shared" si="11"/>
        <v>5.147746157922737E-2</v>
      </c>
    </row>
    <row r="43" spans="2:23">
      <c r="B43" s="96">
        <f>Amnt_Deposited!B38</f>
        <v>2024</v>
      </c>
      <c r="C43" s="99">
        <f>Amnt_Deposited!H38</f>
        <v>1.2577480526160001</v>
      </c>
      <c r="D43" s="418">
        <f>Dry_Matter_Content!H30</f>
        <v>0.73</v>
      </c>
      <c r="E43" s="284">
        <f>MCF!R42</f>
        <v>0.8</v>
      </c>
      <c r="F43" s="67">
        <f t="shared" si="0"/>
        <v>0.11017872940916161</v>
      </c>
      <c r="G43" s="67">
        <f t="shared" si="1"/>
        <v>0.11017872940916161</v>
      </c>
      <c r="H43" s="67">
        <f t="shared" si="2"/>
        <v>0</v>
      </c>
      <c r="I43" s="67">
        <f t="shared" si="3"/>
        <v>1.1169091433941172</v>
      </c>
      <c r="J43" s="67">
        <f t="shared" si="4"/>
        <v>7.2996191331353502E-2</v>
      </c>
      <c r="K43" s="100">
        <f t="shared" si="6"/>
        <v>4.8664127554235666E-2</v>
      </c>
      <c r="O43" s="96">
        <f>Amnt_Deposited!B38</f>
        <v>2024</v>
      </c>
      <c r="P43" s="99">
        <f>Amnt_Deposited!H38</f>
        <v>1.2577480526160001</v>
      </c>
      <c r="Q43" s="284">
        <f>MCF!R42</f>
        <v>0.8</v>
      </c>
      <c r="R43" s="67">
        <f t="shared" si="5"/>
        <v>0.120743813051136</v>
      </c>
      <c r="S43" s="67">
        <f t="shared" si="7"/>
        <v>0.120743813051136</v>
      </c>
      <c r="T43" s="67">
        <f t="shared" si="8"/>
        <v>0</v>
      </c>
      <c r="U43" s="67">
        <f t="shared" si="9"/>
        <v>1.2240100201579367</v>
      </c>
      <c r="V43" s="67">
        <f t="shared" si="10"/>
        <v>7.9995826116551788E-2</v>
      </c>
      <c r="W43" s="100">
        <f t="shared" si="11"/>
        <v>5.3330550744367856E-2</v>
      </c>
    </row>
    <row r="44" spans="2:23">
      <c r="B44" s="96">
        <f>Amnt_Deposited!B39</f>
        <v>2025</v>
      </c>
      <c r="C44" s="99">
        <f>Amnt_Deposited!H39</f>
        <v>1.282878647028</v>
      </c>
      <c r="D44" s="418">
        <f>Dry_Matter_Content!H31</f>
        <v>0.73</v>
      </c>
      <c r="E44" s="284">
        <f>MCF!R43</f>
        <v>0.8</v>
      </c>
      <c r="F44" s="67">
        <f t="shared" si="0"/>
        <v>0.11238016947965279</v>
      </c>
      <c r="G44" s="67">
        <f t="shared" si="1"/>
        <v>0.11238016947965279</v>
      </c>
      <c r="H44" s="67">
        <f t="shared" si="2"/>
        <v>0</v>
      </c>
      <c r="I44" s="67">
        <f t="shared" si="3"/>
        <v>1.1537793521767741</v>
      </c>
      <c r="J44" s="67">
        <f t="shared" si="4"/>
        <v>7.5509960696995726E-2</v>
      </c>
      <c r="K44" s="100">
        <f t="shared" si="6"/>
        <v>5.0339973797997151E-2</v>
      </c>
      <c r="O44" s="96">
        <f>Amnt_Deposited!B39</f>
        <v>2025</v>
      </c>
      <c r="P44" s="99">
        <f>Amnt_Deposited!H39</f>
        <v>1.282878647028</v>
      </c>
      <c r="Q44" s="284">
        <f>MCF!R43</f>
        <v>0.8</v>
      </c>
      <c r="R44" s="67">
        <f t="shared" si="5"/>
        <v>0.12315635011468801</v>
      </c>
      <c r="S44" s="67">
        <f t="shared" si="7"/>
        <v>0.12315635011468801</v>
      </c>
      <c r="T44" s="67">
        <f t="shared" si="8"/>
        <v>0</v>
      </c>
      <c r="U44" s="67">
        <f t="shared" si="9"/>
        <v>1.2644157284129034</v>
      </c>
      <c r="V44" s="67">
        <f t="shared" si="10"/>
        <v>8.2750641859721349E-2</v>
      </c>
      <c r="W44" s="100">
        <f t="shared" si="11"/>
        <v>5.5167094573147564E-2</v>
      </c>
    </row>
    <row r="45" spans="2:23">
      <c r="B45" s="96">
        <f>Amnt_Deposited!B40</f>
        <v>2026</v>
      </c>
      <c r="C45" s="99">
        <f>Amnt_Deposited!H40</f>
        <v>1.30800924144</v>
      </c>
      <c r="D45" s="418">
        <f>Dry_Matter_Content!H32</f>
        <v>0.73</v>
      </c>
      <c r="E45" s="284">
        <f>MCF!R44</f>
        <v>0.8</v>
      </c>
      <c r="F45" s="67">
        <f t="shared" si="0"/>
        <v>0.11458160955014399</v>
      </c>
      <c r="G45" s="67">
        <f t="shared" si="1"/>
        <v>0.11458160955014399</v>
      </c>
      <c r="H45" s="67">
        <f t="shared" si="2"/>
        <v>0</v>
      </c>
      <c r="I45" s="67">
        <f t="shared" si="3"/>
        <v>1.1903583470548567</v>
      </c>
      <c r="J45" s="67">
        <f t="shared" si="4"/>
        <v>7.8002614672061321E-2</v>
      </c>
      <c r="K45" s="100">
        <f t="shared" si="6"/>
        <v>5.2001743114707545E-2</v>
      </c>
      <c r="O45" s="96">
        <f>Amnt_Deposited!B40</f>
        <v>2026</v>
      </c>
      <c r="P45" s="99">
        <f>Amnt_Deposited!H40</f>
        <v>1.30800924144</v>
      </c>
      <c r="Q45" s="284">
        <f>MCF!R44</f>
        <v>0.8</v>
      </c>
      <c r="R45" s="67">
        <f t="shared" si="5"/>
        <v>0.12556888717824</v>
      </c>
      <c r="S45" s="67">
        <f t="shared" si="7"/>
        <v>0.12556888717824</v>
      </c>
      <c r="T45" s="67">
        <f t="shared" si="8"/>
        <v>0</v>
      </c>
      <c r="U45" s="67">
        <f t="shared" si="9"/>
        <v>1.3045022981423089</v>
      </c>
      <c r="V45" s="67">
        <f t="shared" si="10"/>
        <v>8.5482317448834347E-2</v>
      </c>
      <c r="W45" s="100">
        <f t="shared" si="11"/>
        <v>5.6988211632556227E-2</v>
      </c>
    </row>
    <row r="46" spans="2:23">
      <c r="B46" s="96">
        <f>Amnt_Deposited!B41</f>
        <v>2027</v>
      </c>
      <c r="C46" s="99">
        <f>Amnt_Deposited!H41</f>
        <v>1.3331398358520001</v>
      </c>
      <c r="D46" s="418">
        <f>Dry_Matter_Content!H33</f>
        <v>0.73</v>
      </c>
      <c r="E46" s="284">
        <f>MCF!R45</f>
        <v>0.8</v>
      </c>
      <c r="F46" s="67">
        <f t="shared" si="0"/>
        <v>0.11678304962063522</v>
      </c>
      <c r="G46" s="67">
        <f t="shared" si="1"/>
        <v>0.11678304962063522</v>
      </c>
      <c r="H46" s="67">
        <f t="shared" si="2"/>
        <v>0</v>
      </c>
      <c r="I46" s="67">
        <f t="shared" si="3"/>
        <v>1.2266658158880435</v>
      </c>
      <c r="J46" s="67">
        <f t="shared" si="4"/>
        <v>8.0475580787448361E-2</v>
      </c>
      <c r="K46" s="100">
        <f t="shared" si="6"/>
        <v>5.3650387191632239E-2</v>
      </c>
      <c r="O46" s="96">
        <f>Amnt_Deposited!B41</f>
        <v>2027</v>
      </c>
      <c r="P46" s="99">
        <f>Amnt_Deposited!H41</f>
        <v>1.3331398358520001</v>
      </c>
      <c r="Q46" s="284">
        <f>MCF!R45</f>
        <v>0.8</v>
      </c>
      <c r="R46" s="67">
        <f t="shared" si="5"/>
        <v>0.12798142424179201</v>
      </c>
      <c r="S46" s="67">
        <f t="shared" si="7"/>
        <v>0.12798142424179201</v>
      </c>
      <c r="T46" s="67">
        <f t="shared" si="8"/>
        <v>0</v>
      </c>
      <c r="U46" s="67">
        <f t="shared" si="9"/>
        <v>1.3442913050827876</v>
      </c>
      <c r="V46" s="67">
        <f t="shared" si="10"/>
        <v>8.8192417301313289E-2</v>
      </c>
      <c r="W46" s="100">
        <f t="shared" si="11"/>
        <v>5.8794944867542193E-2</v>
      </c>
    </row>
    <row r="47" spans="2:23">
      <c r="B47" s="96">
        <f>Amnt_Deposited!B42</f>
        <v>2028</v>
      </c>
      <c r="C47" s="99">
        <f>Amnt_Deposited!H42</f>
        <v>1.3582704302640001</v>
      </c>
      <c r="D47" s="418">
        <f>Dry_Matter_Content!H34</f>
        <v>0.73</v>
      </c>
      <c r="E47" s="284">
        <f>MCF!R46</f>
        <v>0.8</v>
      </c>
      <c r="F47" s="67">
        <f t="shared" si="0"/>
        <v>0.1189844896911264</v>
      </c>
      <c r="G47" s="67">
        <f t="shared" si="1"/>
        <v>0.1189844896911264</v>
      </c>
      <c r="H47" s="67">
        <f t="shared" si="2"/>
        <v>0</v>
      </c>
      <c r="I47" s="67">
        <f t="shared" si="3"/>
        <v>1.2627201155150258</v>
      </c>
      <c r="J47" s="67">
        <f t="shared" si="4"/>
        <v>8.2930190064143969E-2</v>
      </c>
      <c r="K47" s="100">
        <f t="shared" si="6"/>
        <v>5.5286793376095975E-2</v>
      </c>
      <c r="O47" s="96">
        <f>Amnt_Deposited!B42</f>
        <v>2028</v>
      </c>
      <c r="P47" s="99">
        <f>Amnt_Deposited!H42</f>
        <v>1.3582704302640001</v>
      </c>
      <c r="Q47" s="284">
        <f>MCF!R46</f>
        <v>0.8</v>
      </c>
      <c r="R47" s="67">
        <f t="shared" si="5"/>
        <v>0.130393961305344</v>
      </c>
      <c r="S47" s="67">
        <f t="shared" si="7"/>
        <v>0.130393961305344</v>
      </c>
      <c r="T47" s="67">
        <f t="shared" si="8"/>
        <v>0</v>
      </c>
      <c r="U47" s="67">
        <f t="shared" si="9"/>
        <v>1.3838028663178368</v>
      </c>
      <c r="V47" s="67">
        <f t="shared" si="10"/>
        <v>9.0882400070294772E-2</v>
      </c>
      <c r="W47" s="100">
        <f t="shared" si="11"/>
        <v>6.0588266713529848E-2</v>
      </c>
    </row>
    <row r="48" spans="2:23">
      <c r="B48" s="96">
        <f>Amnt_Deposited!B43</f>
        <v>2029</v>
      </c>
      <c r="C48" s="99">
        <f>Amnt_Deposited!H43</f>
        <v>1.3834010246759998</v>
      </c>
      <c r="D48" s="418">
        <f>Dry_Matter_Content!H35</f>
        <v>0.73</v>
      </c>
      <c r="E48" s="284">
        <f>MCF!R47</f>
        <v>0.8</v>
      </c>
      <c r="F48" s="67">
        <f t="shared" si="0"/>
        <v>0.12118592976161757</v>
      </c>
      <c r="G48" s="67">
        <f t="shared" si="1"/>
        <v>0.12118592976161757</v>
      </c>
      <c r="H48" s="67">
        <f t="shared" si="2"/>
        <v>0</v>
      </c>
      <c r="I48" s="67">
        <f t="shared" si="3"/>
        <v>1.2985383617387527</v>
      </c>
      <c r="J48" s="67">
        <f t="shared" si="4"/>
        <v>8.5367683537890635E-2</v>
      </c>
      <c r="K48" s="100">
        <f t="shared" si="6"/>
        <v>5.6911789025260423E-2</v>
      </c>
      <c r="O48" s="96">
        <f>Amnt_Deposited!B43</f>
        <v>2029</v>
      </c>
      <c r="P48" s="99">
        <f>Amnt_Deposited!H43</f>
        <v>1.3834010246759998</v>
      </c>
      <c r="Q48" s="284">
        <f>MCF!R47</f>
        <v>0.8</v>
      </c>
      <c r="R48" s="67">
        <f t="shared" si="5"/>
        <v>0.13280649836889599</v>
      </c>
      <c r="S48" s="67">
        <f t="shared" si="7"/>
        <v>0.13280649836889599</v>
      </c>
      <c r="T48" s="67">
        <f t="shared" si="8"/>
        <v>0</v>
      </c>
      <c r="U48" s="67">
        <f t="shared" si="9"/>
        <v>1.4230557388917839</v>
      </c>
      <c r="V48" s="67">
        <f t="shared" si="10"/>
        <v>9.3553625794948664E-2</v>
      </c>
      <c r="W48" s="100">
        <f t="shared" si="11"/>
        <v>6.2369083863299105E-2</v>
      </c>
    </row>
    <row r="49" spans="2:23">
      <c r="B49" s="96">
        <f>Amnt_Deposited!B44</f>
        <v>2030</v>
      </c>
      <c r="C49" s="99">
        <f>Amnt_Deposited!H44</f>
        <v>1.4085316190880002</v>
      </c>
      <c r="D49" s="418">
        <f>Dry_Matter_Content!H36</f>
        <v>0.73</v>
      </c>
      <c r="E49" s="284">
        <f>MCF!R48</f>
        <v>0.8</v>
      </c>
      <c r="F49" s="67">
        <f t="shared" si="0"/>
        <v>0.12338736983210884</v>
      </c>
      <c r="G49" s="67">
        <f t="shared" si="1"/>
        <v>0.12338736983210884</v>
      </c>
      <c r="H49" s="67">
        <f t="shared" si="2"/>
        <v>0</v>
      </c>
      <c r="I49" s="67">
        <f t="shared" si="3"/>
        <v>1.3341365132281164</v>
      </c>
      <c r="J49" s="67">
        <f t="shared" si="4"/>
        <v>8.7789218342745001E-2</v>
      </c>
      <c r="K49" s="100">
        <f t="shared" si="6"/>
        <v>5.8526145561830001E-2</v>
      </c>
      <c r="O49" s="96">
        <f>Amnt_Deposited!B44</f>
        <v>2030</v>
      </c>
      <c r="P49" s="99">
        <f>Amnt_Deposited!H44</f>
        <v>1.4085316190880002</v>
      </c>
      <c r="Q49" s="284">
        <f>MCF!R48</f>
        <v>0.8</v>
      </c>
      <c r="R49" s="67">
        <f t="shared" si="5"/>
        <v>0.13521903543244804</v>
      </c>
      <c r="S49" s="67">
        <f t="shared" si="7"/>
        <v>0.13521903543244804</v>
      </c>
      <c r="T49" s="67">
        <f t="shared" si="8"/>
        <v>0</v>
      </c>
      <c r="U49" s="67">
        <f t="shared" si="9"/>
        <v>1.4620674117568402</v>
      </c>
      <c r="V49" s="67">
        <f t="shared" si="10"/>
        <v>9.6207362567391791E-2</v>
      </c>
      <c r="W49" s="100">
        <f t="shared" si="11"/>
        <v>6.4138241711594518E-2</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1.2439406398447661</v>
      </c>
      <c r="J50" s="67">
        <f t="shared" si="4"/>
        <v>9.0195873383350264E-2</v>
      </c>
      <c r="K50" s="100">
        <f t="shared" si="6"/>
        <v>6.013058225556684E-2</v>
      </c>
      <c r="O50" s="96">
        <f>Amnt_Deposited!B45</f>
        <v>2031</v>
      </c>
      <c r="P50" s="99">
        <f>Amnt_Deposited!H45</f>
        <v>0</v>
      </c>
      <c r="Q50" s="284">
        <f>MCF!R49</f>
        <v>0.8</v>
      </c>
      <c r="R50" s="67">
        <f t="shared" si="5"/>
        <v>0</v>
      </c>
      <c r="S50" s="67">
        <f t="shared" si="7"/>
        <v>0</v>
      </c>
      <c r="T50" s="67">
        <f t="shared" si="8"/>
        <v>0</v>
      </c>
      <c r="U50" s="67">
        <f t="shared" si="9"/>
        <v>1.3632226190079633</v>
      </c>
      <c r="V50" s="67">
        <f t="shared" si="10"/>
        <v>9.8844792748877017E-2</v>
      </c>
      <c r="W50" s="100">
        <f t="shared" si="11"/>
        <v>6.5896528499251344E-2</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1.1598425649211108</v>
      </c>
      <c r="J51" s="67">
        <f t="shared" si="4"/>
        <v>8.4098074923655189E-2</v>
      </c>
      <c r="K51" s="100">
        <f t="shared" si="6"/>
        <v>5.6065383282436793E-2</v>
      </c>
      <c r="O51" s="96">
        <f>Amnt_Deposited!B46</f>
        <v>2032</v>
      </c>
      <c r="P51" s="99">
        <f>Amnt_Deposited!H46</f>
        <v>0</v>
      </c>
      <c r="Q51" s="284">
        <f>MCF!R50</f>
        <v>0.8</v>
      </c>
      <c r="R51" s="67">
        <f t="shared" ref="R51:R82" si="13">P51*$W$6*DOCF*Q51</f>
        <v>0</v>
      </c>
      <c r="S51" s="67">
        <f t="shared" si="7"/>
        <v>0</v>
      </c>
      <c r="T51" s="67">
        <f t="shared" si="8"/>
        <v>0</v>
      </c>
      <c r="U51" s="67">
        <f t="shared" si="9"/>
        <v>1.2710603451190261</v>
      </c>
      <c r="V51" s="67">
        <f t="shared" si="10"/>
        <v>9.2162273888937232E-2</v>
      </c>
      <c r="W51" s="100">
        <f t="shared" si="11"/>
        <v>6.1441515925958153E-2</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1.0814300395963072</v>
      </c>
      <c r="J52" s="67">
        <f t="shared" si="4"/>
        <v>7.84125253248035E-2</v>
      </c>
      <c r="K52" s="100">
        <f t="shared" si="6"/>
        <v>5.2275016883202331E-2</v>
      </c>
      <c r="O52" s="96">
        <f>Amnt_Deposited!B47</f>
        <v>2033</v>
      </c>
      <c r="P52" s="99">
        <f>Amnt_Deposited!H47</f>
        <v>0</v>
      </c>
      <c r="Q52" s="284">
        <f>MCF!R51</f>
        <v>0.8</v>
      </c>
      <c r="R52" s="67">
        <f t="shared" si="13"/>
        <v>0</v>
      </c>
      <c r="S52" s="67">
        <f t="shared" si="7"/>
        <v>0</v>
      </c>
      <c r="T52" s="67">
        <f t="shared" si="8"/>
        <v>0</v>
      </c>
      <c r="U52" s="67">
        <f t="shared" si="9"/>
        <v>1.1851288105165017</v>
      </c>
      <c r="V52" s="67">
        <f t="shared" si="10"/>
        <v>8.5931534602524423E-2</v>
      </c>
      <c r="W52" s="100">
        <f t="shared" si="11"/>
        <v>5.728768973501628E-2</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1.0083186855802417</v>
      </c>
      <c r="J53" s="67">
        <f t="shared" si="4"/>
        <v>7.311135401606543E-2</v>
      </c>
      <c r="K53" s="100">
        <f t="shared" si="6"/>
        <v>4.8740902677376949E-2</v>
      </c>
      <c r="O53" s="96">
        <f>Amnt_Deposited!B48</f>
        <v>2034</v>
      </c>
      <c r="P53" s="99">
        <f>Amnt_Deposited!H48</f>
        <v>0</v>
      </c>
      <c r="Q53" s="284">
        <f>MCF!R52</f>
        <v>0.8</v>
      </c>
      <c r="R53" s="67">
        <f t="shared" si="13"/>
        <v>0</v>
      </c>
      <c r="S53" s="67">
        <f t="shared" si="7"/>
        <v>0</v>
      </c>
      <c r="T53" s="67">
        <f t="shared" si="8"/>
        <v>0</v>
      </c>
      <c r="U53" s="67">
        <f t="shared" si="9"/>
        <v>1.1050067787180737</v>
      </c>
      <c r="V53" s="67">
        <f t="shared" si="10"/>
        <v>8.0122031798427917E-2</v>
      </c>
      <c r="W53" s="100">
        <f t="shared" si="11"/>
        <v>5.3414687865618607E-2</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0.94015011093070644</v>
      </c>
      <c r="J54" s="67">
        <f t="shared" si="4"/>
        <v>6.8168574649535338E-2</v>
      </c>
      <c r="K54" s="100">
        <f t="shared" si="6"/>
        <v>4.5445716433023559E-2</v>
      </c>
      <c r="O54" s="96">
        <f>Amnt_Deposited!B49</f>
        <v>2035</v>
      </c>
      <c r="P54" s="99">
        <f>Amnt_Deposited!H49</f>
        <v>0</v>
      </c>
      <c r="Q54" s="284">
        <f>MCF!R53</f>
        <v>0.8</v>
      </c>
      <c r="R54" s="67">
        <f t="shared" si="13"/>
        <v>0</v>
      </c>
      <c r="S54" s="67">
        <f t="shared" si="7"/>
        <v>0</v>
      </c>
      <c r="T54" s="67">
        <f t="shared" si="8"/>
        <v>0</v>
      </c>
      <c r="U54" s="67">
        <f t="shared" si="9"/>
        <v>1.0303014914309117</v>
      </c>
      <c r="V54" s="67">
        <f t="shared" si="10"/>
        <v>7.4705287287162053E-2</v>
      </c>
      <c r="W54" s="100">
        <f t="shared" si="11"/>
        <v>4.9803524858108031E-2</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0.87659015321568234</v>
      </c>
      <c r="J55" s="67">
        <f t="shared" si="4"/>
        <v>6.3559957715024054E-2</v>
      </c>
      <c r="K55" s="100">
        <f t="shared" si="6"/>
        <v>4.2373305143349367E-2</v>
      </c>
      <c r="O55" s="96">
        <f>Amnt_Deposited!B50</f>
        <v>2036</v>
      </c>
      <c r="P55" s="99">
        <f>Amnt_Deposited!H50</f>
        <v>0</v>
      </c>
      <c r="Q55" s="284">
        <f>MCF!R54</f>
        <v>0.8</v>
      </c>
      <c r="R55" s="67">
        <f t="shared" si="13"/>
        <v>0</v>
      </c>
      <c r="S55" s="67">
        <f t="shared" si="7"/>
        <v>0</v>
      </c>
      <c r="T55" s="67">
        <f t="shared" si="8"/>
        <v>0</v>
      </c>
      <c r="U55" s="67">
        <f t="shared" si="9"/>
        <v>0.96064674325006338</v>
      </c>
      <c r="V55" s="67">
        <f t="shared" si="10"/>
        <v>6.9654748180848311E-2</v>
      </c>
      <c r="W55" s="100">
        <f t="shared" si="11"/>
        <v>4.6436498787232203E-2</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0.8173272414487105</v>
      </c>
      <c r="J56" s="67">
        <f t="shared" si="4"/>
        <v>5.9262911766971814E-2</v>
      </c>
      <c r="K56" s="100">
        <f t="shared" si="6"/>
        <v>3.9508607844647874E-2</v>
      </c>
      <c r="O56" s="96">
        <f>Amnt_Deposited!B51</f>
        <v>2037</v>
      </c>
      <c r="P56" s="99">
        <f>Amnt_Deposited!H51</f>
        <v>0</v>
      </c>
      <c r="Q56" s="284">
        <f>MCF!R55</f>
        <v>0.8</v>
      </c>
      <c r="R56" s="67">
        <f t="shared" si="13"/>
        <v>0</v>
      </c>
      <c r="S56" s="67">
        <f t="shared" si="7"/>
        <v>0</v>
      </c>
      <c r="T56" s="67">
        <f t="shared" si="8"/>
        <v>0</v>
      </c>
      <c r="U56" s="67">
        <f t="shared" si="9"/>
        <v>0.89570108651913538</v>
      </c>
      <c r="V56" s="67">
        <f t="shared" si="10"/>
        <v>6.4945656730928059E-2</v>
      </c>
      <c r="W56" s="100">
        <f t="shared" si="11"/>
        <v>4.3297104487285368E-2</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0.76207086876755448</v>
      </c>
      <c r="J57" s="67">
        <f t="shared" si="4"/>
        <v>5.5256372681156019E-2</v>
      </c>
      <c r="K57" s="100">
        <f t="shared" si="6"/>
        <v>3.6837581787437346E-2</v>
      </c>
      <c r="O57" s="96">
        <f>Amnt_Deposited!B52</f>
        <v>2038</v>
      </c>
      <c r="P57" s="99">
        <f>Amnt_Deposited!H52</f>
        <v>0</v>
      </c>
      <c r="Q57" s="284">
        <f>MCF!R56</f>
        <v>0.8</v>
      </c>
      <c r="R57" s="67">
        <f t="shared" si="13"/>
        <v>0</v>
      </c>
      <c r="S57" s="67">
        <f t="shared" si="7"/>
        <v>0</v>
      </c>
      <c r="T57" s="67">
        <f t="shared" si="8"/>
        <v>0</v>
      </c>
      <c r="U57" s="67">
        <f t="shared" si="9"/>
        <v>0.83514615755348487</v>
      </c>
      <c r="V57" s="67">
        <f t="shared" si="10"/>
        <v>6.055492896565047E-2</v>
      </c>
      <c r="W57" s="100">
        <f t="shared" si="11"/>
        <v>4.0369952643766978E-2</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0.71055016836922469</v>
      </c>
      <c r="J58" s="67">
        <f t="shared" si="4"/>
        <v>5.1520700398329747E-2</v>
      </c>
      <c r="K58" s="100">
        <f t="shared" si="6"/>
        <v>3.4347133598886498E-2</v>
      </c>
      <c r="O58" s="96">
        <f>Amnt_Deposited!B53</f>
        <v>2039</v>
      </c>
      <c r="P58" s="99">
        <f>Amnt_Deposited!H53</f>
        <v>0</v>
      </c>
      <c r="Q58" s="284">
        <f>MCF!R57</f>
        <v>0.8</v>
      </c>
      <c r="R58" s="67">
        <f t="shared" si="13"/>
        <v>0</v>
      </c>
      <c r="S58" s="67">
        <f t="shared" si="7"/>
        <v>0</v>
      </c>
      <c r="T58" s="67">
        <f t="shared" si="8"/>
        <v>0</v>
      </c>
      <c r="U58" s="67">
        <f t="shared" si="9"/>
        <v>0.77868511602106871</v>
      </c>
      <c r="V58" s="67">
        <f t="shared" si="10"/>
        <v>5.6461041532416198E-2</v>
      </c>
      <c r="W58" s="100">
        <f t="shared" si="11"/>
        <v>3.7640694354944132E-2</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0.66251258572059613</v>
      </c>
      <c r="J59" s="67">
        <f t="shared" si="4"/>
        <v>4.8037582648628584E-2</v>
      </c>
      <c r="K59" s="100">
        <f t="shared" si="6"/>
        <v>3.2025055099085722E-2</v>
      </c>
      <c r="O59" s="96">
        <f>Amnt_Deposited!B54</f>
        <v>2040</v>
      </c>
      <c r="P59" s="99">
        <f>Amnt_Deposited!H54</f>
        <v>0</v>
      </c>
      <c r="Q59" s="284">
        <f>MCF!R58</f>
        <v>0.8</v>
      </c>
      <c r="R59" s="67">
        <f t="shared" si="13"/>
        <v>0</v>
      </c>
      <c r="S59" s="67">
        <f t="shared" si="7"/>
        <v>0</v>
      </c>
      <c r="T59" s="67">
        <f t="shared" si="8"/>
        <v>0</v>
      </c>
      <c r="U59" s="67">
        <f t="shared" si="9"/>
        <v>0.7260411898307908</v>
      </c>
      <c r="V59" s="67">
        <f t="shared" si="10"/>
        <v>5.2643926190277933E-2</v>
      </c>
      <c r="W59" s="100">
        <f t="shared" si="11"/>
        <v>3.509595079351862E-2</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0.61772264053579362</v>
      </c>
      <c r="J60" s="67">
        <f t="shared" si="4"/>
        <v>4.4789945184802504E-2</v>
      </c>
      <c r="K60" s="100">
        <f t="shared" si="6"/>
        <v>2.9859963456535001E-2</v>
      </c>
      <c r="O60" s="96">
        <f>Amnt_Deposited!B55</f>
        <v>2041</v>
      </c>
      <c r="P60" s="99">
        <f>Amnt_Deposited!H55</f>
        <v>0</v>
      </c>
      <c r="Q60" s="284">
        <f>MCF!R59</f>
        <v>0.8</v>
      </c>
      <c r="R60" s="67">
        <f t="shared" si="13"/>
        <v>0</v>
      </c>
      <c r="S60" s="67">
        <f t="shared" si="7"/>
        <v>0</v>
      </c>
      <c r="T60" s="67">
        <f t="shared" si="8"/>
        <v>0</v>
      </c>
      <c r="U60" s="67">
        <f t="shared" si="9"/>
        <v>0.67695631839539072</v>
      </c>
      <c r="V60" s="67">
        <f t="shared" si="10"/>
        <v>4.9084871435400038E-2</v>
      </c>
      <c r="W60" s="100">
        <f t="shared" si="11"/>
        <v>3.2723247623600023E-2</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0.57596077245155763</v>
      </c>
      <c r="J61" s="67">
        <f t="shared" si="4"/>
        <v>4.1761868084236042E-2</v>
      </c>
      <c r="K61" s="100">
        <f t="shared" si="6"/>
        <v>2.7841245389490694E-2</v>
      </c>
      <c r="O61" s="96">
        <f>Amnt_Deposited!B56</f>
        <v>2042</v>
      </c>
      <c r="P61" s="99">
        <f>Amnt_Deposited!H56</f>
        <v>0</v>
      </c>
      <c r="Q61" s="284">
        <f>MCF!R60</f>
        <v>0.8</v>
      </c>
      <c r="R61" s="67">
        <f t="shared" si="13"/>
        <v>0</v>
      </c>
      <c r="S61" s="67">
        <f t="shared" si="7"/>
        <v>0</v>
      </c>
      <c r="T61" s="67">
        <f t="shared" si="8"/>
        <v>0</v>
      </c>
      <c r="U61" s="67">
        <f t="shared" si="9"/>
        <v>0.63118988761814576</v>
      </c>
      <c r="V61" s="67">
        <f t="shared" si="10"/>
        <v>4.5766430777245008E-2</v>
      </c>
      <c r="W61" s="100">
        <f t="shared" si="11"/>
        <v>3.0510953851496672E-2</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0.53702226474208847</v>
      </c>
      <c r="J62" s="67">
        <f t="shared" si="4"/>
        <v>3.8938507709469154E-2</v>
      </c>
      <c r="K62" s="100">
        <f t="shared" si="6"/>
        <v>2.5959005139646101E-2</v>
      </c>
      <c r="O62" s="96">
        <f>Amnt_Deposited!B57</f>
        <v>2043</v>
      </c>
      <c r="P62" s="99">
        <f>Amnt_Deposited!H57</f>
        <v>0</v>
      </c>
      <c r="Q62" s="284">
        <f>MCF!R61</f>
        <v>0.8</v>
      </c>
      <c r="R62" s="67">
        <f t="shared" si="13"/>
        <v>0</v>
      </c>
      <c r="S62" s="67">
        <f t="shared" si="7"/>
        <v>0</v>
      </c>
      <c r="T62" s="67">
        <f t="shared" si="8"/>
        <v>0</v>
      </c>
      <c r="U62" s="67">
        <f t="shared" si="9"/>
        <v>0.58851755040228915</v>
      </c>
      <c r="V62" s="67">
        <f t="shared" si="10"/>
        <v>4.2672337215856636E-2</v>
      </c>
      <c r="W62" s="100">
        <f t="shared" si="11"/>
        <v>2.8448224810571091E-2</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0.50071624079741928</v>
      </c>
      <c r="J63" s="67">
        <f t="shared" si="4"/>
        <v>3.6306023944669155E-2</v>
      </c>
      <c r="K63" s="100">
        <f t="shared" si="6"/>
        <v>2.4204015963112769E-2</v>
      </c>
      <c r="O63" s="96">
        <f>Amnt_Deposited!B58</f>
        <v>2044</v>
      </c>
      <c r="P63" s="99">
        <f>Amnt_Deposited!H58</f>
        <v>0</v>
      </c>
      <c r="Q63" s="284">
        <f>MCF!R62</f>
        <v>0.8</v>
      </c>
      <c r="R63" s="67">
        <f t="shared" si="13"/>
        <v>0</v>
      </c>
      <c r="S63" s="67">
        <f t="shared" si="7"/>
        <v>0</v>
      </c>
      <c r="T63" s="67">
        <f t="shared" si="8"/>
        <v>0</v>
      </c>
      <c r="U63" s="67">
        <f t="shared" si="9"/>
        <v>0.54873012690128187</v>
      </c>
      <c r="V63" s="67">
        <f t="shared" si="10"/>
        <v>3.9787423501007321E-2</v>
      </c>
      <c r="W63" s="100">
        <f t="shared" si="11"/>
        <v>2.6524949000671545E-2</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0.46686472844605237</v>
      </c>
      <c r="J64" s="67">
        <f t="shared" si="4"/>
        <v>3.3851512351366901E-2</v>
      </c>
      <c r="K64" s="100">
        <f t="shared" si="6"/>
        <v>2.2567674900911265E-2</v>
      </c>
      <c r="O64" s="96">
        <f>Amnt_Deposited!B59</f>
        <v>2045</v>
      </c>
      <c r="P64" s="99">
        <f>Amnt_Deposited!H59</f>
        <v>0</v>
      </c>
      <c r="Q64" s="284">
        <f>MCF!R63</f>
        <v>0.8</v>
      </c>
      <c r="R64" s="67">
        <f t="shared" si="13"/>
        <v>0</v>
      </c>
      <c r="S64" s="67">
        <f t="shared" si="7"/>
        <v>0</v>
      </c>
      <c r="T64" s="67">
        <f t="shared" si="8"/>
        <v>0</v>
      </c>
      <c r="U64" s="67">
        <f t="shared" si="9"/>
        <v>0.51163257911896198</v>
      </c>
      <c r="V64" s="67">
        <f t="shared" si="10"/>
        <v>3.7097547782319919E-2</v>
      </c>
      <c r="W64" s="100">
        <f t="shared" si="11"/>
        <v>2.4731698521546611E-2</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0.43530178753516802</v>
      </c>
      <c r="J65" s="67">
        <f t="shared" si="4"/>
        <v>3.1562940910884373E-2</v>
      </c>
      <c r="K65" s="100">
        <f t="shared" si="6"/>
        <v>2.1041960607256247E-2</v>
      </c>
      <c r="O65" s="96">
        <f>Amnt_Deposited!B60</f>
        <v>2046</v>
      </c>
      <c r="P65" s="99">
        <f>Amnt_Deposited!H60</f>
        <v>0</v>
      </c>
      <c r="Q65" s="284">
        <f>MCF!R64</f>
        <v>0.8</v>
      </c>
      <c r="R65" s="67">
        <f t="shared" si="13"/>
        <v>0</v>
      </c>
      <c r="S65" s="67">
        <f t="shared" si="7"/>
        <v>0</v>
      </c>
      <c r="T65" s="67">
        <f t="shared" si="8"/>
        <v>0</v>
      </c>
      <c r="U65" s="67">
        <f t="shared" si="9"/>
        <v>0.47704305483306125</v>
      </c>
      <c r="V65" s="67">
        <f t="shared" si="10"/>
        <v>3.4589524285900709E-2</v>
      </c>
      <c r="W65" s="100">
        <f t="shared" si="11"/>
        <v>2.3059682857267137E-2</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0.4058726964918028</v>
      </c>
      <c r="J66" s="67">
        <f t="shared" si="4"/>
        <v>2.9429091043365208E-2</v>
      </c>
      <c r="K66" s="100">
        <f t="shared" si="6"/>
        <v>1.9619394028910137E-2</v>
      </c>
      <c r="O66" s="96">
        <f>Amnt_Deposited!B61</f>
        <v>2047</v>
      </c>
      <c r="P66" s="99">
        <f>Amnt_Deposited!H61</f>
        <v>0</v>
      </c>
      <c r="Q66" s="284">
        <f>MCF!R65</f>
        <v>0.8</v>
      </c>
      <c r="R66" s="67">
        <f t="shared" si="13"/>
        <v>0</v>
      </c>
      <c r="S66" s="67">
        <f t="shared" si="7"/>
        <v>0</v>
      </c>
      <c r="T66" s="67">
        <f t="shared" si="8"/>
        <v>0</v>
      </c>
      <c r="U66" s="67">
        <f t="shared" si="9"/>
        <v>0.44479199615540072</v>
      </c>
      <c r="V66" s="67">
        <f t="shared" si="10"/>
        <v>3.2251058677660531E-2</v>
      </c>
      <c r="W66" s="100">
        <f t="shared" si="11"/>
        <v>2.1500705785107019E-2</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0.37843319387751956</v>
      </c>
      <c r="J67" s="67">
        <f t="shared" si="4"/>
        <v>2.7439502614283216E-2</v>
      </c>
      <c r="K67" s="100">
        <f t="shared" si="6"/>
        <v>1.8293001742855475E-2</v>
      </c>
      <c r="O67" s="96">
        <f>Amnt_Deposited!B62</f>
        <v>2048</v>
      </c>
      <c r="P67" s="99">
        <f>Amnt_Deposited!H62</f>
        <v>0</v>
      </c>
      <c r="Q67" s="284">
        <f>MCF!R66</f>
        <v>0.8</v>
      </c>
      <c r="R67" s="67">
        <f t="shared" si="13"/>
        <v>0</v>
      </c>
      <c r="S67" s="67">
        <f t="shared" si="7"/>
        <v>0</v>
      </c>
      <c r="T67" s="67">
        <f t="shared" si="8"/>
        <v>0</v>
      </c>
      <c r="U67" s="67">
        <f t="shared" si="9"/>
        <v>0.41472130835892596</v>
      </c>
      <c r="V67" s="67">
        <f t="shared" si="10"/>
        <v>3.0070687796474784E-2</v>
      </c>
      <c r="W67" s="100">
        <f t="shared" si="11"/>
        <v>2.0047125197649854E-2</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0.35284877121866876</v>
      </c>
      <c r="J68" s="67">
        <f t="shared" si="4"/>
        <v>2.5584422658850782E-2</v>
      </c>
      <c r="K68" s="100">
        <f t="shared" si="6"/>
        <v>1.7056281772567187E-2</v>
      </c>
      <c r="O68" s="96">
        <f>Amnt_Deposited!B63</f>
        <v>2049</v>
      </c>
      <c r="P68" s="99">
        <f>Amnt_Deposited!H63</f>
        <v>0</v>
      </c>
      <c r="Q68" s="284">
        <f>MCF!R67</f>
        <v>0.8</v>
      </c>
      <c r="R68" s="67">
        <f t="shared" si="13"/>
        <v>0</v>
      </c>
      <c r="S68" s="67">
        <f t="shared" si="7"/>
        <v>0</v>
      </c>
      <c r="T68" s="67">
        <f t="shared" si="8"/>
        <v>0</v>
      </c>
      <c r="U68" s="67">
        <f t="shared" si="9"/>
        <v>0.38668358489717164</v>
      </c>
      <c r="V68" s="67">
        <f t="shared" si="10"/>
        <v>2.8037723461754309E-2</v>
      </c>
      <c r="W68" s="100">
        <f t="shared" si="11"/>
        <v>1.8691815641169538E-2</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0.32899401364569458</v>
      </c>
      <c r="J69" s="67">
        <f t="shared" si="4"/>
        <v>2.3854757572974176E-2</v>
      </c>
      <c r="K69" s="100">
        <f t="shared" si="6"/>
        <v>1.5903171715316116E-2</v>
      </c>
      <c r="O69" s="96">
        <f>Amnt_Deposited!B64</f>
        <v>2050</v>
      </c>
      <c r="P69" s="99">
        <f>Amnt_Deposited!H64</f>
        <v>0</v>
      </c>
      <c r="Q69" s="284">
        <f>MCF!R68</f>
        <v>0.8</v>
      </c>
      <c r="R69" s="67">
        <f t="shared" si="13"/>
        <v>0</v>
      </c>
      <c r="S69" s="67">
        <f t="shared" si="7"/>
        <v>0</v>
      </c>
      <c r="T69" s="67">
        <f t="shared" si="8"/>
        <v>0</v>
      </c>
      <c r="U69" s="67">
        <f t="shared" si="9"/>
        <v>0.36054138481719994</v>
      </c>
      <c r="V69" s="67">
        <f t="shared" si="10"/>
        <v>2.6142200079971725E-2</v>
      </c>
      <c r="W69" s="100">
        <f t="shared" si="11"/>
        <v>1.7428133386647816E-2</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0.30675198510929885</v>
      </c>
      <c r="J70" s="67">
        <f t="shared" si="4"/>
        <v>2.2242028536395741E-2</v>
      </c>
      <c r="K70" s="100">
        <f t="shared" si="6"/>
        <v>1.4828019024263827E-2</v>
      </c>
      <c r="O70" s="96">
        <f>Amnt_Deposited!B65</f>
        <v>2051</v>
      </c>
      <c r="P70" s="99">
        <f>Amnt_Deposited!H65</f>
        <v>0</v>
      </c>
      <c r="Q70" s="284">
        <f>MCF!R69</f>
        <v>0.8</v>
      </c>
      <c r="R70" s="67">
        <f t="shared" si="13"/>
        <v>0</v>
      </c>
      <c r="S70" s="67">
        <f t="shared" si="7"/>
        <v>0</v>
      </c>
      <c r="T70" s="67">
        <f t="shared" si="8"/>
        <v>0</v>
      </c>
      <c r="U70" s="67">
        <f t="shared" si="9"/>
        <v>0.33616655902388953</v>
      </c>
      <c r="V70" s="67">
        <f t="shared" si="10"/>
        <v>2.4374825793310427E-2</v>
      </c>
      <c r="W70" s="100">
        <f t="shared" si="11"/>
        <v>1.6249883862206951E-2</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0.28601365515979171</v>
      </c>
      <c r="J71" s="67">
        <f t="shared" si="4"/>
        <v>2.0738329949507132E-2</v>
      </c>
      <c r="K71" s="100">
        <f t="shared" si="6"/>
        <v>1.382555329967142E-2</v>
      </c>
      <c r="O71" s="96">
        <f>Amnt_Deposited!B66</f>
        <v>2052</v>
      </c>
      <c r="P71" s="99">
        <f>Amnt_Deposited!H66</f>
        <v>0</v>
      </c>
      <c r="Q71" s="284">
        <f>MCF!R70</f>
        <v>0.8</v>
      </c>
      <c r="R71" s="67">
        <f t="shared" si="13"/>
        <v>0</v>
      </c>
      <c r="S71" s="67">
        <f t="shared" si="7"/>
        <v>0</v>
      </c>
      <c r="T71" s="67">
        <f t="shared" si="8"/>
        <v>0</v>
      </c>
      <c r="U71" s="67">
        <f t="shared" si="9"/>
        <v>0.31343962209292281</v>
      </c>
      <c r="V71" s="67">
        <f t="shared" si="10"/>
        <v>2.2726936930966744E-2</v>
      </c>
      <c r="W71" s="100">
        <f t="shared" si="11"/>
        <v>1.5151291287311162E-2</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0.26667736447970081</v>
      </c>
      <c r="J72" s="67">
        <f t="shared" si="4"/>
        <v>1.9336290680090885E-2</v>
      </c>
      <c r="K72" s="100">
        <f t="shared" si="6"/>
        <v>1.2890860453393924E-2</v>
      </c>
      <c r="O72" s="96">
        <f>Amnt_Deposited!B67</f>
        <v>2053</v>
      </c>
      <c r="P72" s="99">
        <f>Amnt_Deposited!H67</f>
        <v>0</v>
      </c>
      <c r="Q72" s="284">
        <f>MCF!R71</f>
        <v>0.8</v>
      </c>
      <c r="R72" s="67">
        <f t="shared" si="13"/>
        <v>0</v>
      </c>
      <c r="S72" s="67">
        <f t="shared" si="7"/>
        <v>0</v>
      </c>
      <c r="T72" s="67">
        <f t="shared" si="8"/>
        <v>0</v>
      </c>
      <c r="U72" s="67">
        <f t="shared" si="9"/>
        <v>0.29224916655309713</v>
      </c>
      <c r="V72" s="67">
        <f t="shared" si="10"/>
        <v>2.1190455539825653E-2</v>
      </c>
      <c r="W72" s="100">
        <f t="shared" si="11"/>
        <v>1.4126970359883768E-2</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0.24864832654967908</v>
      </c>
      <c r="J73" s="67">
        <f t="shared" si="4"/>
        <v>1.8029037930021724E-2</v>
      </c>
      <c r="K73" s="100">
        <f t="shared" si="6"/>
        <v>1.2019358620014482E-2</v>
      </c>
      <c r="O73" s="96">
        <f>Amnt_Deposited!B68</f>
        <v>2054</v>
      </c>
      <c r="P73" s="99">
        <f>Amnt_Deposited!H68</f>
        <v>0</v>
      </c>
      <c r="Q73" s="284">
        <f>MCF!R72</f>
        <v>0.8</v>
      </c>
      <c r="R73" s="67">
        <f t="shared" si="13"/>
        <v>0</v>
      </c>
      <c r="S73" s="67">
        <f t="shared" si="7"/>
        <v>0</v>
      </c>
      <c r="T73" s="67">
        <f t="shared" si="8"/>
        <v>0</v>
      </c>
      <c r="U73" s="67">
        <f t="shared" si="9"/>
        <v>0.27249131676677191</v>
      </c>
      <c r="V73" s="67">
        <f t="shared" si="10"/>
        <v>1.9757849786325204E-2</v>
      </c>
      <c r="W73" s="100">
        <f t="shared" si="11"/>
        <v>1.3171899857550136E-2</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0.23183816300487689</v>
      </c>
      <c r="J74" s="67">
        <f t="shared" si="4"/>
        <v>1.6810163544802189E-2</v>
      </c>
      <c r="K74" s="100">
        <f t="shared" si="6"/>
        <v>1.1206775696534792E-2</v>
      </c>
      <c r="O74" s="96">
        <f>Amnt_Deposited!B69</f>
        <v>2055</v>
      </c>
      <c r="P74" s="99">
        <f>Amnt_Deposited!H69</f>
        <v>0</v>
      </c>
      <c r="Q74" s="284">
        <f>MCF!R73</f>
        <v>0.8</v>
      </c>
      <c r="R74" s="67">
        <f t="shared" si="13"/>
        <v>0</v>
      </c>
      <c r="S74" s="67">
        <f t="shared" si="7"/>
        <v>0</v>
      </c>
      <c r="T74" s="67">
        <f t="shared" si="8"/>
        <v>0</v>
      </c>
      <c r="U74" s="67">
        <f t="shared" si="9"/>
        <v>0.25406921973137225</v>
      </c>
      <c r="V74" s="67">
        <f t="shared" si="10"/>
        <v>1.8422097035399678E-2</v>
      </c>
      <c r="W74" s="100">
        <f t="shared" si="11"/>
        <v>1.2281398023599784E-2</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0.21616447040409506</v>
      </c>
      <c r="J75" s="67">
        <f t="shared" si="4"/>
        <v>1.5673692600781827E-2</v>
      </c>
      <c r="K75" s="100">
        <f t="shared" si="6"/>
        <v>1.0449128400521217E-2</v>
      </c>
      <c r="O75" s="96">
        <f>Amnt_Deposited!B70</f>
        <v>2056</v>
      </c>
      <c r="P75" s="99">
        <f>Amnt_Deposited!H70</f>
        <v>0</v>
      </c>
      <c r="Q75" s="284">
        <f>MCF!R74</f>
        <v>0.8</v>
      </c>
      <c r="R75" s="67">
        <f t="shared" si="13"/>
        <v>0</v>
      </c>
      <c r="S75" s="67">
        <f t="shared" si="7"/>
        <v>0</v>
      </c>
      <c r="T75" s="67">
        <f t="shared" si="8"/>
        <v>0</v>
      </c>
      <c r="U75" s="67">
        <f t="shared" si="9"/>
        <v>0.23689257030585789</v>
      </c>
      <c r="V75" s="67">
        <f t="shared" si="10"/>
        <v>1.7176649425514352E-2</v>
      </c>
      <c r="W75" s="100">
        <f t="shared" si="11"/>
        <v>1.1451099617009568E-2</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0.20155041628802051</v>
      </c>
      <c r="J76" s="67">
        <f t="shared" si="4"/>
        <v>1.4614054116074564E-2</v>
      </c>
      <c r="K76" s="100">
        <f t="shared" si="6"/>
        <v>9.7427027440497097E-3</v>
      </c>
      <c r="O76" s="96">
        <f>Amnt_Deposited!B71</f>
        <v>2057</v>
      </c>
      <c r="P76" s="99">
        <f>Amnt_Deposited!H71</f>
        <v>0</v>
      </c>
      <c r="Q76" s="284">
        <f>MCF!R75</f>
        <v>0.8</v>
      </c>
      <c r="R76" s="67">
        <f t="shared" si="13"/>
        <v>0</v>
      </c>
      <c r="S76" s="67">
        <f t="shared" si="7"/>
        <v>0</v>
      </c>
      <c r="T76" s="67">
        <f t="shared" si="8"/>
        <v>0</v>
      </c>
      <c r="U76" s="67">
        <f t="shared" si="9"/>
        <v>0.22087716853481726</v>
      </c>
      <c r="V76" s="67">
        <f t="shared" si="10"/>
        <v>1.601540177104064E-2</v>
      </c>
      <c r="W76" s="100">
        <f t="shared" si="11"/>
        <v>1.0676934514027092E-2</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0.1879243625464215</v>
      </c>
      <c r="J77" s="67">
        <f t="shared" si="4"/>
        <v>1.362605374159901E-2</v>
      </c>
      <c r="K77" s="100">
        <f t="shared" si="6"/>
        <v>9.0840358277326731E-3</v>
      </c>
      <c r="O77" s="96">
        <f>Amnt_Deposited!B72</f>
        <v>2058</v>
      </c>
      <c r="P77" s="99">
        <f>Amnt_Deposited!H72</f>
        <v>0</v>
      </c>
      <c r="Q77" s="284">
        <f>MCF!R76</f>
        <v>0.8</v>
      </c>
      <c r="R77" s="67">
        <f t="shared" si="13"/>
        <v>0</v>
      </c>
      <c r="S77" s="67">
        <f t="shared" si="7"/>
        <v>0</v>
      </c>
      <c r="T77" s="67">
        <f t="shared" si="8"/>
        <v>0</v>
      </c>
      <c r="U77" s="67">
        <f t="shared" si="9"/>
        <v>0.2059445069001882</v>
      </c>
      <c r="V77" s="67">
        <f t="shared" si="10"/>
        <v>1.4932661634629071E-2</v>
      </c>
      <c r="W77" s="100">
        <f t="shared" si="11"/>
        <v>9.9551077564193798E-3</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0.17521951424804827</v>
      </c>
      <c r="J78" s="67">
        <f t="shared" si="4"/>
        <v>1.2704848298373241E-2</v>
      </c>
      <c r="K78" s="100">
        <f t="shared" si="6"/>
        <v>8.4698988655821598E-3</v>
      </c>
      <c r="O78" s="96">
        <f>Amnt_Deposited!B73</f>
        <v>2059</v>
      </c>
      <c r="P78" s="99">
        <f>Amnt_Deposited!H73</f>
        <v>0</v>
      </c>
      <c r="Q78" s="284">
        <f>MCF!R77</f>
        <v>0.8</v>
      </c>
      <c r="R78" s="67">
        <f t="shared" si="13"/>
        <v>0</v>
      </c>
      <c r="S78" s="67">
        <f t="shared" si="7"/>
        <v>0</v>
      </c>
      <c r="T78" s="67">
        <f t="shared" si="8"/>
        <v>0</v>
      </c>
      <c r="U78" s="67">
        <f t="shared" si="9"/>
        <v>0.1920213854773134</v>
      </c>
      <c r="V78" s="67">
        <f t="shared" si="10"/>
        <v>1.3923121422874801E-2</v>
      </c>
      <c r="W78" s="100">
        <f t="shared" si="11"/>
        <v>9.2820809485831997E-3</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0.16337359221180245</v>
      </c>
      <c r="J79" s="67">
        <f t="shared" si="4"/>
        <v>1.1845922036245814E-2</v>
      </c>
      <c r="K79" s="100">
        <f t="shared" si="6"/>
        <v>7.897281357497208E-3</v>
      </c>
      <c r="O79" s="96">
        <f>Amnt_Deposited!B74</f>
        <v>2060</v>
      </c>
      <c r="P79" s="99">
        <f>Amnt_Deposited!H74</f>
        <v>0</v>
      </c>
      <c r="Q79" s="284">
        <f>MCF!R78</f>
        <v>0.8</v>
      </c>
      <c r="R79" s="67">
        <f t="shared" si="13"/>
        <v>0</v>
      </c>
      <c r="S79" s="67">
        <f t="shared" si="7"/>
        <v>0</v>
      </c>
      <c r="T79" s="67">
        <f t="shared" si="8"/>
        <v>0</v>
      </c>
      <c r="U79" s="67">
        <f t="shared" si="9"/>
        <v>0.17903955310882483</v>
      </c>
      <c r="V79" s="67">
        <f t="shared" si="10"/>
        <v>1.2981832368488579E-2</v>
      </c>
      <c r="W79" s="100">
        <f t="shared" si="11"/>
        <v>8.6545549123257185E-3</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0.15232852771411917</v>
      </c>
      <c r="J80" s="67">
        <f t="shared" si="4"/>
        <v>1.1045064497683284E-2</v>
      </c>
      <c r="K80" s="100">
        <f t="shared" si="6"/>
        <v>7.3633763317888555E-3</v>
      </c>
      <c r="O80" s="96">
        <f>Amnt_Deposited!B75</f>
        <v>2061</v>
      </c>
      <c r="P80" s="99">
        <f>Amnt_Deposited!H75</f>
        <v>0</v>
      </c>
      <c r="Q80" s="284">
        <f>MCF!R79</f>
        <v>0.8</v>
      </c>
      <c r="R80" s="67">
        <f t="shared" si="13"/>
        <v>0</v>
      </c>
      <c r="S80" s="67">
        <f t="shared" si="7"/>
        <v>0</v>
      </c>
      <c r="T80" s="67">
        <f t="shared" si="8"/>
        <v>0</v>
      </c>
      <c r="U80" s="67">
        <f t="shared" si="9"/>
        <v>0.16693537283739107</v>
      </c>
      <c r="V80" s="67">
        <f t="shared" si="10"/>
        <v>1.210418027143375E-2</v>
      </c>
      <c r="W80" s="100">
        <f t="shared" si="11"/>
        <v>8.0694535142891658E-3</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0.14203017783601668</v>
      </c>
      <c r="J81" s="67">
        <f t="shared" si="4"/>
        <v>1.029834987810249E-2</v>
      </c>
      <c r="K81" s="100">
        <f t="shared" si="6"/>
        <v>6.8655665854016595E-3</v>
      </c>
      <c r="O81" s="96">
        <f>Amnt_Deposited!B76</f>
        <v>2062</v>
      </c>
      <c r="P81" s="99">
        <f>Amnt_Deposited!H76</f>
        <v>0</v>
      </c>
      <c r="Q81" s="284">
        <f>MCF!R80</f>
        <v>0.8</v>
      </c>
      <c r="R81" s="67">
        <f t="shared" si="13"/>
        <v>0</v>
      </c>
      <c r="S81" s="67">
        <f t="shared" si="7"/>
        <v>0</v>
      </c>
      <c r="T81" s="67">
        <f t="shared" si="8"/>
        <v>0</v>
      </c>
      <c r="U81" s="67">
        <f t="shared" si="9"/>
        <v>0.15564950995727875</v>
      </c>
      <c r="V81" s="67">
        <f t="shared" si="10"/>
        <v>1.1285862880112331E-2</v>
      </c>
      <c r="W81" s="100">
        <f t="shared" si="11"/>
        <v>7.5239085867415539E-3</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0.13242806005444474</v>
      </c>
      <c r="J82" s="67">
        <f t="shared" si="4"/>
        <v>9.6021177815719377E-3</v>
      </c>
      <c r="K82" s="100">
        <f t="shared" si="6"/>
        <v>6.4014118543812915E-3</v>
      </c>
      <c r="O82" s="96">
        <f>Amnt_Deposited!B77</f>
        <v>2063</v>
      </c>
      <c r="P82" s="99">
        <f>Amnt_Deposited!H77</f>
        <v>0</v>
      </c>
      <c r="Q82" s="284">
        <f>MCF!R81</f>
        <v>0.8</v>
      </c>
      <c r="R82" s="67">
        <f t="shared" si="13"/>
        <v>0</v>
      </c>
      <c r="S82" s="67">
        <f t="shared" si="7"/>
        <v>0</v>
      </c>
      <c r="T82" s="67">
        <f t="shared" si="8"/>
        <v>0</v>
      </c>
      <c r="U82" s="67">
        <f t="shared" si="9"/>
        <v>0.14512664115555607</v>
      </c>
      <c r="V82" s="67">
        <f t="shared" si="10"/>
        <v>1.0522868801722684E-2</v>
      </c>
      <c r="W82" s="100">
        <f t="shared" si="11"/>
        <v>7.0152458678151225E-3</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0.12347510477689805</v>
      </c>
      <c r="J83" s="67">
        <f t="shared" ref="J83:J99" si="18">I82*(1-$K$10)+H83</f>
        <v>8.952955277546689E-3</v>
      </c>
      <c r="K83" s="100">
        <f t="shared" si="6"/>
        <v>5.9686368516977924E-3</v>
      </c>
      <c r="O83" s="96">
        <f>Amnt_Deposited!B78</f>
        <v>2064</v>
      </c>
      <c r="P83" s="99">
        <f>Amnt_Deposited!H78</f>
        <v>0</v>
      </c>
      <c r="Q83" s="284">
        <f>MCF!R82</f>
        <v>0.8</v>
      </c>
      <c r="R83" s="67">
        <f t="shared" ref="R83:R99" si="19">P83*$W$6*DOCF*Q83</f>
        <v>0</v>
      </c>
      <c r="S83" s="67">
        <f t="shared" si="7"/>
        <v>0</v>
      </c>
      <c r="T83" s="67">
        <f t="shared" si="8"/>
        <v>0</v>
      </c>
      <c r="U83" s="67">
        <f t="shared" si="9"/>
        <v>0.13531518331714873</v>
      </c>
      <c r="V83" s="67">
        <f t="shared" si="10"/>
        <v>9.8114578384073427E-3</v>
      </c>
      <c r="W83" s="100">
        <f t="shared" si="11"/>
        <v>6.5409718922715618E-3</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0.11512742460621918</v>
      </c>
      <c r="J84" s="67">
        <f t="shared" si="18"/>
        <v>8.3476801706788752E-3</v>
      </c>
      <c r="K84" s="100">
        <f t="shared" si="6"/>
        <v>5.5651201137859162E-3</v>
      </c>
      <c r="O84" s="96">
        <f>Amnt_Deposited!B79</f>
        <v>2065</v>
      </c>
      <c r="P84" s="99">
        <f>Amnt_Deposited!H79</f>
        <v>0</v>
      </c>
      <c r="Q84" s="284">
        <f>MCF!R83</f>
        <v>0.8</v>
      </c>
      <c r="R84" s="67">
        <f t="shared" si="19"/>
        <v>0</v>
      </c>
      <c r="S84" s="67">
        <f t="shared" si="7"/>
        <v>0</v>
      </c>
      <c r="T84" s="67">
        <f t="shared" si="8"/>
        <v>0</v>
      </c>
      <c r="U84" s="67">
        <f t="shared" si="9"/>
        <v>0.12616704066434994</v>
      </c>
      <c r="V84" s="67">
        <f t="shared" si="10"/>
        <v>9.14814265279878E-3</v>
      </c>
      <c r="W84" s="100">
        <f t="shared" si="11"/>
        <v>6.09876176853252E-3</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0.10734409920452677</v>
      </c>
      <c r="J85" s="67">
        <f t="shared" si="18"/>
        <v>7.7833254016924161E-3</v>
      </c>
      <c r="K85" s="100">
        <f t="shared" ref="K85:K99" si="20">J85*CH4_fraction*conv</f>
        <v>5.1888836011282774E-3</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0.11763736899126236</v>
      </c>
      <c r="V85" s="67">
        <f t="shared" ref="V85:V98" si="24">U84*(1-$W$10)+T85</f>
        <v>8.52967167308759E-3</v>
      </c>
      <c r="W85" s="100">
        <f t="shared" ref="W85:W99" si="25">V85*CH4_fraction*conv</f>
        <v>5.6864477820583927E-3</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0.10008697470167177</v>
      </c>
      <c r="J86" s="67">
        <f t="shared" si="18"/>
        <v>7.2571245028549914E-3</v>
      </c>
      <c r="K86" s="100">
        <f t="shared" si="20"/>
        <v>4.8380830019033273E-3</v>
      </c>
      <c r="O86" s="96">
        <f>Amnt_Deposited!B81</f>
        <v>2067</v>
      </c>
      <c r="P86" s="99">
        <f>Amnt_Deposited!H81</f>
        <v>0</v>
      </c>
      <c r="Q86" s="284">
        <f>MCF!R85</f>
        <v>0.8</v>
      </c>
      <c r="R86" s="67">
        <f t="shared" si="19"/>
        <v>0</v>
      </c>
      <c r="S86" s="67">
        <f t="shared" si="21"/>
        <v>0</v>
      </c>
      <c r="T86" s="67">
        <f t="shared" si="22"/>
        <v>0</v>
      </c>
      <c r="U86" s="67">
        <f t="shared" si="23"/>
        <v>0.10968435583744866</v>
      </c>
      <c r="V86" s="67">
        <f t="shared" si="24"/>
        <v>7.9530131538136997E-3</v>
      </c>
      <c r="W86" s="100">
        <f t="shared" si="25"/>
        <v>5.3020087692091326E-3</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9.3320476664921756E-2</v>
      </c>
      <c r="J87" s="67">
        <f t="shared" si="18"/>
        <v>6.7664980367500207E-3</v>
      </c>
      <c r="K87" s="100">
        <f t="shared" si="20"/>
        <v>4.5109986911666799E-3</v>
      </c>
      <c r="O87" s="96">
        <f>Amnt_Deposited!B82</f>
        <v>2068</v>
      </c>
      <c r="P87" s="99">
        <f>Amnt_Deposited!H82</f>
        <v>0</v>
      </c>
      <c r="Q87" s="284">
        <f>MCF!R86</f>
        <v>0.8</v>
      </c>
      <c r="R87" s="67">
        <f t="shared" si="19"/>
        <v>0</v>
      </c>
      <c r="S87" s="67">
        <f t="shared" si="21"/>
        <v>0</v>
      </c>
      <c r="T87" s="67">
        <f t="shared" si="22"/>
        <v>0</v>
      </c>
      <c r="U87" s="67">
        <f t="shared" si="23"/>
        <v>0.10226901552320206</v>
      </c>
      <c r="V87" s="67">
        <f t="shared" si="24"/>
        <v>7.4153403142466082E-3</v>
      </c>
      <c r="W87" s="100">
        <f t="shared" si="25"/>
        <v>4.9435602094977382E-3</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8.7011435713050297E-2</v>
      </c>
      <c r="J88" s="67">
        <f t="shared" si="18"/>
        <v>6.3090409518714516E-3</v>
      </c>
      <c r="K88" s="100">
        <f t="shared" si="20"/>
        <v>4.2060273012476338E-3</v>
      </c>
      <c r="O88" s="96">
        <f>Amnt_Deposited!B83</f>
        <v>2069</v>
      </c>
      <c r="P88" s="99">
        <f>Amnt_Deposited!H83</f>
        <v>0</v>
      </c>
      <c r="Q88" s="284">
        <f>MCF!R87</f>
        <v>0.8</v>
      </c>
      <c r="R88" s="67">
        <f t="shared" si="19"/>
        <v>0</v>
      </c>
      <c r="S88" s="67">
        <f t="shared" si="21"/>
        <v>0</v>
      </c>
      <c r="T88" s="67">
        <f t="shared" si="22"/>
        <v>0</v>
      </c>
      <c r="U88" s="67">
        <f t="shared" si="23"/>
        <v>9.5354998041699085E-2</v>
      </c>
      <c r="V88" s="67">
        <f t="shared" si="24"/>
        <v>6.91401748150297E-3</v>
      </c>
      <c r="W88" s="100">
        <f t="shared" si="25"/>
        <v>4.6093449876686461E-3</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8.112892491999181E-2</v>
      </c>
      <c r="J89" s="67">
        <f t="shared" si="18"/>
        <v>5.8825107930584822E-3</v>
      </c>
      <c r="K89" s="100">
        <f t="shared" si="20"/>
        <v>3.9216738620389876E-3</v>
      </c>
      <c r="O89" s="96">
        <f>Amnt_Deposited!B84</f>
        <v>2070</v>
      </c>
      <c r="P89" s="99">
        <f>Amnt_Deposited!H84</f>
        <v>0</v>
      </c>
      <c r="Q89" s="284">
        <f>MCF!R88</f>
        <v>0.8</v>
      </c>
      <c r="R89" s="67">
        <f t="shared" si="19"/>
        <v>0</v>
      </c>
      <c r="S89" s="67">
        <f t="shared" si="21"/>
        <v>0</v>
      </c>
      <c r="T89" s="67">
        <f t="shared" si="22"/>
        <v>0</v>
      </c>
      <c r="U89" s="67">
        <f t="shared" si="23"/>
        <v>8.8908410871224031E-2</v>
      </c>
      <c r="V89" s="67">
        <f t="shared" si="24"/>
        <v>6.4465871704750578E-3</v>
      </c>
      <c r="W89" s="100">
        <f t="shared" si="25"/>
        <v>4.2977247803167046E-3</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7.5644108211014041E-2</v>
      </c>
      <c r="J90" s="67">
        <f t="shared" si="18"/>
        <v>5.4848167089777671E-3</v>
      </c>
      <c r="K90" s="100">
        <f t="shared" si="20"/>
        <v>3.6565444726518446E-3</v>
      </c>
      <c r="O90" s="96">
        <f>Amnt_Deposited!B85</f>
        <v>2071</v>
      </c>
      <c r="P90" s="99">
        <f>Amnt_Deposited!H85</f>
        <v>0</v>
      </c>
      <c r="Q90" s="284">
        <f>MCF!R89</f>
        <v>0.8</v>
      </c>
      <c r="R90" s="67">
        <f t="shared" si="19"/>
        <v>0</v>
      </c>
      <c r="S90" s="67">
        <f t="shared" si="21"/>
        <v>0</v>
      </c>
      <c r="T90" s="67">
        <f t="shared" si="22"/>
        <v>0</v>
      </c>
      <c r="U90" s="67">
        <f t="shared" si="23"/>
        <v>8.2897652833988117E-2</v>
      </c>
      <c r="V90" s="67">
        <f t="shared" si="24"/>
        <v>6.0107580372359181E-3</v>
      </c>
      <c r="W90" s="100">
        <f t="shared" si="25"/>
        <v>4.0071720248239448E-3</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7.0530099008246291E-2</v>
      </c>
      <c r="J91" s="67">
        <f t="shared" si="18"/>
        <v>5.1140092027677523E-3</v>
      </c>
      <c r="K91" s="100">
        <f t="shared" si="20"/>
        <v>3.4093394685118347E-3</v>
      </c>
      <c r="O91" s="96">
        <f>Amnt_Deposited!B86</f>
        <v>2072</v>
      </c>
      <c r="P91" s="99">
        <f>Amnt_Deposited!H86</f>
        <v>0</v>
      </c>
      <c r="Q91" s="284">
        <f>MCF!R90</f>
        <v>0.8</v>
      </c>
      <c r="R91" s="67">
        <f t="shared" si="19"/>
        <v>0</v>
      </c>
      <c r="S91" s="67">
        <f t="shared" si="21"/>
        <v>0</v>
      </c>
      <c r="T91" s="67">
        <f t="shared" si="22"/>
        <v>0</v>
      </c>
      <c r="U91" s="67">
        <f t="shared" si="23"/>
        <v>7.7293259187119337E-2</v>
      </c>
      <c r="V91" s="67">
        <f t="shared" si="24"/>
        <v>5.6043936468687782E-3</v>
      </c>
      <c r="W91" s="100">
        <f t="shared" si="25"/>
        <v>3.7362624312458521E-3</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6.5761828432643499E-2</v>
      </c>
      <c r="J92" s="67">
        <f t="shared" si="18"/>
        <v>4.7682705756027979E-3</v>
      </c>
      <c r="K92" s="100">
        <f t="shared" si="20"/>
        <v>3.1788470504018652E-3</v>
      </c>
      <c r="O92" s="96">
        <f>Amnt_Deposited!B87</f>
        <v>2073</v>
      </c>
      <c r="P92" s="99">
        <f>Amnt_Deposited!H87</f>
        <v>0</v>
      </c>
      <c r="Q92" s="284">
        <f>MCF!R91</f>
        <v>0.8</v>
      </c>
      <c r="R92" s="67">
        <f t="shared" si="19"/>
        <v>0</v>
      </c>
      <c r="S92" s="67">
        <f t="shared" si="21"/>
        <v>0</v>
      </c>
      <c r="T92" s="67">
        <f t="shared" si="22"/>
        <v>0</v>
      </c>
      <c r="U92" s="67">
        <f t="shared" si="23"/>
        <v>7.2067757186458734E-2</v>
      </c>
      <c r="V92" s="67">
        <f t="shared" si="24"/>
        <v>5.2255020006606078E-3</v>
      </c>
      <c r="W92" s="100">
        <f t="shared" si="25"/>
        <v>3.4836680004404052E-3</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6.131592241631207E-2</v>
      </c>
      <c r="J93" s="67">
        <f t="shared" si="18"/>
        <v>4.4459060163314279E-3</v>
      </c>
      <c r="K93" s="100">
        <f t="shared" si="20"/>
        <v>2.9639373442209519E-3</v>
      </c>
      <c r="O93" s="96">
        <f>Amnt_Deposited!B88</f>
        <v>2074</v>
      </c>
      <c r="P93" s="99">
        <f>Amnt_Deposited!H88</f>
        <v>0</v>
      </c>
      <c r="Q93" s="284">
        <f>MCF!R92</f>
        <v>0.8</v>
      </c>
      <c r="R93" s="67">
        <f t="shared" si="19"/>
        <v>0</v>
      </c>
      <c r="S93" s="67">
        <f t="shared" si="21"/>
        <v>0</v>
      </c>
      <c r="T93" s="67">
        <f t="shared" si="22"/>
        <v>0</v>
      </c>
      <c r="U93" s="67">
        <f t="shared" si="23"/>
        <v>6.7195531415136608E-2</v>
      </c>
      <c r="V93" s="67">
        <f t="shared" si="24"/>
        <v>4.8722257713221199E-3</v>
      </c>
      <c r="W93" s="100">
        <f t="shared" si="25"/>
        <v>3.2481505142147463E-3</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5.7170587122801972E-2</v>
      </c>
      <c r="J94" s="67">
        <f t="shared" si="18"/>
        <v>4.1453352935100973E-3</v>
      </c>
      <c r="K94" s="100">
        <f t="shared" si="20"/>
        <v>2.7635568623400647E-3</v>
      </c>
      <c r="O94" s="96">
        <f>Amnt_Deposited!B89</f>
        <v>2075</v>
      </c>
      <c r="P94" s="99">
        <f>Amnt_Deposited!H89</f>
        <v>0</v>
      </c>
      <c r="Q94" s="284">
        <f>MCF!R93</f>
        <v>0.8</v>
      </c>
      <c r="R94" s="67">
        <f t="shared" si="19"/>
        <v>0</v>
      </c>
      <c r="S94" s="67">
        <f t="shared" si="21"/>
        <v>0</v>
      </c>
      <c r="T94" s="67">
        <f t="shared" si="22"/>
        <v>0</v>
      </c>
      <c r="U94" s="67">
        <f t="shared" si="23"/>
        <v>6.2652698216769373E-2</v>
      </c>
      <c r="V94" s="67">
        <f t="shared" si="24"/>
        <v>4.5428331983672363E-3</v>
      </c>
      <c r="W94" s="100">
        <f t="shared" si="25"/>
        <v>3.0285554655781572E-3</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5.3305502113695148E-2</v>
      </c>
      <c r="J95" s="67">
        <f t="shared" si="18"/>
        <v>3.8650850091068245E-3</v>
      </c>
      <c r="K95" s="100">
        <f t="shared" si="20"/>
        <v>2.5767233394045496E-3</v>
      </c>
      <c r="O95" s="96">
        <f>Amnt_Deposited!B90</f>
        <v>2076</v>
      </c>
      <c r="P95" s="99">
        <f>Amnt_Deposited!H90</f>
        <v>0</v>
      </c>
      <c r="Q95" s="284">
        <f>MCF!R94</f>
        <v>0.8</v>
      </c>
      <c r="R95" s="67">
        <f t="shared" si="19"/>
        <v>0</v>
      </c>
      <c r="S95" s="67">
        <f t="shared" si="21"/>
        <v>0</v>
      </c>
      <c r="T95" s="67">
        <f t="shared" si="22"/>
        <v>0</v>
      </c>
      <c r="U95" s="67">
        <f t="shared" si="23"/>
        <v>5.8416988617748189E-2</v>
      </c>
      <c r="V95" s="67">
        <f t="shared" si="24"/>
        <v>4.235709599021184E-3</v>
      </c>
      <c r="W95" s="100">
        <f t="shared" si="25"/>
        <v>2.823806399347456E-3</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4.9701720737792818E-2</v>
      </c>
      <c r="J96" s="67">
        <f t="shared" si="18"/>
        <v>3.6037813759023291E-3</v>
      </c>
      <c r="K96" s="100">
        <f t="shared" si="20"/>
        <v>2.4025209172682193E-3</v>
      </c>
      <c r="O96" s="96">
        <f>Amnt_Deposited!B91</f>
        <v>2077</v>
      </c>
      <c r="P96" s="99">
        <f>Amnt_Deposited!H91</f>
        <v>0</v>
      </c>
      <c r="Q96" s="284">
        <f>MCF!R95</f>
        <v>0.8</v>
      </c>
      <c r="R96" s="67">
        <f t="shared" si="19"/>
        <v>0</v>
      </c>
      <c r="S96" s="67">
        <f t="shared" si="21"/>
        <v>0</v>
      </c>
      <c r="T96" s="67">
        <f t="shared" si="22"/>
        <v>0</v>
      </c>
      <c r="U96" s="67">
        <f t="shared" si="23"/>
        <v>5.4467639164704533E-2</v>
      </c>
      <c r="V96" s="67">
        <f t="shared" si="24"/>
        <v>3.9493494530436542E-3</v>
      </c>
      <c r="W96" s="100">
        <f t="shared" si="25"/>
        <v>2.632899635362436E-3</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4.6341577254609329E-2</v>
      </c>
      <c r="J97" s="67">
        <f t="shared" si="18"/>
        <v>3.3601434831834866E-3</v>
      </c>
      <c r="K97" s="100">
        <f t="shared" si="20"/>
        <v>2.2400956554556577E-3</v>
      </c>
      <c r="O97" s="96">
        <f>Amnt_Deposited!B92</f>
        <v>2078</v>
      </c>
      <c r="P97" s="99">
        <f>Amnt_Deposited!H92</f>
        <v>0</v>
      </c>
      <c r="Q97" s="284">
        <f>MCF!R96</f>
        <v>0.8</v>
      </c>
      <c r="R97" s="67">
        <f t="shared" si="19"/>
        <v>0</v>
      </c>
      <c r="S97" s="67">
        <f t="shared" si="21"/>
        <v>0</v>
      </c>
      <c r="T97" s="67">
        <f t="shared" si="22"/>
        <v>0</v>
      </c>
      <c r="U97" s="67">
        <f t="shared" si="23"/>
        <v>5.0785290142037691E-2</v>
      </c>
      <c r="V97" s="67">
        <f t="shared" si="24"/>
        <v>3.6823490226668399E-3</v>
      </c>
      <c r="W97" s="100">
        <f t="shared" si="25"/>
        <v>2.4548993484445596E-3</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4.3208600236891798E-2</v>
      </c>
      <c r="J98" s="67">
        <f t="shared" si="18"/>
        <v>3.1329770177175296E-3</v>
      </c>
      <c r="K98" s="100">
        <f t="shared" si="20"/>
        <v>2.0886513451450197E-3</v>
      </c>
      <c r="O98" s="96">
        <f>Amnt_Deposited!B93</f>
        <v>2079</v>
      </c>
      <c r="P98" s="99">
        <f>Amnt_Deposited!H93</f>
        <v>0</v>
      </c>
      <c r="Q98" s="284">
        <f>MCF!R97</f>
        <v>0.8</v>
      </c>
      <c r="R98" s="67">
        <f t="shared" si="19"/>
        <v>0</v>
      </c>
      <c r="S98" s="67">
        <f t="shared" si="21"/>
        <v>0</v>
      </c>
      <c r="T98" s="67">
        <f t="shared" si="22"/>
        <v>0</v>
      </c>
      <c r="U98" s="67">
        <f t="shared" si="23"/>
        <v>4.7351890670566422E-2</v>
      </c>
      <c r="V98" s="67">
        <f t="shared" si="24"/>
        <v>3.4333994714712698E-3</v>
      </c>
      <c r="W98" s="100">
        <f t="shared" si="25"/>
        <v>2.2889329809808465E-3</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4.0287431827664602E-2</v>
      </c>
      <c r="J99" s="68">
        <f t="shared" si="18"/>
        <v>2.921168409227193E-3</v>
      </c>
      <c r="K99" s="102">
        <f t="shared" si="20"/>
        <v>1.9474456061514618E-3</v>
      </c>
      <c r="O99" s="97">
        <f>Amnt_Deposited!B94</f>
        <v>2080</v>
      </c>
      <c r="P99" s="101">
        <f>Amnt_Deposited!H94</f>
        <v>0</v>
      </c>
      <c r="Q99" s="285">
        <f>MCF!R98</f>
        <v>0.8</v>
      </c>
      <c r="R99" s="68">
        <f t="shared" si="19"/>
        <v>0</v>
      </c>
      <c r="S99" s="68">
        <f>R99*$W$12</f>
        <v>0</v>
      </c>
      <c r="T99" s="68">
        <f>R99*(1-$W$12)</f>
        <v>0</v>
      </c>
      <c r="U99" s="68">
        <f>S99+U98*$W$10</f>
        <v>4.4150610222098263E-2</v>
      </c>
      <c r="V99" s="68">
        <f>U98*(1-$W$10)+T99</f>
        <v>3.2012804484681614E-3</v>
      </c>
      <c r="W99" s="102">
        <f t="shared" si="25"/>
        <v>2.1341869656454409E-3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1" activePane="bottomRight" state="frozen"/>
      <selection pane="topRight"/>
      <selection pane="bottomLeft"/>
      <selection pane="bottomRight" activeCell="F21" sqref="F21"/>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91" t="s">
        <v>342</v>
      </c>
      <c r="E2" s="792"/>
      <c r="F2" s="793"/>
    </row>
    <row r="3" spans="1:18" ht="16.5" thickBot="1">
      <c r="B3" s="12"/>
      <c r="C3" s="5" t="s">
        <v>276</v>
      </c>
      <c r="D3" s="791" t="s">
        <v>337</v>
      </c>
      <c r="E3" s="792"/>
      <c r="F3" s="793"/>
    </row>
    <row r="4" spans="1:18" ht="16.5" thickBot="1">
      <c r="B4" s="12"/>
      <c r="C4" s="5" t="s">
        <v>30</v>
      </c>
      <c r="D4" s="791" t="s">
        <v>266</v>
      </c>
      <c r="E4" s="792"/>
      <c r="F4" s="793"/>
    </row>
    <row r="5" spans="1:18" ht="16.5" thickBot="1">
      <c r="B5" s="12"/>
      <c r="C5" s="5" t="s">
        <v>117</v>
      </c>
      <c r="D5" s="794"/>
      <c r="E5" s="795"/>
      <c r="F5" s="796"/>
    </row>
    <row r="6" spans="1:18">
      <c r="B6" s="13" t="s">
        <v>201</v>
      </c>
    </row>
    <row r="7" spans="1:18">
      <c r="B7" s="20" t="s">
        <v>31</v>
      </c>
    </row>
    <row r="8" spans="1:18" ht="13.5" thickBot="1">
      <c r="B8" s="20"/>
    </row>
    <row r="9" spans="1:18" ht="12.75" customHeight="1">
      <c r="A9" s="1"/>
      <c r="C9" s="797" t="s">
        <v>18</v>
      </c>
      <c r="D9" s="798"/>
      <c r="E9" s="804" t="s">
        <v>100</v>
      </c>
      <c r="F9" s="805"/>
      <c r="H9" s="797" t="s">
        <v>18</v>
      </c>
      <c r="I9" s="798"/>
      <c r="J9" s="804" t="s">
        <v>100</v>
      </c>
      <c r="K9" s="805"/>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02" t="s">
        <v>250</v>
      </c>
      <c r="D12" s="803"/>
      <c r="E12" s="802" t="s">
        <v>250</v>
      </c>
      <c r="F12" s="803"/>
      <c r="H12" s="802" t="s">
        <v>251</v>
      </c>
      <c r="I12" s="803"/>
      <c r="J12" s="802" t="s">
        <v>251</v>
      </c>
      <c r="K12" s="803"/>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709">
        <f>INDEX(DOC_table,IF(Select2=1,1,14),1)</f>
        <v>0.38</v>
      </c>
      <c r="E15" s="713">
        <f>D15</f>
        <v>0.38</v>
      </c>
      <c r="F15" s="711"/>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709">
        <f>INDEX(DOC_table,IF(Select2=1,2,13),1)</f>
        <v>0.44</v>
      </c>
      <c r="E16" s="713">
        <f t="shared" ref="E16:E25" si="0">D16</f>
        <v>0.44</v>
      </c>
      <c r="F16" s="712"/>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709">
        <f>INDEX(DOC_table,IF(Select2=1,3,15),1)</f>
        <v>0.49</v>
      </c>
      <c r="E17" s="713">
        <f t="shared" si="0"/>
        <v>0.49</v>
      </c>
      <c r="F17" s="712"/>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276">
        <f>IF(Select2=1,INDEX(DOC_table,4,1),"")</f>
        <v>0.3</v>
      </c>
      <c r="E18" s="713">
        <f t="shared" si="0"/>
        <v>0.3</v>
      </c>
      <c r="F18" s="712"/>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276">
        <f>IF(Select2=1,INDEX(DOC_table,5,1),"")</f>
        <v>0.47</v>
      </c>
      <c r="E19" s="713">
        <f t="shared" si="0"/>
        <v>0.47</v>
      </c>
      <c r="F19" s="712"/>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276">
        <f>IF(Select2=1,INDEX(DOC_table,6,1),"")</f>
        <v>0.5</v>
      </c>
      <c r="E20" s="713">
        <f t="shared" si="0"/>
        <v>0.5</v>
      </c>
      <c r="F20" s="712"/>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276">
        <f>IF(Select2=1,INDEX(DOC_table,7,1),"")</f>
        <v>0.6</v>
      </c>
      <c r="E21" s="713">
        <f t="shared" si="0"/>
        <v>0.6</v>
      </c>
      <c r="F21" s="712"/>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710">
        <f>IF(Select2=1,INDEX(DOC_table,9,1),"")</f>
        <v>0</v>
      </c>
      <c r="E22" s="713">
        <f t="shared" si="0"/>
        <v>0</v>
      </c>
      <c r="F22" s="712"/>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710">
        <f>IF(Select2=1,INDEX(DOC_table,10,1),"")</f>
        <v>0</v>
      </c>
      <c r="E23" s="713">
        <f t="shared" si="0"/>
        <v>0</v>
      </c>
      <c r="F23" s="712"/>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710">
        <f>IF(Select2=1,INDEX(DOC_table,11,1),"")</f>
        <v>0</v>
      </c>
      <c r="E24" s="713">
        <f t="shared" si="0"/>
        <v>0</v>
      </c>
      <c r="F24" s="712"/>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710">
        <f>IF(Select2=1,INDEX(DOC_table,12,1),"")</f>
        <v>0</v>
      </c>
      <c r="E25" s="713">
        <f t="shared" si="0"/>
        <v>0</v>
      </c>
      <c r="F25" s="712"/>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99" t="s">
        <v>250</v>
      </c>
      <c r="E61" s="800"/>
      <c r="F61" s="801"/>
      <c r="H61" s="38"/>
      <c r="I61" s="799" t="s">
        <v>251</v>
      </c>
      <c r="J61" s="800"/>
      <c r="K61" s="801"/>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86" t="s">
        <v>317</v>
      </c>
      <c r="C71" s="786"/>
      <c r="D71" s="787" t="s">
        <v>318</v>
      </c>
      <c r="E71" s="787"/>
      <c r="F71" s="787"/>
      <c r="G71" s="787"/>
      <c r="H71" s="787"/>
    </row>
    <row r="72" spans="2:8">
      <c r="B72" s="786" t="s">
        <v>319</v>
      </c>
      <c r="C72" s="786"/>
      <c r="D72" s="787" t="s">
        <v>320</v>
      </c>
      <c r="E72" s="787"/>
      <c r="F72" s="787"/>
      <c r="G72" s="787"/>
      <c r="H72" s="787"/>
    </row>
    <row r="73" spans="2:8">
      <c r="B73" s="786" t="s">
        <v>321</v>
      </c>
      <c r="C73" s="786"/>
      <c r="D73" s="787" t="s">
        <v>322</v>
      </c>
      <c r="E73" s="787"/>
      <c r="F73" s="787"/>
      <c r="G73" s="787"/>
      <c r="H73" s="787"/>
    </row>
    <row r="74" spans="2:8">
      <c r="B74" s="786" t="s">
        <v>323</v>
      </c>
      <c r="C74" s="786"/>
      <c r="D74" s="787" t="s">
        <v>324</v>
      </c>
      <c r="E74" s="787"/>
      <c r="F74" s="787"/>
      <c r="G74" s="787"/>
      <c r="H74" s="787"/>
    </row>
    <row r="75" spans="2:8">
      <c r="B75" s="561"/>
      <c r="C75" s="562"/>
      <c r="D75" s="562"/>
      <c r="E75" s="562"/>
      <c r="F75" s="562"/>
      <c r="G75" s="562"/>
      <c r="H75" s="562"/>
    </row>
    <row r="76" spans="2:8">
      <c r="B76" s="564"/>
      <c r="C76" s="565" t="s">
        <v>325</v>
      </c>
      <c r="D76" s="566" t="s">
        <v>87</v>
      </c>
      <c r="E76" s="566" t="s">
        <v>88</v>
      </c>
    </row>
    <row r="77" spans="2:8">
      <c r="B77" s="788" t="s">
        <v>133</v>
      </c>
      <c r="C77" s="567" t="s">
        <v>326</v>
      </c>
      <c r="D77" s="568" t="s">
        <v>327</v>
      </c>
      <c r="E77" s="568" t="s">
        <v>9</v>
      </c>
      <c r="F77" s="488"/>
      <c r="G77" s="547"/>
      <c r="H77" s="6"/>
    </row>
    <row r="78" spans="2:8">
      <c r="B78" s="789"/>
      <c r="C78" s="569"/>
      <c r="D78" s="570"/>
      <c r="E78" s="571"/>
      <c r="F78" s="6"/>
      <c r="G78" s="488"/>
      <c r="H78" s="6"/>
    </row>
    <row r="79" spans="2:8">
      <c r="B79" s="789"/>
      <c r="C79" s="569"/>
      <c r="D79" s="570"/>
      <c r="E79" s="571"/>
      <c r="F79" s="6"/>
      <c r="G79" s="488"/>
      <c r="H79" s="6"/>
    </row>
    <row r="80" spans="2:8">
      <c r="B80" s="789"/>
      <c r="C80" s="569"/>
      <c r="D80" s="570"/>
      <c r="E80" s="571"/>
      <c r="F80" s="6"/>
      <c r="G80" s="488"/>
      <c r="H80" s="6"/>
    </row>
    <row r="81" spans="2:8">
      <c r="B81" s="789"/>
      <c r="C81" s="569"/>
      <c r="D81" s="570"/>
      <c r="E81" s="571"/>
      <c r="F81" s="6"/>
      <c r="G81" s="488"/>
      <c r="H81" s="6"/>
    </row>
    <row r="82" spans="2:8">
      <c r="B82" s="789"/>
      <c r="C82" s="569"/>
      <c r="D82" s="570" t="s">
        <v>328</v>
      </c>
      <c r="E82" s="571"/>
      <c r="F82" s="6"/>
      <c r="G82" s="488"/>
      <c r="H82" s="6"/>
    </row>
    <row r="83" spans="2:8" ht="13.5" thickBot="1">
      <c r="B83" s="790"/>
      <c r="C83" s="572"/>
      <c r="D83" s="572"/>
      <c r="E83" s="573" t="s">
        <v>329</v>
      </c>
      <c r="F83" s="6"/>
      <c r="G83" s="6"/>
      <c r="H83" s="6"/>
    </row>
    <row r="84" spans="2:8" ht="13.5" thickTop="1">
      <c r="B84" s="564"/>
      <c r="C84" s="571"/>
      <c r="D84" s="564"/>
      <c r="E84" s="574"/>
      <c r="F84" s="6"/>
      <c r="G84" s="6"/>
      <c r="H84" s="6"/>
    </row>
    <row r="85" spans="2:8">
      <c r="B85" s="782" t="s">
        <v>330</v>
      </c>
      <c r="C85" s="783"/>
      <c r="D85" s="783"/>
      <c r="E85" s="784"/>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785" t="s">
        <v>333</v>
      </c>
      <c r="C95" s="785"/>
      <c r="D95" s="785"/>
      <c r="E95" s="578">
        <f>SUM(E86:E94)</f>
        <v>0.13702</v>
      </c>
    </row>
    <row r="96" spans="2:8">
      <c r="B96" s="782" t="s">
        <v>334</v>
      </c>
      <c r="C96" s="783"/>
      <c r="D96" s="783"/>
      <c r="E96" s="784"/>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785" t="s">
        <v>333</v>
      </c>
      <c r="C106" s="785"/>
      <c r="D106" s="785"/>
      <c r="E106" s="578">
        <f>SUM(E97:E105)</f>
        <v>0.15982100000000002</v>
      </c>
    </row>
    <row r="107" spans="2:5">
      <c r="B107" s="782" t="s">
        <v>335</v>
      </c>
      <c r="C107" s="783"/>
      <c r="D107" s="783"/>
      <c r="E107" s="784"/>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785" t="s">
        <v>333</v>
      </c>
      <c r="C117" s="785"/>
      <c r="D117" s="785"/>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25.078813451999999</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25.078813451999999</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25.400101979999999</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25.400101979999999</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25.972466520000001</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25.972466520000001</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26.434118436000002</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26.434118436000002</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26.575529771999999</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26.575529771999999</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29.43685932</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29.43685932</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30.042388332000002</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30.042388332000002</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30.647424192000003</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30.647424192000003</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31.24826826</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31.24826826</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31.840482168000001</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31.840482168000001</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34.371399876000005</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34.371399876000005</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35.271710495999997</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35.271710495999997</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35.955219167999999</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35.955219167999999</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36.636385367999999</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36.636385367999999</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37.300537823999996</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37.300537823999996</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37.946443656</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37.946443656</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38.587171391999995</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38.587171391999995</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40.067921916000003</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40.067921916000003</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40.998684672000003</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40.998684672000003</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41.929447428000003</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41.929447428000003</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42.86021018400001</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42.86021018400001</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43.790972940000003</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43.790972940000003</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44.721735696000003</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44.721735696000003</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45.65249845200001</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45.65249845200001</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46.583261208000003</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46.583261208000003</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47.514023964000003</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47.514023964000003</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48.444786719999996</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48.444786719999996</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49.375549476000003</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49.375549476000003</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50.306312232000003</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50.306312232000003</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51.237074987999996</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51.237074987999996</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52.167837744000003</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52.167837744000003</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27" activePane="bottomRight" state="frozen"/>
      <selection activeCell="E19" sqref="E19"/>
      <selection pane="topRight" activeCell="E19" sqref="E19"/>
      <selection pane="bottomLeft" activeCell="E19" sqref="E19"/>
      <selection pane="bottomRight" activeCell="H16" sqref="H16:H17"/>
    </sheetView>
  </sheetViews>
  <sheetFormatPr defaultColWidth="11.42578125" defaultRowHeight="12.75"/>
  <cols>
    <col min="1" max="1" width="3.42578125" style="587" customWidth="1"/>
    <col min="2" max="2" width="15.28515625" style="587" customWidth="1"/>
    <col min="3" max="4" width="10.140625" style="587" bestFit="1" customWidth="1"/>
    <col min="5" max="5" width="9.42578125" style="587" customWidth="1"/>
    <col min="6" max="6" width="11.28515625" style="587" customWidth="1"/>
    <col min="7" max="7" width="9.42578125" style="587" customWidth="1"/>
    <col min="8" max="8" width="8.42578125" style="587" customWidth="1"/>
    <col min="9" max="10" width="10.85546875" style="587" customWidth="1"/>
    <col min="11" max="11" width="9.42578125" style="587" bestFit="1" customWidth="1"/>
    <col min="12" max="12" width="10.28515625" style="587" customWidth="1"/>
    <col min="13" max="13" width="10.140625" style="587" customWidth="1"/>
    <col min="14" max="14" width="8.42578125" style="587" customWidth="1"/>
    <col min="15" max="15" width="23.7109375" style="587" customWidth="1"/>
    <col min="16" max="16" width="9.28515625" style="587" customWidth="1"/>
    <col min="17" max="17" width="3.85546875" style="587" customWidth="1"/>
    <col min="18" max="19" width="13" style="587" customWidth="1"/>
    <col min="20" max="20" width="9.42578125" style="587" customWidth="1"/>
    <col min="21" max="16384" width="11.42578125" style="587"/>
  </cols>
  <sheetData>
    <row r="2" spans="2:20" ht="15.75">
      <c r="C2" s="714" t="s">
        <v>106</v>
      </c>
      <c r="Q2" s="809" t="s">
        <v>107</v>
      </c>
      <c r="R2" s="809"/>
      <c r="S2" s="809"/>
      <c r="T2" s="809"/>
    </row>
    <row r="4" spans="2:20">
      <c r="C4" s="587" t="s">
        <v>26</v>
      </c>
    </row>
    <row r="5" spans="2:20">
      <c r="C5" s="587" t="s">
        <v>281</v>
      </c>
    </row>
    <row r="6" spans="2:20">
      <c r="C6" s="587" t="s">
        <v>29</v>
      </c>
    </row>
    <row r="7" spans="2:20">
      <c r="C7" s="587" t="s">
        <v>109</v>
      </c>
    </row>
    <row r="8" spans="2:20" ht="13.5" thickBot="1"/>
    <row r="9" spans="2:20" ht="13.5" thickBot="1">
      <c r="C9" s="810" t="s">
        <v>95</v>
      </c>
      <c r="D9" s="811"/>
      <c r="E9" s="811"/>
      <c r="F9" s="811"/>
      <c r="G9" s="811"/>
      <c r="H9" s="812"/>
      <c r="I9" s="818" t="s">
        <v>308</v>
      </c>
      <c r="J9" s="819"/>
      <c r="K9" s="819"/>
      <c r="L9" s="819"/>
      <c r="M9" s="819"/>
      <c r="N9" s="820"/>
      <c r="R9" s="715" t="s">
        <v>95</v>
      </c>
      <c r="S9" s="708" t="s">
        <v>308</v>
      </c>
    </row>
    <row r="10" spans="2:20" s="723" customFormat="1" ht="38.25" customHeight="1">
      <c r="B10" s="716"/>
      <c r="C10" s="717" t="s">
        <v>341</v>
      </c>
      <c r="D10" s="718" t="s">
        <v>340</v>
      </c>
      <c r="E10" s="718" t="s">
        <v>338</v>
      </c>
      <c r="F10" s="718" t="s">
        <v>206</v>
      </c>
      <c r="G10" s="718" t="s">
        <v>339</v>
      </c>
      <c r="H10" s="719" t="s">
        <v>161</v>
      </c>
      <c r="I10" s="720" t="s">
        <v>104</v>
      </c>
      <c r="J10" s="721" t="s">
        <v>105</v>
      </c>
      <c r="K10" s="721" t="s">
        <v>0</v>
      </c>
      <c r="L10" s="721" t="s">
        <v>206</v>
      </c>
      <c r="M10" s="721" t="s">
        <v>103</v>
      </c>
      <c r="N10" s="722" t="s">
        <v>161</v>
      </c>
      <c r="O10" s="707" t="s">
        <v>28</v>
      </c>
      <c r="R10" s="813" t="s">
        <v>147</v>
      </c>
      <c r="S10" s="813" t="s">
        <v>315</v>
      </c>
    </row>
    <row r="11" spans="2:20" s="728" customFormat="1" ht="13.5" thickBot="1">
      <c r="B11" s="724"/>
      <c r="C11" s="724" t="s">
        <v>11</v>
      </c>
      <c r="D11" s="725" t="s">
        <v>11</v>
      </c>
      <c r="E11" s="725" t="s">
        <v>11</v>
      </c>
      <c r="F11" s="725" t="s">
        <v>11</v>
      </c>
      <c r="G11" s="725" t="s">
        <v>11</v>
      </c>
      <c r="H11" s="726"/>
      <c r="I11" s="724" t="s">
        <v>11</v>
      </c>
      <c r="J11" s="725" t="s">
        <v>11</v>
      </c>
      <c r="K11" s="725" t="s">
        <v>11</v>
      </c>
      <c r="L11" s="725" t="s">
        <v>11</v>
      </c>
      <c r="M11" s="725" t="s">
        <v>11</v>
      </c>
      <c r="N11" s="726"/>
      <c r="O11" s="727"/>
      <c r="R11" s="814"/>
      <c r="S11" s="814"/>
    </row>
    <row r="12" spans="2:20" s="728" customFormat="1" ht="13.5" thickBot="1">
      <c r="B12" s="729" t="s">
        <v>25</v>
      </c>
      <c r="C12" s="730">
        <v>0.4</v>
      </c>
      <c r="D12" s="731">
        <v>0.8</v>
      </c>
      <c r="E12" s="731">
        <v>1</v>
      </c>
      <c r="F12" s="731">
        <v>0.5</v>
      </c>
      <c r="G12" s="731">
        <v>0.6</v>
      </c>
      <c r="H12" s="732"/>
      <c r="I12" s="730">
        <v>0.4</v>
      </c>
      <c r="J12" s="731">
        <v>0.8</v>
      </c>
      <c r="K12" s="731">
        <v>1</v>
      </c>
      <c r="L12" s="731">
        <v>0.5</v>
      </c>
      <c r="M12" s="731">
        <v>0.6</v>
      </c>
      <c r="N12" s="732"/>
      <c r="O12" s="733"/>
      <c r="R12" s="814"/>
      <c r="S12" s="814"/>
    </row>
    <row r="13" spans="2:20" s="728" customFormat="1" ht="26.25" thickBot="1">
      <c r="B13" s="729" t="s">
        <v>159</v>
      </c>
      <c r="C13" s="734">
        <f>C12</f>
        <v>0.4</v>
      </c>
      <c r="D13" s="735">
        <f>D12</f>
        <v>0.8</v>
      </c>
      <c r="E13" s="735">
        <f>E12</f>
        <v>1</v>
      </c>
      <c r="F13" s="735">
        <f>F12</f>
        <v>0.5</v>
      </c>
      <c r="G13" s="735">
        <f>G12</f>
        <v>0.6</v>
      </c>
      <c r="H13" s="736"/>
      <c r="I13" s="734">
        <v>0.4</v>
      </c>
      <c r="J13" s="735">
        <v>0.8</v>
      </c>
      <c r="K13" s="735">
        <v>1</v>
      </c>
      <c r="L13" s="735">
        <v>0.5</v>
      </c>
      <c r="M13" s="735">
        <v>0.6</v>
      </c>
      <c r="N13" s="736"/>
      <c r="O13" s="737"/>
      <c r="R13" s="814"/>
      <c r="S13" s="814"/>
    </row>
    <row r="14" spans="2:20" s="728" customFormat="1" ht="13.5" thickBot="1">
      <c r="B14" s="738"/>
      <c r="C14" s="738"/>
      <c r="D14" s="739"/>
      <c r="E14" s="739"/>
      <c r="F14" s="739"/>
      <c r="G14" s="739"/>
      <c r="H14" s="740"/>
      <c r="I14" s="738"/>
      <c r="J14" s="739"/>
      <c r="K14" s="739"/>
      <c r="L14" s="739"/>
      <c r="M14" s="739"/>
      <c r="N14" s="740"/>
      <c r="O14" s="741"/>
      <c r="R14" s="814"/>
      <c r="S14" s="814"/>
    </row>
    <row r="15" spans="2:20" s="728" customFormat="1" ht="12.75" customHeight="1" thickBot="1">
      <c r="B15" s="742"/>
      <c r="C15" s="806" t="s">
        <v>158</v>
      </c>
      <c r="D15" s="807"/>
      <c r="E15" s="807"/>
      <c r="F15" s="807"/>
      <c r="G15" s="807"/>
      <c r="H15" s="808"/>
      <c r="I15" s="806" t="s">
        <v>158</v>
      </c>
      <c r="J15" s="807"/>
      <c r="K15" s="807"/>
      <c r="L15" s="807"/>
      <c r="M15" s="807"/>
      <c r="N15" s="808"/>
      <c r="O15" s="743"/>
      <c r="R15" s="814"/>
      <c r="S15" s="814"/>
    </row>
    <row r="16" spans="2:20" s="728" customFormat="1" ht="26.25" thickBot="1">
      <c r="B16" s="729" t="s">
        <v>160</v>
      </c>
      <c r="C16" s="744">
        <v>0</v>
      </c>
      <c r="D16" s="745">
        <v>1</v>
      </c>
      <c r="E16" s="745">
        <v>0</v>
      </c>
      <c r="F16" s="745">
        <v>0</v>
      </c>
      <c r="G16" s="745">
        <v>0</v>
      </c>
      <c r="H16" s="816" t="s">
        <v>36</v>
      </c>
      <c r="I16" s="744">
        <v>0.2</v>
      </c>
      <c r="J16" s="745">
        <v>0.3</v>
      </c>
      <c r="K16" s="745">
        <v>0.25</v>
      </c>
      <c r="L16" s="745">
        <v>0.05</v>
      </c>
      <c r="M16" s="745">
        <v>0.2</v>
      </c>
      <c r="N16" s="816" t="s">
        <v>36</v>
      </c>
      <c r="O16" s="746"/>
      <c r="R16" s="815"/>
      <c r="S16" s="815"/>
    </row>
    <row r="17" spans="2:19" s="728" customFormat="1" ht="13.5" thickBot="1">
      <c r="B17" s="747" t="s">
        <v>1</v>
      </c>
      <c r="C17" s="747" t="s">
        <v>24</v>
      </c>
      <c r="D17" s="748" t="s">
        <v>24</v>
      </c>
      <c r="E17" s="748" t="s">
        <v>24</v>
      </c>
      <c r="F17" s="748" t="s">
        <v>24</v>
      </c>
      <c r="G17" s="748" t="s">
        <v>24</v>
      </c>
      <c r="H17" s="817"/>
      <c r="I17" s="747" t="s">
        <v>24</v>
      </c>
      <c r="J17" s="748" t="s">
        <v>24</v>
      </c>
      <c r="K17" s="748" t="s">
        <v>24</v>
      </c>
      <c r="L17" s="748" t="s">
        <v>24</v>
      </c>
      <c r="M17" s="748" t="s">
        <v>24</v>
      </c>
      <c r="N17" s="817"/>
      <c r="O17" s="727"/>
      <c r="R17" s="729" t="s">
        <v>157</v>
      </c>
      <c r="S17" s="749" t="s">
        <v>157</v>
      </c>
    </row>
    <row r="18" spans="2:19">
      <c r="B18" s="750">
        <f>year</f>
        <v>2000</v>
      </c>
      <c r="C18" s="751">
        <f>C$16</f>
        <v>0</v>
      </c>
      <c r="D18" s="752">
        <f t="shared" ref="D18:G33" si="0">D$16</f>
        <v>1</v>
      </c>
      <c r="E18" s="752">
        <f t="shared" si="0"/>
        <v>0</v>
      </c>
      <c r="F18" s="752">
        <f t="shared" si="0"/>
        <v>0</v>
      </c>
      <c r="G18" s="752">
        <f t="shared" si="0"/>
        <v>0</v>
      </c>
      <c r="H18" s="753">
        <f>SUM(C18:G18)</f>
        <v>1</v>
      </c>
      <c r="I18" s="751">
        <f>I$16</f>
        <v>0.2</v>
      </c>
      <c r="J18" s="752">
        <f t="shared" ref="J18:M33" si="1">J$16</f>
        <v>0.3</v>
      </c>
      <c r="K18" s="752">
        <f t="shared" si="1"/>
        <v>0.25</v>
      </c>
      <c r="L18" s="752">
        <f t="shared" si="1"/>
        <v>0.05</v>
      </c>
      <c r="M18" s="752">
        <f t="shared" si="1"/>
        <v>0.2</v>
      </c>
      <c r="N18" s="753">
        <f>SUM(I18:M18)</f>
        <v>1</v>
      </c>
      <c r="O18" s="623"/>
      <c r="R18" s="754">
        <f>C18*C$13+D18*D$13+E18*E$13+F18*F$13+G18*G$13</f>
        <v>0.8</v>
      </c>
      <c r="S18" s="755">
        <f>I18*I$13+J18*J$13+K18*K$13+L18*L$13+M18*M$13</f>
        <v>0.71500000000000008</v>
      </c>
    </row>
    <row r="19" spans="2:19">
      <c r="B19" s="756">
        <f t="shared" ref="B19:B50" si="2">B18+1</f>
        <v>2001</v>
      </c>
      <c r="C19" s="757">
        <f t="shared" ref="C19:G50" si="3">C$16</f>
        <v>0</v>
      </c>
      <c r="D19" s="758">
        <f t="shared" si="0"/>
        <v>1</v>
      </c>
      <c r="E19" s="758">
        <f t="shared" si="0"/>
        <v>0</v>
      </c>
      <c r="F19" s="758">
        <f t="shared" si="0"/>
        <v>0</v>
      </c>
      <c r="G19" s="758">
        <f t="shared" si="0"/>
        <v>0</v>
      </c>
      <c r="H19" s="759">
        <f t="shared" ref="H19:H82" si="4">SUM(C19:G19)</f>
        <v>1</v>
      </c>
      <c r="I19" s="757">
        <f t="shared" ref="I19:M50" si="5">I$16</f>
        <v>0.2</v>
      </c>
      <c r="J19" s="758">
        <f t="shared" si="1"/>
        <v>0.3</v>
      </c>
      <c r="K19" s="758">
        <f t="shared" si="1"/>
        <v>0.25</v>
      </c>
      <c r="L19" s="758">
        <f t="shared" si="1"/>
        <v>0.05</v>
      </c>
      <c r="M19" s="758">
        <f t="shared" si="1"/>
        <v>0.2</v>
      </c>
      <c r="N19" s="759">
        <f t="shared" ref="N19:N82" si="6">SUM(I19:M19)</f>
        <v>1</v>
      </c>
      <c r="O19" s="760"/>
      <c r="R19" s="754">
        <f t="shared" ref="R19:R82" si="7">C19*C$13+D19*D$13+E19*E$13+F19*F$13+G19*G$13</f>
        <v>0.8</v>
      </c>
      <c r="S19" s="755">
        <f t="shared" ref="S19:S82" si="8">I19*I$13+J19*J$13+K19*K$13+L19*L$13+M19*M$13</f>
        <v>0.71500000000000008</v>
      </c>
    </row>
    <row r="20" spans="2:19">
      <c r="B20" s="756">
        <f t="shared" si="2"/>
        <v>2002</v>
      </c>
      <c r="C20" s="757">
        <f t="shared" si="3"/>
        <v>0</v>
      </c>
      <c r="D20" s="758">
        <f t="shared" si="0"/>
        <v>1</v>
      </c>
      <c r="E20" s="758">
        <f t="shared" si="0"/>
        <v>0</v>
      </c>
      <c r="F20" s="758">
        <f t="shared" si="0"/>
        <v>0</v>
      </c>
      <c r="G20" s="758">
        <f t="shared" si="0"/>
        <v>0</v>
      </c>
      <c r="H20" s="759">
        <f t="shared" si="4"/>
        <v>1</v>
      </c>
      <c r="I20" s="757">
        <f t="shared" si="5"/>
        <v>0.2</v>
      </c>
      <c r="J20" s="758">
        <f t="shared" si="1"/>
        <v>0.3</v>
      </c>
      <c r="K20" s="758">
        <f t="shared" si="1"/>
        <v>0.25</v>
      </c>
      <c r="L20" s="758">
        <f t="shared" si="1"/>
        <v>0.05</v>
      </c>
      <c r="M20" s="758">
        <f t="shared" si="1"/>
        <v>0.2</v>
      </c>
      <c r="N20" s="759">
        <f t="shared" si="6"/>
        <v>1</v>
      </c>
      <c r="O20" s="760"/>
      <c r="R20" s="754">
        <f t="shared" si="7"/>
        <v>0.8</v>
      </c>
      <c r="S20" s="755">
        <f t="shared" si="8"/>
        <v>0.71500000000000008</v>
      </c>
    </row>
    <row r="21" spans="2:19">
      <c r="B21" s="756">
        <f t="shared" si="2"/>
        <v>2003</v>
      </c>
      <c r="C21" s="757">
        <f t="shared" si="3"/>
        <v>0</v>
      </c>
      <c r="D21" s="758">
        <f t="shared" si="0"/>
        <v>1</v>
      </c>
      <c r="E21" s="758">
        <f t="shared" si="0"/>
        <v>0</v>
      </c>
      <c r="F21" s="758">
        <f t="shared" si="0"/>
        <v>0</v>
      </c>
      <c r="G21" s="758">
        <f t="shared" si="0"/>
        <v>0</v>
      </c>
      <c r="H21" s="759">
        <f t="shared" si="4"/>
        <v>1</v>
      </c>
      <c r="I21" s="757">
        <f t="shared" si="5"/>
        <v>0.2</v>
      </c>
      <c r="J21" s="758">
        <f t="shared" si="1"/>
        <v>0.3</v>
      </c>
      <c r="K21" s="758">
        <f t="shared" si="1"/>
        <v>0.25</v>
      </c>
      <c r="L21" s="758">
        <f t="shared" si="1"/>
        <v>0.05</v>
      </c>
      <c r="M21" s="758">
        <f t="shared" si="1"/>
        <v>0.2</v>
      </c>
      <c r="N21" s="759">
        <f t="shared" si="6"/>
        <v>1</v>
      </c>
      <c r="O21" s="760"/>
      <c r="R21" s="754">
        <f t="shared" si="7"/>
        <v>0.8</v>
      </c>
      <c r="S21" s="755">
        <f t="shared" si="8"/>
        <v>0.71500000000000008</v>
      </c>
    </row>
    <row r="22" spans="2:19">
      <c r="B22" s="756">
        <f t="shared" si="2"/>
        <v>2004</v>
      </c>
      <c r="C22" s="757">
        <f t="shared" si="3"/>
        <v>0</v>
      </c>
      <c r="D22" s="758">
        <f t="shared" si="0"/>
        <v>1</v>
      </c>
      <c r="E22" s="758">
        <f t="shared" si="0"/>
        <v>0</v>
      </c>
      <c r="F22" s="758">
        <f t="shared" si="0"/>
        <v>0</v>
      </c>
      <c r="G22" s="758">
        <f t="shared" si="0"/>
        <v>0</v>
      </c>
      <c r="H22" s="759">
        <f t="shared" si="4"/>
        <v>1</v>
      </c>
      <c r="I22" s="757">
        <f t="shared" si="5"/>
        <v>0.2</v>
      </c>
      <c r="J22" s="758">
        <f t="shared" si="1"/>
        <v>0.3</v>
      </c>
      <c r="K22" s="758">
        <f t="shared" si="1"/>
        <v>0.25</v>
      </c>
      <c r="L22" s="758">
        <f t="shared" si="1"/>
        <v>0.05</v>
      </c>
      <c r="M22" s="758">
        <f t="shared" si="1"/>
        <v>0.2</v>
      </c>
      <c r="N22" s="759">
        <f t="shared" si="6"/>
        <v>1</v>
      </c>
      <c r="O22" s="760"/>
      <c r="R22" s="754">
        <f t="shared" si="7"/>
        <v>0.8</v>
      </c>
      <c r="S22" s="755">
        <f t="shared" si="8"/>
        <v>0.71500000000000008</v>
      </c>
    </row>
    <row r="23" spans="2:19">
      <c r="B23" s="756">
        <f t="shared" si="2"/>
        <v>2005</v>
      </c>
      <c r="C23" s="757">
        <f t="shared" si="3"/>
        <v>0</v>
      </c>
      <c r="D23" s="758">
        <f t="shared" si="0"/>
        <v>1</v>
      </c>
      <c r="E23" s="758">
        <f t="shared" si="0"/>
        <v>0</v>
      </c>
      <c r="F23" s="758">
        <f t="shared" si="0"/>
        <v>0</v>
      </c>
      <c r="G23" s="758">
        <f t="shared" si="0"/>
        <v>0</v>
      </c>
      <c r="H23" s="759">
        <f t="shared" si="4"/>
        <v>1</v>
      </c>
      <c r="I23" s="757">
        <f t="shared" si="5"/>
        <v>0.2</v>
      </c>
      <c r="J23" s="758">
        <f t="shared" si="1"/>
        <v>0.3</v>
      </c>
      <c r="K23" s="758">
        <f t="shared" si="1"/>
        <v>0.25</v>
      </c>
      <c r="L23" s="758">
        <f t="shared" si="1"/>
        <v>0.05</v>
      </c>
      <c r="M23" s="758">
        <f t="shared" si="1"/>
        <v>0.2</v>
      </c>
      <c r="N23" s="759">
        <f t="shared" si="6"/>
        <v>1</v>
      </c>
      <c r="O23" s="760"/>
      <c r="R23" s="754">
        <f t="shared" si="7"/>
        <v>0.8</v>
      </c>
      <c r="S23" s="755">
        <f t="shared" si="8"/>
        <v>0.71500000000000008</v>
      </c>
    </row>
    <row r="24" spans="2:19">
      <c r="B24" s="756">
        <f t="shared" si="2"/>
        <v>2006</v>
      </c>
      <c r="C24" s="757">
        <f t="shared" si="3"/>
        <v>0</v>
      </c>
      <c r="D24" s="758">
        <f t="shared" si="0"/>
        <v>1</v>
      </c>
      <c r="E24" s="758">
        <f t="shared" si="0"/>
        <v>0</v>
      </c>
      <c r="F24" s="758">
        <f t="shared" si="0"/>
        <v>0</v>
      </c>
      <c r="G24" s="758">
        <f t="shared" si="0"/>
        <v>0</v>
      </c>
      <c r="H24" s="759">
        <f t="shared" si="4"/>
        <v>1</v>
      </c>
      <c r="I24" s="757">
        <f t="shared" si="5"/>
        <v>0.2</v>
      </c>
      <c r="J24" s="758">
        <f t="shared" si="1"/>
        <v>0.3</v>
      </c>
      <c r="K24" s="758">
        <f t="shared" si="1"/>
        <v>0.25</v>
      </c>
      <c r="L24" s="758">
        <f t="shared" si="1"/>
        <v>0.05</v>
      </c>
      <c r="M24" s="758">
        <f t="shared" si="1"/>
        <v>0.2</v>
      </c>
      <c r="N24" s="759">
        <f t="shared" si="6"/>
        <v>1</v>
      </c>
      <c r="O24" s="760"/>
      <c r="R24" s="754">
        <f t="shared" si="7"/>
        <v>0.8</v>
      </c>
      <c r="S24" s="755">
        <f t="shared" si="8"/>
        <v>0.71500000000000008</v>
      </c>
    </row>
    <row r="25" spans="2:19">
      <c r="B25" s="756">
        <f t="shared" si="2"/>
        <v>2007</v>
      </c>
      <c r="C25" s="757">
        <f t="shared" si="3"/>
        <v>0</v>
      </c>
      <c r="D25" s="758">
        <f t="shared" si="0"/>
        <v>1</v>
      </c>
      <c r="E25" s="758">
        <f t="shared" si="0"/>
        <v>0</v>
      </c>
      <c r="F25" s="758">
        <f t="shared" si="0"/>
        <v>0</v>
      </c>
      <c r="G25" s="758">
        <f t="shared" si="0"/>
        <v>0</v>
      </c>
      <c r="H25" s="759">
        <f t="shared" si="4"/>
        <v>1</v>
      </c>
      <c r="I25" s="757">
        <f t="shared" si="5"/>
        <v>0.2</v>
      </c>
      <c r="J25" s="758">
        <f t="shared" si="1"/>
        <v>0.3</v>
      </c>
      <c r="K25" s="758">
        <f t="shared" si="1"/>
        <v>0.25</v>
      </c>
      <c r="L25" s="758">
        <f t="shared" si="1"/>
        <v>0.05</v>
      </c>
      <c r="M25" s="758">
        <f t="shared" si="1"/>
        <v>0.2</v>
      </c>
      <c r="N25" s="759">
        <f t="shared" si="6"/>
        <v>1</v>
      </c>
      <c r="O25" s="760"/>
      <c r="R25" s="754">
        <f t="shared" si="7"/>
        <v>0.8</v>
      </c>
      <c r="S25" s="755">
        <f t="shared" si="8"/>
        <v>0.71500000000000008</v>
      </c>
    </row>
    <row r="26" spans="2:19">
      <c r="B26" s="756">
        <f t="shared" si="2"/>
        <v>2008</v>
      </c>
      <c r="C26" s="757">
        <f t="shared" si="3"/>
        <v>0</v>
      </c>
      <c r="D26" s="758">
        <f t="shared" si="0"/>
        <v>1</v>
      </c>
      <c r="E26" s="758">
        <f t="shared" si="0"/>
        <v>0</v>
      </c>
      <c r="F26" s="758">
        <f t="shared" si="0"/>
        <v>0</v>
      </c>
      <c r="G26" s="758">
        <f t="shared" si="0"/>
        <v>0</v>
      </c>
      <c r="H26" s="759">
        <f t="shared" si="4"/>
        <v>1</v>
      </c>
      <c r="I26" s="757">
        <f t="shared" si="5"/>
        <v>0.2</v>
      </c>
      <c r="J26" s="758">
        <f t="shared" si="1"/>
        <v>0.3</v>
      </c>
      <c r="K26" s="758">
        <f t="shared" si="1"/>
        <v>0.25</v>
      </c>
      <c r="L26" s="758">
        <f t="shared" si="1"/>
        <v>0.05</v>
      </c>
      <c r="M26" s="758">
        <f t="shared" si="1"/>
        <v>0.2</v>
      </c>
      <c r="N26" s="759">
        <f t="shared" si="6"/>
        <v>1</v>
      </c>
      <c r="O26" s="760"/>
      <c r="R26" s="754">
        <f t="shared" si="7"/>
        <v>0.8</v>
      </c>
      <c r="S26" s="755">
        <f t="shared" si="8"/>
        <v>0.71500000000000008</v>
      </c>
    </row>
    <row r="27" spans="2:19">
      <c r="B27" s="756">
        <f t="shared" si="2"/>
        <v>2009</v>
      </c>
      <c r="C27" s="757">
        <f t="shared" si="3"/>
        <v>0</v>
      </c>
      <c r="D27" s="758">
        <f t="shared" si="0"/>
        <v>1</v>
      </c>
      <c r="E27" s="758">
        <f t="shared" si="0"/>
        <v>0</v>
      </c>
      <c r="F27" s="758">
        <f t="shared" si="0"/>
        <v>0</v>
      </c>
      <c r="G27" s="758">
        <f t="shared" si="0"/>
        <v>0</v>
      </c>
      <c r="H27" s="759">
        <f t="shared" si="4"/>
        <v>1</v>
      </c>
      <c r="I27" s="757">
        <f t="shared" si="5"/>
        <v>0.2</v>
      </c>
      <c r="J27" s="758">
        <f t="shared" si="1"/>
        <v>0.3</v>
      </c>
      <c r="K27" s="758">
        <f t="shared" si="1"/>
        <v>0.25</v>
      </c>
      <c r="L27" s="758">
        <f t="shared" si="1"/>
        <v>0.05</v>
      </c>
      <c r="M27" s="758">
        <f t="shared" si="1"/>
        <v>0.2</v>
      </c>
      <c r="N27" s="759">
        <f t="shared" si="6"/>
        <v>1</v>
      </c>
      <c r="O27" s="760"/>
      <c r="R27" s="754">
        <f t="shared" si="7"/>
        <v>0.8</v>
      </c>
      <c r="S27" s="755">
        <f t="shared" si="8"/>
        <v>0.71500000000000008</v>
      </c>
    </row>
    <row r="28" spans="2:19">
      <c r="B28" s="756">
        <f t="shared" si="2"/>
        <v>2010</v>
      </c>
      <c r="C28" s="757">
        <f t="shared" si="3"/>
        <v>0</v>
      </c>
      <c r="D28" s="758">
        <f t="shared" si="0"/>
        <v>1</v>
      </c>
      <c r="E28" s="758">
        <f t="shared" si="0"/>
        <v>0</v>
      </c>
      <c r="F28" s="758">
        <f t="shared" si="0"/>
        <v>0</v>
      </c>
      <c r="G28" s="758">
        <f t="shared" si="0"/>
        <v>0</v>
      </c>
      <c r="H28" s="759">
        <f t="shared" si="4"/>
        <v>1</v>
      </c>
      <c r="I28" s="757">
        <f t="shared" si="5"/>
        <v>0.2</v>
      </c>
      <c r="J28" s="758">
        <f t="shared" si="1"/>
        <v>0.3</v>
      </c>
      <c r="K28" s="758">
        <f t="shared" si="1"/>
        <v>0.25</v>
      </c>
      <c r="L28" s="758">
        <f t="shared" si="1"/>
        <v>0.05</v>
      </c>
      <c r="M28" s="758">
        <f t="shared" si="1"/>
        <v>0.2</v>
      </c>
      <c r="N28" s="759">
        <f t="shared" si="6"/>
        <v>1</v>
      </c>
      <c r="O28" s="760"/>
      <c r="R28" s="754">
        <f t="shared" si="7"/>
        <v>0.8</v>
      </c>
      <c r="S28" s="755">
        <f t="shared" si="8"/>
        <v>0.71500000000000008</v>
      </c>
    </row>
    <row r="29" spans="2:19">
      <c r="B29" s="756">
        <f t="shared" si="2"/>
        <v>2011</v>
      </c>
      <c r="C29" s="757">
        <f t="shared" si="3"/>
        <v>0</v>
      </c>
      <c r="D29" s="758">
        <f t="shared" si="0"/>
        <v>1</v>
      </c>
      <c r="E29" s="758">
        <f t="shared" si="0"/>
        <v>0</v>
      </c>
      <c r="F29" s="758">
        <f t="shared" si="0"/>
        <v>0</v>
      </c>
      <c r="G29" s="758">
        <f t="shared" si="0"/>
        <v>0</v>
      </c>
      <c r="H29" s="759">
        <f t="shared" si="4"/>
        <v>1</v>
      </c>
      <c r="I29" s="757">
        <f t="shared" si="5"/>
        <v>0.2</v>
      </c>
      <c r="J29" s="758">
        <f t="shared" si="1"/>
        <v>0.3</v>
      </c>
      <c r="K29" s="758">
        <f t="shared" si="1"/>
        <v>0.25</v>
      </c>
      <c r="L29" s="758">
        <f t="shared" si="1"/>
        <v>0.05</v>
      </c>
      <c r="M29" s="758">
        <f t="shared" si="1"/>
        <v>0.2</v>
      </c>
      <c r="N29" s="759">
        <f t="shared" si="6"/>
        <v>1</v>
      </c>
      <c r="O29" s="760"/>
      <c r="R29" s="754">
        <f t="shared" si="7"/>
        <v>0.8</v>
      </c>
      <c r="S29" s="755">
        <f t="shared" si="8"/>
        <v>0.71500000000000008</v>
      </c>
    </row>
    <row r="30" spans="2:19">
      <c r="B30" s="756">
        <f t="shared" si="2"/>
        <v>2012</v>
      </c>
      <c r="C30" s="757">
        <f t="shared" si="3"/>
        <v>0</v>
      </c>
      <c r="D30" s="758">
        <f t="shared" si="0"/>
        <v>1</v>
      </c>
      <c r="E30" s="758">
        <f t="shared" si="0"/>
        <v>0</v>
      </c>
      <c r="F30" s="758">
        <f t="shared" si="0"/>
        <v>0</v>
      </c>
      <c r="G30" s="758">
        <f t="shared" si="0"/>
        <v>0</v>
      </c>
      <c r="H30" s="759">
        <f t="shared" si="4"/>
        <v>1</v>
      </c>
      <c r="I30" s="757">
        <f t="shared" si="5"/>
        <v>0.2</v>
      </c>
      <c r="J30" s="758">
        <f t="shared" si="1"/>
        <v>0.3</v>
      </c>
      <c r="K30" s="758">
        <f t="shared" si="1"/>
        <v>0.25</v>
      </c>
      <c r="L30" s="758">
        <f t="shared" si="1"/>
        <v>0.05</v>
      </c>
      <c r="M30" s="758">
        <f t="shared" si="1"/>
        <v>0.2</v>
      </c>
      <c r="N30" s="759">
        <f t="shared" si="6"/>
        <v>1</v>
      </c>
      <c r="O30" s="760"/>
      <c r="R30" s="754">
        <f t="shared" si="7"/>
        <v>0.8</v>
      </c>
      <c r="S30" s="755">
        <f t="shared" si="8"/>
        <v>0.71500000000000008</v>
      </c>
    </row>
    <row r="31" spans="2:19">
      <c r="B31" s="756">
        <f t="shared" si="2"/>
        <v>2013</v>
      </c>
      <c r="C31" s="757">
        <f t="shared" si="3"/>
        <v>0</v>
      </c>
      <c r="D31" s="758">
        <f t="shared" si="0"/>
        <v>1</v>
      </c>
      <c r="E31" s="758">
        <f t="shared" si="0"/>
        <v>0</v>
      </c>
      <c r="F31" s="758">
        <f t="shared" si="0"/>
        <v>0</v>
      </c>
      <c r="G31" s="758">
        <f t="shared" si="0"/>
        <v>0</v>
      </c>
      <c r="H31" s="759">
        <f t="shared" si="4"/>
        <v>1</v>
      </c>
      <c r="I31" s="757">
        <f t="shared" si="5"/>
        <v>0.2</v>
      </c>
      <c r="J31" s="758">
        <f t="shared" si="1"/>
        <v>0.3</v>
      </c>
      <c r="K31" s="758">
        <f t="shared" si="1"/>
        <v>0.25</v>
      </c>
      <c r="L31" s="758">
        <f t="shared" si="1"/>
        <v>0.05</v>
      </c>
      <c r="M31" s="758">
        <f t="shared" si="1"/>
        <v>0.2</v>
      </c>
      <c r="N31" s="759">
        <f t="shared" si="6"/>
        <v>1</v>
      </c>
      <c r="O31" s="760"/>
      <c r="R31" s="754">
        <f t="shared" si="7"/>
        <v>0.8</v>
      </c>
      <c r="S31" s="755">
        <f t="shared" si="8"/>
        <v>0.71500000000000008</v>
      </c>
    </row>
    <row r="32" spans="2:19">
      <c r="B32" s="756">
        <f t="shared" si="2"/>
        <v>2014</v>
      </c>
      <c r="C32" s="757">
        <f t="shared" si="3"/>
        <v>0</v>
      </c>
      <c r="D32" s="758">
        <f t="shared" si="0"/>
        <v>1</v>
      </c>
      <c r="E32" s="758">
        <f t="shared" si="0"/>
        <v>0</v>
      </c>
      <c r="F32" s="758">
        <f t="shared" si="0"/>
        <v>0</v>
      </c>
      <c r="G32" s="758">
        <f t="shared" si="0"/>
        <v>0</v>
      </c>
      <c r="H32" s="759">
        <f t="shared" si="4"/>
        <v>1</v>
      </c>
      <c r="I32" s="757">
        <f t="shared" si="5"/>
        <v>0.2</v>
      </c>
      <c r="J32" s="758">
        <f t="shared" si="1"/>
        <v>0.3</v>
      </c>
      <c r="K32" s="758">
        <f t="shared" si="1"/>
        <v>0.25</v>
      </c>
      <c r="L32" s="758">
        <f t="shared" si="1"/>
        <v>0.05</v>
      </c>
      <c r="M32" s="758">
        <f t="shared" si="1"/>
        <v>0.2</v>
      </c>
      <c r="N32" s="759">
        <f t="shared" si="6"/>
        <v>1</v>
      </c>
      <c r="O32" s="760"/>
      <c r="R32" s="754">
        <f t="shared" si="7"/>
        <v>0.8</v>
      </c>
      <c r="S32" s="755">
        <f t="shared" si="8"/>
        <v>0.71500000000000008</v>
      </c>
    </row>
    <row r="33" spans="2:19">
      <c r="B33" s="756">
        <f t="shared" si="2"/>
        <v>2015</v>
      </c>
      <c r="C33" s="757">
        <f t="shared" si="3"/>
        <v>0</v>
      </c>
      <c r="D33" s="758">
        <f t="shared" si="0"/>
        <v>1</v>
      </c>
      <c r="E33" s="758">
        <f t="shared" si="0"/>
        <v>0</v>
      </c>
      <c r="F33" s="758">
        <f t="shared" si="0"/>
        <v>0</v>
      </c>
      <c r="G33" s="758">
        <f t="shared" si="0"/>
        <v>0</v>
      </c>
      <c r="H33" s="759">
        <f t="shared" si="4"/>
        <v>1</v>
      </c>
      <c r="I33" s="757">
        <f t="shared" si="5"/>
        <v>0.2</v>
      </c>
      <c r="J33" s="758">
        <f t="shared" si="1"/>
        <v>0.3</v>
      </c>
      <c r="K33" s="758">
        <f t="shared" si="1"/>
        <v>0.25</v>
      </c>
      <c r="L33" s="758">
        <f t="shared" si="1"/>
        <v>0.05</v>
      </c>
      <c r="M33" s="758">
        <f t="shared" si="1"/>
        <v>0.2</v>
      </c>
      <c r="N33" s="759">
        <f t="shared" si="6"/>
        <v>1</v>
      </c>
      <c r="O33" s="760"/>
      <c r="R33" s="754">
        <f t="shared" si="7"/>
        <v>0.8</v>
      </c>
      <c r="S33" s="755">
        <f t="shared" si="8"/>
        <v>0.71500000000000008</v>
      </c>
    </row>
    <row r="34" spans="2:19">
      <c r="B34" s="756">
        <f t="shared" si="2"/>
        <v>2016</v>
      </c>
      <c r="C34" s="757">
        <f t="shared" si="3"/>
        <v>0</v>
      </c>
      <c r="D34" s="758">
        <f t="shared" si="3"/>
        <v>1</v>
      </c>
      <c r="E34" s="758">
        <f t="shared" si="3"/>
        <v>0</v>
      </c>
      <c r="F34" s="758">
        <f t="shared" si="3"/>
        <v>0</v>
      </c>
      <c r="G34" s="758">
        <f t="shared" si="3"/>
        <v>0</v>
      </c>
      <c r="H34" s="759">
        <f t="shared" si="4"/>
        <v>1</v>
      </c>
      <c r="I34" s="757">
        <f t="shared" si="5"/>
        <v>0.2</v>
      </c>
      <c r="J34" s="758">
        <f t="shared" si="5"/>
        <v>0.3</v>
      </c>
      <c r="K34" s="758">
        <f t="shared" si="5"/>
        <v>0.25</v>
      </c>
      <c r="L34" s="758">
        <f t="shared" si="5"/>
        <v>0.05</v>
      </c>
      <c r="M34" s="758">
        <f t="shared" si="5"/>
        <v>0.2</v>
      </c>
      <c r="N34" s="759">
        <f t="shared" si="6"/>
        <v>1</v>
      </c>
      <c r="O34" s="760"/>
      <c r="R34" s="754">
        <f t="shared" si="7"/>
        <v>0.8</v>
      </c>
      <c r="S34" s="755">
        <f t="shared" si="8"/>
        <v>0.71500000000000008</v>
      </c>
    </row>
    <row r="35" spans="2:19">
      <c r="B35" s="756">
        <f t="shared" si="2"/>
        <v>2017</v>
      </c>
      <c r="C35" s="757">
        <f t="shared" si="3"/>
        <v>0</v>
      </c>
      <c r="D35" s="758">
        <f t="shared" si="3"/>
        <v>1</v>
      </c>
      <c r="E35" s="758">
        <f t="shared" si="3"/>
        <v>0</v>
      </c>
      <c r="F35" s="758">
        <f t="shared" si="3"/>
        <v>0</v>
      </c>
      <c r="G35" s="758">
        <f t="shared" si="3"/>
        <v>0</v>
      </c>
      <c r="H35" s="759">
        <f t="shared" si="4"/>
        <v>1</v>
      </c>
      <c r="I35" s="757">
        <f t="shared" si="5"/>
        <v>0.2</v>
      </c>
      <c r="J35" s="758">
        <f t="shared" si="5"/>
        <v>0.3</v>
      </c>
      <c r="K35" s="758">
        <f t="shared" si="5"/>
        <v>0.25</v>
      </c>
      <c r="L35" s="758">
        <f t="shared" si="5"/>
        <v>0.05</v>
      </c>
      <c r="M35" s="758">
        <f t="shared" si="5"/>
        <v>0.2</v>
      </c>
      <c r="N35" s="759">
        <f t="shared" si="6"/>
        <v>1</v>
      </c>
      <c r="O35" s="760"/>
      <c r="R35" s="754">
        <f t="shared" si="7"/>
        <v>0.8</v>
      </c>
      <c r="S35" s="755">
        <f t="shared" si="8"/>
        <v>0.71500000000000008</v>
      </c>
    </row>
    <row r="36" spans="2:19">
      <c r="B36" s="756">
        <f t="shared" si="2"/>
        <v>2018</v>
      </c>
      <c r="C36" s="757">
        <f t="shared" si="3"/>
        <v>0</v>
      </c>
      <c r="D36" s="758">
        <f t="shared" si="3"/>
        <v>1</v>
      </c>
      <c r="E36" s="758">
        <f t="shared" si="3"/>
        <v>0</v>
      </c>
      <c r="F36" s="758">
        <f t="shared" si="3"/>
        <v>0</v>
      </c>
      <c r="G36" s="758">
        <f t="shared" si="3"/>
        <v>0</v>
      </c>
      <c r="H36" s="759">
        <f t="shared" si="4"/>
        <v>1</v>
      </c>
      <c r="I36" s="757">
        <f t="shared" si="5"/>
        <v>0.2</v>
      </c>
      <c r="J36" s="758">
        <f t="shared" si="5"/>
        <v>0.3</v>
      </c>
      <c r="K36" s="758">
        <f t="shared" si="5"/>
        <v>0.25</v>
      </c>
      <c r="L36" s="758">
        <f t="shared" si="5"/>
        <v>0.05</v>
      </c>
      <c r="M36" s="758">
        <f t="shared" si="5"/>
        <v>0.2</v>
      </c>
      <c r="N36" s="759">
        <f t="shared" si="6"/>
        <v>1</v>
      </c>
      <c r="O36" s="760"/>
      <c r="R36" s="754">
        <f t="shared" si="7"/>
        <v>0.8</v>
      </c>
      <c r="S36" s="755">
        <f t="shared" si="8"/>
        <v>0.71500000000000008</v>
      </c>
    </row>
    <row r="37" spans="2:19">
      <c r="B37" s="756">
        <f t="shared" si="2"/>
        <v>2019</v>
      </c>
      <c r="C37" s="757">
        <f t="shared" si="3"/>
        <v>0</v>
      </c>
      <c r="D37" s="758">
        <f t="shared" si="3"/>
        <v>1</v>
      </c>
      <c r="E37" s="758">
        <f t="shared" si="3"/>
        <v>0</v>
      </c>
      <c r="F37" s="758">
        <f t="shared" si="3"/>
        <v>0</v>
      </c>
      <c r="G37" s="758">
        <f t="shared" si="3"/>
        <v>0</v>
      </c>
      <c r="H37" s="759">
        <f t="shared" si="4"/>
        <v>1</v>
      </c>
      <c r="I37" s="757">
        <f t="shared" si="5"/>
        <v>0.2</v>
      </c>
      <c r="J37" s="758">
        <f t="shared" si="5"/>
        <v>0.3</v>
      </c>
      <c r="K37" s="758">
        <f t="shared" si="5"/>
        <v>0.25</v>
      </c>
      <c r="L37" s="758">
        <f t="shared" si="5"/>
        <v>0.05</v>
      </c>
      <c r="M37" s="758">
        <f t="shared" si="5"/>
        <v>0.2</v>
      </c>
      <c r="N37" s="759">
        <f t="shared" si="6"/>
        <v>1</v>
      </c>
      <c r="O37" s="760"/>
      <c r="R37" s="754">
        <f t="shared" si="7"/>
        <v>0.8</v>
      </c>
      <c r="S37" s="755">
        <f t="shared" si="8"/>
        <v>0.71500000000000008</v>
      </c>
    </row>
    <row r="38" spans="2:19">
      <c r="B38" s="756">
        <f t="shared" si="2"/>
        <v>2020</v>
      </c>
      <c r="C38" s="757">
        <f t="shared" si="3"/>
        <v>0</v>
      </c>
      <c r="D38" s="758">
        <f t="shared" si="3"/>
        <v>1</v>
      </c>
      <c r="E38" s="758">
        <f t="shared" si="3"/>
        <v>0</v>
      </c>
      <c r="F38" s="758">
        <f t="shared" si="3"/>
        <v>0</v>
      </c>
      <c r="G38" s="758">
        <f t="shared" si="3"/>
        <v>0</v>
      </c>
      <c r="H38" s="759">
        <f t="shared" si="4"/>
        <v>1</v>
      </c>
      <c r="I38" s="757">
        <f t="shared" si="5"/>
        <v>0.2</v>
      </c>
      <c r="J38" s="758">
        <f t="shared" si="5"/>
        <v>0.3</v>
      </c>
      <c r="K38" s="758">
        <f t="shared" si="5"/>
        <v>0.25</v>
      </c>
      <c r="L38" s="758">
        <f t="shared" si="5"/>
        <v>0.05</v>
      </c>
      <c r="M38" s="758">
        <f t="shared" si="5"/>
        <v>0.2</v>
      </c>
      <c r="N38" s="759">
        <f t="shared" si="6"/>
        <v>1</v>
      </c>
      <c r="O38" s="760"/>
      <c r="R38" s="754">
        <f t="shared" si="7"/>
        <v>0.8</v>
      </c>
      <c r="S38" s="755">
        <f t="shared" si="8"/>
        <v>0.71500000000000008</v>
      </c>
    </row>
    <row r="39" spans="2:19">
      <c r="B39" s="756">
        <f t="shared" si="2"/>
        <v>2021</v>
      </c>
      <c r="C39" s="757">
        <f t="shared" si="3"/>
        <v>0</v>
      </c>
      <c r="D39" s="758">
        <f t="shared" si="3"/>
        <v>1</v>
      </c>
      <c r="E39" s="758">
        <f t="shared" si="3"/>
        <v>0</v>
      </c>
      <c r="F39" s="758">
        <f t="shared" si="3"/>
        <v>0</v>
      </c>
      <c r="G39" s="758">
        <f t="shared" si="3"/>
        <v>0</v>
      </c>
      <c r="H39" s="759">
        <f t="shared" si="4"/>
        <v>1</v>
      </c>
      <c r="I39" s="757">
        <f t="shared" si="5"/>
        <v>0.2</v>
      </c>
      <c r="J39" s="758">
        <f t="shared" si="5"/>
        <v>0.3</v>
      </c>
      <c r="K39" s="758">
        <f t="shared" si="5"/>
        <v>0.25</v>
      </c>
      <c r="L39" s="758">
        <f t="shared" si="5"/>
        <v>0.05</v>
      </c>
      <c r="M39" s="758">
        <f t="shared" si="5"/>
        <v>0.2</v>
      </c>
      <c r="N39" s="759">
        <f t="shared" si="6"/>
        <v>1</v>
      </c>
      <c r="O39" s="760"/>
      <c r="R39" s="754">
        <f t="shared" si="7"/>
        <v>0.8</v>
      </c>
      <c r="S39" s="755">
        <f t="shared" si="8"/>
        <v>0.71500000000000008</v>
      </c>
    </row>
    <row r="40" spans="2:19">
      <c r="B40" s="756">
        <f t="shared" si="2"/>
        <v>2022</v>
      </c>
      <c r="C40" s="757">
        <f t="shared" si="3"/>
        <v>0</v>
      </c>
      <c r="D40" s="758">
        <f t="shared" si="3"/>
        <v>1</v>
      </c>
      <c r="E40" s="758">
        <f t="shared" si="3"/>
        <v>0</v>
      </c>
      <c r="F40" s="758">
        <f t="shared" si="3"/>
        <v>0</v>
      </c>
      <c r="G40" s="758">
        <f t="shared" si="3"/>
        <v>0</v>
      </c>
      <c r="H40" s="759">
        <f t="shared" si="4"/>
        <v>1</v>
      </c>
      <c r="I40" s="757">
        <f t="shared" si="5"/>
        <v>0.2</v>
      </c>
      <c r="J40" s="758">
        <f t="shared" si="5"/>
        <v>0.3</v>
      </c>
      <c r="K40" s="758">
        <f t="shared" si="5"/>
        <v>0.25</v>
      </c>
      <c r="L40" s="758">
        <f t="shared" si="5"/>
        <v>0.05</v>
      </c>
      <c r="M40" s="758">
        <f t="shared" si="5"/>
        <v>0.2</v>
      </c>
      <c r="N40" s="759">
        <f t="shared" si="6"/>
        <v>1</v>
      </c>
      <c r="O40" s="760"/>
      <c r="R40" s="754">
        <f t="shared" si="7"/>
        <v>0.8</v>
      </c>
      <c r="S40" s="755">
        <f t="shared" si="8"/>
        <v>0.71500000000000008</v>
      </c>
    </row>
    <row r="41" spans="2:19">
      <c r="B41" s="756">
        <f t="shared" si="2"/>
        <v>2023</v>
      </c>
      <c r="C41" s="757">
        <f t="shared" si="3"/>
        <v>0</v>
      </c>
      <c r="D41" s="758">
        <f t="shared" si="3"/>
        <v>1</v>
      </c>
      <c r="E41" s="758">
        <f t="shared" si="3"/>
        <v>0</v>
      </c>
      <c r="F41" s="758">
        <f t="shared" si="3"/>
        <v>0</v>
      </c>
      <c r="G41" s="758">
        <f t="shared" si="3"/>
        <v>0</v>
      </c>
      <c r="H41" s="759">
        <f t="shared" si="4"/>
        <v>1</v>
      </c>
      <c r="I41" s="757">
        <f t="shared" si="5"/>
        <v>0.2</v>
      </c>
      <c r="J41" s="758">
        <f t="shared" si="5"/>
        <v>0.3</v>
      </c>
      <c r="K41" s="758">
        <f t="shared" si="5"/>
        <v>0.25</v>
      </c>
      <c r="L41" s="758">
        <f t="shared" si="5"/>
        <v>0.05</v>
      </c>
      <c r="M41" s="758">
        <f t="shared" si="5"/>
        <v>0.2</v>
      </c>
      <c r="N41" s="759">
        <f t="shared" si="6"/>
        <v>1</v>
      </c>
      <c r="O41" s="760"/>
      <c r="R41" s="754">
        <f t="shared" si="7"/>
        <v>0.8</v>
      </c>
      <c r="S41" s="755">
        <f t="shared" si="8"/>
        <v>0.71500000000000008</v>
      </c>
    </row>
    <row r="42" spans="2:19">
      <c r="B42" s="756">
        <f t="shared" si="2"/>
        <v>2024</v>
      </c>
      <c r="C42" s="757">
        <f t="shared" si="3"/>
        <v>0</v>
      </c>
      <c r="D42" s="758">
        <f t="shared" si="3"/>
        <v>1</v>
      </c>
      <c r="E42" s="758">
        <f t="shared" si="3"/>
        <v>0</v>
      </c>
      <c r="F42" s="758">
        <f t="shared" si="3"/>
        <v>0</v>
      </c>
      <c r="G42" s="758">
        <f t="shared" si="3"/>
        <v>0</v>
      </c>
      <c r="H42" s="759">
        <f t="shared" si="4"/>
        <v>1</v>
      </c>
      <c r="I42" s="757">
        <f t="shared" si="5"/>
        <v>0.2</v>
      </c>
      <c r="J42" s="758">
        <f t="shared" si="5"/>
        <v>0.3</v>
      </c>
      <c r="K42" s="758">
        <f t="shared" si="5"/>
        <v>0.25</v>
      </c>
      <c r="L42" s="758">
        <f t="shared" si="5"/>
        <v>0.05</v>
      </c>
      <c r="M42" s="758">
        <f t="shared" si="5"/>
        <v>0.2</v>
      </c>
      <c r="N42" s="759">
        <f t="shared" si="6"/>
        <v>1</v>
      </c>
      <c r="O42" s="760"/>
      <c r="R42" s="754">
        <f t="shared" si="7"/>
        <v>0.8</v>
      </c>
      <c r="S42" s="755">
        <f t="shared" si="8"/>
        <v>0.71500000000000008</v>
      </c>
    </row>
    <row r="43" spans="2:19">
      <c r="B43" s="756">
        <f t="shared" si="2"/>
        <v>2025</v>
      </c>
      <c r="C43" s="757">
        <f t="shared" si="3"/>
        <v>0</v>
      </c>
      <c r="D43" s="758">
        <f t="shared" si="3"/>
        <v>1</v>
      </c>
      <c r="E43" s="758">
        <f t="shared" si="3"/>
        <v>0</v>
      </c>
      <c r="F43" s="758">
        <f t="shared" si="3"/>
        <v>0</v>
      </c>
      <c r="G43" s="758">
        <f t="shared" si="3"/>
        <v>0</v>
      </c>
      <c r="H43" s="759">
        <f t="shared" si="4"/>
        <v>1</v>
      </c>
      <c r="I43" s="757">
        <f t="shared" si="5"/>
        <v>0.2</v>
      </c>
      <c r="J43" s="758">
        <f t="shared" si="5"/>
        <v>0.3</v>
      </c>
      <c r="K43" s="758">
        <f t="shared" si="5"/>
        <v>0.25</v>
      </c>
      <c r="L43" s="758">
        <f t="shared" si="5"/>
        <v>0.05</v>
      </c>
      <c r="M43" s="758">
        <f t="shared" si="5"/>
        <v>0.2</v>
      </c>
      <c r="N43" s="759">
        <f t="shared" si="6"/>
        <v>1</v>
      </c>
      <c r="O43" s="760"/>
      <c r="R43" s="754">
        <f t="shared" si="7"/>
        <v>0.8</v>
      </c>
      <c r="S43" s="755">
        <f t="shared" si="8"/>
        <v>0.71500000000000008</v>
      </c>
    </row>
    <row r="44" spans="2:19">
      <c r="B44" s="756">
        <f t="shared" si="2"/>
        <v>2026</v>
      </c>
      <c r="C44" s="757">
        <f t="shared" si="3"/>
        <v>0</v>
      </c>
      <c r="D44" s="758">
        <f t="shared" si="3"/>
        <v>1</v>
      </c>
      <c r="E44" s="758">
        <f t="shared" si="3"/>
        <v>0</v>
      </c>
      <c r="F44" s="758">
        <f t="shared" si="3"/>
        <v>0</v>
      </c>
      <c r="G44" s="758">
        <f t="shared" si="3"/>
        <v>0</v>
      </c>
      <c r="H44" s="759">
        <f t="shared" si="4"/>
        <v>1</v>
      </c>
      <c r="I44" s="757">
        <f t="shared" si="5"/>
        <v>0.2</v>
      </c>
      <c r="J44" s="758">
        <f t="shared" si="5"/>
        <v>0.3</v>
      </c>
      <c r="K44" s="758">
        <f t="shared" si="5"/>
        <v>0.25</v>
      </c>
      <c r="L44" s="758">
        <f t="shared" si="5"/>
        <v>0.05</v>
      </c>
      <c r="M44" s="758">
        <f t="shared" si="5"/>
        <v>0.2</v>
      </c>
      <c r="N44" s="759">
        <f t="shared" si="6"/>
        <v>1</v>
      </c>
      <c r="O44" s="760"/>
      <c r="R44" s="754">
        <f t="shared" si="7"/>
        <v>0.8</v>
      </c>
      <c r="S44" s="755">
        <f t="shared" si="8"/>
        <v>0.71500000000000008</v>
      </c>
    </row>
    <row r="45" spans="2:19">
      <c r="B45" s="756">
        <f t="shared" si="2"/>
        <v>2027</v>
      </c>
      <c r="C45" s="757">
        <f t="shared" si="3"/>
        <v>0</v>
      </c>
      <c r="D45" s="758">
        <f t="shared" si="3"/>
        <v>1</v>
      </c>
      <c r="E45" s="758">
        <f t="shared" si="3"/>
        <v>0</v>
      </c>
      <c r="F45" s="758">
        <f t="shared" si="3"/>
        <v>0</v>
      </c>
      <c r="G45" s="758">
        <f t="shared" si="3"/>
        <v>0</v>
      </c>
      <c r="H45" s="759">
        <f t="shared" si="4"/>
        <v>1</v>
      </c>
      <c r="I45" s="757">
        <f t="shared" si="5"/>
        <v>0.2</v>
      </c>
      <c r="J45" s="758">
        <f t="shared" si="5"/>
        <v>0.3</v>
      </c>
      <c r="K45" s="758">
        <f t="shared" si="5"/>
        <v>0.25</v>
      </c>
      <c r="L45" s="758">
        <f t="shared" si="5"/>
        <v>0.05</v>
      </c>
      <c r="M45" s="758">
        <f t="shared" si="5"/>
        <v>0.2</v>
      </c>
      <c r="N45" s="759">
        <f t="shared" si="6"/>
        <v>1</v>
      </c>
      <c r="O45" s="760"/>
      <c r="R45" s="754">
        <f t="shared" si="7"/>
        <v>0.8</v>
      </c>
      <c r="S45" s="755">
        <f t="shared" si="8"/>
        <v>0.71500000000000008</v>
      </c>
    </row>
    <row r="46" spans="2:19">
      <c r="B46" s="756">
        <f t="shared" si="2"/>
        <v>2028</v>
      </c>
      <c r="C46" s="757">
        <f t="shared" si="3"/>
        <v>0</v>
      </c>
      <c r="D46" s="758">
        <f t="shared" si="3"/>
        <v>1</v>
      </c>
      <c r="E46" s="758">
        <f t="shared" si="3"/>
        <v>0</v>
      </c>
      <c r="F46" s="758">
        <f t="shared" si="3"/>
        <v>0</v>
      </c>
      <c r="G46" s="758">
        <f t="shared" si="3"/>
        <v>0</v>
      </c>
      <c r="H46" s="759">
        <f t="shared" si="4"/>
        <v>1</v>
      </c>
      <c r="I46" s="757">
        <f t="shared" si="5"/>
        <v>0.2</v>
      </c>
      <c r="J46" s="758">
        <f t="shared" si="5"/>
        <v>0.3</v>
      </c>
      <c r="K46" s="758">
        <f t="shared" si="5"/>
        <v>0.25</v>
      </c>
      <c r="L46" s="758">
        <f t="shared" si="5"/>
        <v>0.05</v>
      </c>
      <c r="M46" s="758">
        <f t="shared" si="5"/>
        <v>0.2</v>
      </c>
      <c r="N46" s="759">
        <f t="shared" si="6"/>
        <v>1</v>
      </c>
      <c r="O46" s="760"/>
      <c r="R46" s="754">
        <f t="shared" si="7"/>
        <v>0.8</v>
      </c>
      <c r="S46" s="755">
        <f t="shared" si="8"/>
        <v>0.71500000000000008</v>
      </c>
    </row>
    <row r="47" spans="2:19">
      <c r="B47" s="756">
        <f t="shared" si="2"/>
        <v>2029</v>
      </c>
      <c r="C47" s="757">
        <f t="shared" si="3"/>
        <v>0</v>
      </c>
      <c r="D47" s="758">
        <f t="shared" si="3"/>
        <v>1</v>
      </c>
      <c r="E47" s="758">
        <f t="shared" si="3"/>
        <v>0</v>
      </c>
      <c r="F47" s="758">
        <f t="shared" si="3"/>
        <v>0</v>
      </c>
      <c r="G47" s="758">
        <f t="shared" si="3"/>
        <v>0</v>
      </c>
      <c r="H47" s="759">
        <f t="shared" si="4"/>
        <v>1</v>
      </c>
      <c r="I47" s="757">
        <f t="shared" si="5"/>
        <v>0.2</v>
      </c>
      <c r="J47" s="758">
        <f t="shared" si="5"/>
        <v>0.3</v>
      </c>
      <c r="K47" s="758">
        <f t="shared" si="5"/>
        <v>0.25</v>
      </c>
      <c r="L47" s="758">
        <f t="shared" si="5"/>
        <v>0.05</v>
      </c>
      <c r="M47" s="758">
        <f t="shared" si="5"/>
        <v>0.2</v>
      </c>
      <c r="N47" s="759">
        <f t="shared" si="6"/>
        <v>1</v>
      </c>
      <c r="O47" s="760"/>
      <c r="R47" s="754">
        <f t="shared" si="7"/>
        <v>0.8</v>
      </c>
      <c r="S47" s="755">
        <f t="shared" si="8"/>
        <v>0.71500000000000008</v>
      </c>
    </row>
    <row r="48" spans="2:19">
      <c r="B48" s="756">
        <f t="shared" si="2"/>
        <v>2030</v>
      </c>
      <c r="C48" s="757">
        <f t="shared" si="3"/>
        <v>0</v>
      </c>
      <c r="D48" s="758">
        <f t="shared" si="3"/>
        <v>1</v>
      </c>
      <c r="E48" s="758">
        <f t="shared" si="3"/>
        <v>0</v>
      </c>
      <c r="F48" s="758">
        <f t="shared" si="3"/>
        <v>0</v>
      </c>
      <c r="G48" s="758">
        <f t="shared" si="3"/>
        <v>0</v>
      </c>
      <c r="H48" s="759">
        <f t="shared" si="4"/>
        <v>1</v>
      </c>
      <c r="I48" s="757">
        <f t="shared" si="5"/>
        <v>0.2</v>
      </c>
      <c r="J48" s="758">
        <f t="shared" si="5"/>
        <v>0.3</v>
      </c>
      <c r="K48" s="758">
        <f t="shared" si="5"/>
        <v>0.25</v>
      </c>
      <c r="L48" s="758">
        <f t="shared" si="5"/>
        <v>0.05</v>
      </c>
      <c r="M48" s="758">
        <f t="shared" si="5"/>
        <v>0.2</v>
      </c>
      <c r="N48" s="759">
        <f t="shared" si="6"/>
        <v>1</v>
      </c>
      <c r="O48" s="760"/>
      <c r="R48" s="754">
        <f t="shared" si="7"/>
        <v>0.8</v>
      </c>
      <c r="S48" s="755">
        <f t="shared" si="8"/>
        <v>0.71500000000000008</v>
      </c>
    </row>
    <row r="49" spans="2:19">
      <c r="B49" s="756">
        <f t="shared" si="2"/>
        <v>2031</v>
      </c>
      <c r="C49" s="757">
        <f t="shared" si="3"/>
        <v>0</v>
      </c>
      <c r="D49" s="758">
        <f t="shared" si="3"/>
        <v>1</v>
      </c>
      <c r="E49" s="758">
        <f t="shared" si="3"/>
        <v>0</v>
      </c>
      <c r="F49" s="758">
        <f t="shared" si="3"/>
        <v>0</v>
      </c>
      <c r="G49" s="758">
        <f t="shared" si="3"/>
        <v>0</v>
      </c>
      <c r="H49" s="759">
        <f t="shared" si="4"/>
        <v>1</v>
      </c>
      <c r="I49" s="757">
        <f t="shared" si="5"/>
        <v>0.2</v>
      </c>
      <c r="J49" s="758">
        <f t="shared" si="5"/>
        <v>0.3</v>
      </c>
      <c r="K49" s="758">
        <f t="shared" si="5"/>
        <v>0.25</v>
      </c>
      <c r="L49" s="758">
        <f t="shared" si="5"/>
        <v>0.05</v>
      </c>
      <c r="M49" s="758">
        <f t="shared" si="5"/>
        <v>0.2</v>
      </c>
      <c r="N49" s="759">
        <f t="shared" si="6"/>
        <v>1</v>
      </c>
      <c r="O49" s="760"/>
      <c r="R49" s="754">
        <f t="shared" si="7"/>
        <v>0.8</v>
      </c>
      <c r="S49" s="755">
        <f t="shared" si="8"/>
        <v>0.71500000000000008</v>
      </c>
    </row>
    <row r="50" spans="2:19">
      <c r="B50" s="756">
        <f t="shared" si="2"/>
        <v>2032</v>
      </c>
      <c r="C50" s="757">
        <f t="shared" si="3"/>
        <v>0</v>
      </c>
      <c r="D50" s="758">
        <f t="shared" si="3"/>
        <v>1</v>
      </c>
      <c r="E50" s="758">
        <f t="shared" si="3"/>
        <v>0</v>
      </c>
      <c r="F50" s="758">
        <f t="shared" si="3"/>
        <v>0</v>
      </c>
      <c r="G50" s="758">
        <f t="shared" si="3"/>
        <v>0</v>
      </c>
      <c r="H50" s="759">
        <f t="shared" si="4"/>
        <v>1</v>
      </c>
      <c r="I50" s="757">
        <f t="shared" si="5"/>
        <v>0.2</v>
      </c>
      <c r="J50" s="758">
        <f t="shared" si="5"/>
        <v>0.3</v>
      </c>
      <c r="K50" s="758">
        <f t="shared" si="5"/>
        <v>0.25</v>
      </c>
      <c r="L50" s="758">
        <f t="shared" si="5"/>
        <v>0.05</v>
      </c>
      <c r="M50" s="758">
        <f t="shared" si="5"/>
        <v>0.2</v>
      </c>
      <c r="N50" s="759">
        <f t="shared" si="6"/>
        <v>1</v>
      </c>
      <c r="O50" s="760"/>
      <c r="R50" s="754">
        <f t="shared" si="7"/>
        <v>0.8</v>
      </c>
      <c r="S50" s="755">
        <f t="shared" si="8"/>
        <v>0.71500000000000008</v>
      </c>
    </row>
    <row r="51" spans="2:19">
      <c r="B51" s="756">
        <f t="shared" ref="B51:B82" si="9">B50+1</f>
        <v>2033</v>
      </c>
      <c r="C51" s="757">
        <f t="shared" ref="C51:G98" si="10">C$16</f>
        <v>0</v>
      </c>
      <c r="D51" s="758">
        <f t="shared" si="10"/>
        <v>1</v>
      </c>
      <c r="E51" s="758">
        <f t="shared" si="10"/>
        <v>0</v>
      </c>
      <c r="F51" s="758">
        <f t="shared" si="10"/>
        <v>0</v>
      </c>
      <c r="G51" s="758">
        <f t="shared" si="10"/>
        <v>0</v>
      </c>
      <c r="H51" s="759">
        <f t="shared" si="4"/>
        <v>1</v>
      </c>
      <c r="I51" s="757">
        <f t="shared" ref="I51:M98" si="11">I$16</f>
        <v>0.2</v>
      </c>
      <c r="J51" s="758">
        <f t="shared" si="11"/>
        <v>0.3</v>
      </c>
      <c r="K51" s="758">
        <f t="shared" si="11"/>
        <v>0.25</v>
      </c>
      <c r="L51" s="758">
        <f t="shared" si="11"/>
        <v>0.05</v>
      </c>
      <c r="M51" s="758">
        <f t="shared" si="11"/>
        <v>0.2</v>
      </c>
      <c r="N51" s="759">
        <f t="shared" si="6"/>
        <v>1</v>
      </c>
      <c r="O51" s="760"/>
      <c r="R51" s="754">
        <f t="shared" si="7"/>
        <v>0.8</v>
      </c>
      <c r="S51" s="755">
        <f t="shared" si="8"/>
        <v>0.71500000000000008</v>
      </c>
    </row>
    <row r="52" spans="2:19">
      <c r="B52" s="756">
        <f t="shared" si="9"/>
        <v>2034</v>
      </c>
      <c r="C52" s="757">
        <f t="shared" si="10"/>
        <v>0</v>
      </c>
      <c r="D52" s="758">
        <f t="shared" si="10"/>
        <v>1</v>
      </c>
      <c r="E52" s="758">
        <f t="shared" si="10"/>
        <v>0</v>
      </c>
      <c r="F52" s="758">
        <f t="shared" si="10"/>
        <v>0</v>
      </c>
      <c r="G52" s="758">
        <f t="shared" si="10"/>
        <v>0</v>
      </c>
      <c r="H52" s="759">
        <f t="shared" si="4"/>
        <v>1</v>
      </c>
      <c r="I52" s="757">
        <f t="shared" si="11"/>
        <v>0.2</v>
      </c>
      <c r="J52" s="758">
        <f t="shared" si="11"/>
        <v>0.3</v>
      </c>
      <c r="K52" s="758">
        <f t="shared" si="11"/>
        <v>0.25</v>
      </c>
      <c r="L52" s="758">
        <f t="shared" si="11"/>
        <v>0.05</v>
      </c>
      <c r="M52" s="758">
        <f t="shared" si="11"/>
        <v>0.2</v>
      </c>
      <c r="N52" s="759">
        <f t="shared" si="6"/>
        <v>1</v>
      </c>
      <c r="O52" s="760"/>
      <c r="R52" s="754">
        <f t="shared" si="7"/>
        <v>0.8</v>
      </c>
      <c r="S52" s="755">
        <f t="shared" si="8"/>
        <v>0.71500000000000008</v>
      </c>
    </row>
    <row r="53" spans="2:19">
      <c r="B53" s="756">
        <f t="shared" si="9"/>
        <v>2035</v>
      </c>
      <c r="C53" s="757">
        <f t="shared" si="10"/>
        <v>0</v>
      </c>
      <c r="D53" s="758">
        <f t="shared" si="10"/>
        <v>1</v>
      </c>
      <c r="E53" s="758">
        <f t="shared" si="10"/>
        <v>0</v>
      </c>
      <c r="F53" s="758">
        <f t="shared" si="10"/>
        <v>0</v>
      </c>
      <c r="G53" s="758">
        <f t="shared" si="10"/>
        <v>0</v>
      </c>
      <c r="H53" s="759">
        <f t="shared" si="4"/>
        <v>1</v>
      </c>
      <c r="I53" s="757">
        <f t="shared" si="11"/>
        <v>0.2</v>
      </c>
      <c r="J53" s="758">
        <f t="shared" si="11"/>
        <v>0.3</v>
      </c>
      <c r="K53" s="758">
        <f t="shared" si="11"/>
        <v>0.25</v>
      </c>
      <c r="L53" s="758">
        <f t="shared" si="11"/>
        <v>0.05</v>
      </c>
      <c r="M53" s="758">
        <f t="shared" si="11"/>
        <v>0.2</v>
      </c>
      <c r="N53" s="759">
        <f t="shared" si="6"/>
        <v>1</v>
      </c>
      <c r="O53" s="760"/>
      <c r="R53" s="754">
        <f t="shared" si="7"/>
        <v>0.8</v>
      </c>
      <c r="S53" s="755">
        <f t="shared" si="8"/>
        <v>0.71500000000000008</v>
      </c>
    </row>
    <row r="54" spans="2:19">
      <c r="B54" s="756">
        <f t="shared" si="9"/>
        <v>2036</v>
      </c>
      <c r="C54" s="757">
        <f t="shared" si="10"/>
        <v>0</v>
      </c>
      <c r="D54" s="758">
        <f t="shared" si="10"/>
        <v>1</v>
      </c>
      <c r="E54" s="758">
        <f t="shared" si="10"/>
        <v>0</v>
      </c>
      <c r="F54" s="758">
        <f t="shared" si="10"/>
        <v>0</v>
      </c>
      <c r="G54" s="758">
        <f t="shared" si="10"/>
        <v>0</v>
      </c>
      <c r="H54" s="759">
        <f t="shared" si="4"/>
        <v>1</v>
      </c>
      <c r="I54" s="757">
        <f t="shared" si="11"/>
        <v>0.2</v>
      </c>
      <c r="J54" s="758">
        <f t="shared" si="11"/>
        <v>0.3</v>
      </c>
      <c r="K54" s="758">
        <f t="shared" si="11"/>
        <v>0.25</v>
      </c>
      <c r="L54" s="758">
        <f t="shared" si="11"/>
        <v>0.05</v>
      </c>
      <c r="M54" s="758">
        <f t="shared" si="11"/>
        <v>0.2</v>
      </c>
      <c r="N54" s="759">
        <f t="shared" si="6"/>
        <v>1</v>
      </c>
      <c r="O54" s="760"/>
      <c r="R54" s="754">
        <f t="shared" si="7"/>
        <v>0.8</v>
      </c>
      <c r="S54" s="755">
        <f t="shared" si="8"/>
        <v>0.71500000000000008</v>
      </c>
    </row>
    <row r="55" spans="2:19">
      <c r="B55" s="756">
        <f t="shared" si="9"/>
        <v>2037</v>
      </c>
      <c r="C55" s="757">
        <f t="shared" si="10"/>
        <v>0</v>
      </c>
      <c r="D55" s="758">
        <f t="shared" si="10"/>
        <v>1</v>
      </c>
      <c r="E55" s="758">
        <f t="shared" si="10"/>
        <v>0</v>
      </c>
      <c r="F55" s="758">
        <f t="shared" si="10"/>
        <v>0</v>
      </c>
      <c r="G55" s="758">
        <f t="shared" si="10"/>
        <v>0</v>
      </c>
      <c r="H55" s="759">
        <f t="shared" si="4"/>
        <v>1</v>
      </c>
      <c r="I55" s="757">
        <f t="shared" si="11"/>
        <v>0.2</v>
      </c>
      <c r="J55" s="758">
        <f t="shared" si="11"/>
        <v>0.3</v>
      </c>
      <c r="K55" s="758">
        <f t="shared" si="11"/>
        <v>0.25</v>
      </c>
      <c r="L55" s="758">
        <f t="shared" si="11"/>
        <v>0.05</v>
      </c>
      <c r="M55" s="758">
        <f t="shared" si="11"/>
        <v>0.2</v>
      </c>
      <c r="N55" s="759">
        <f t="shared" si="6"/>
        <v>1</v>
      </c>
      <c r="O55" s="760"/>
      <c r="R55" s="754">
        <f t="shared" si="7"/>
        <v>0.8</v>
      </c>
      <c r="S55" s="755">
        <f t="shared" si="8"/>
        <v>0.71500000000000008</v>
      </c>
    </row>
    <row r="56" spans="2:19">
      <c r="B56" s="756">
        <f t="shared" si="9"/>
        <v>2038</v>
      </c>
      <c r="C56" s="757">
        <f t="shared" si="10"/>
        <v>0</v>
      </c>
      <c r="D56" s="758">
        <f t="shared" si="10"/>
        <v>1</v>
      </c>
      <c r="E56" s="758">
        <f t="shared" si="10"/>
        <v>0</v>
      </c>
      <c r="F56" s="758">
        <f t="shared" si="10"/>
        <v>0</v>
      </c>
      <c r="G56" s="758">
        <f t="shared" si="10"/>
        <v>0</v>
      </c>
      <c r="H56" s="759">
        <f t="shared" si="4"/>
        <v>1</v>
      </c>
      <c r="I56" s="757">
        <f t="shared" si="11"/>
        <v>0.2</v>
      </c>
      <c r="J56" s="758">
        <f t="shared" si="11"/>
        <v>0.3</v>
      </c>
      <c r="K56" s="758">
        <f t="shared" si="11"/>
        <v>0.25</v>
      </c>
      <c r="L56" s="758">
        <f t="shared" si="11"/>
        <v>0.05</v>
      </c>
      <c r="M56" s="758">
        <f t="shared" si="11"/>
        <v>0.2</v>
      </c>
      <c r="N56" s="759">
        <f t="shared" si="6"/>
        <v>1</v>
      </c>
      <c r="O56" s="760"/>
      <c r="R56" s="754">
        <f t="shared" si="7"/>
        <v>0.8</v>
      </c>
      <c r="S56" s="755">
        <f t="shared" si="8"/>
        <v>0.71500000000000008</v>
      </c>
    </row>
    <row r="57" spans="2:19">
      <c r="B57" s="756">
        <f t="shared" si="9"/>
        <v>2039</v>
      </c>
      <c r="C57" s="757">
        <f t="shared" si="10"/>
        <v>0</v>
      </c>
      <c r="D57" s="758">
        <f t="shared" si="10"/>
        <v>1</v>
      </c>
      <c r="E57" s="758">
        <f t="shared" si="10"/>
        <v>0</v>
      </c>
      <c r="F57" s="758">
        <f t="shared" si="10"/>
        <v>0</v>
      </c>
      <c r="G57" s="758">
        <f t="shared" si="10"/>
        <v>0</v>
      </c>
      <c r="H57" s="759">
        <f t="shared" si="4"/>
        <v>1</v>
      </c>
      <c r="I57" s="757">
        <f t="shared" si="11"/>
        <v>0.2</v>
      </c>
      <c r="J57" s="758">
        <f t="shared" si="11"/>
        <v>0.3</v>
      </c>
      <c r="K57" s="758">
        <f t="shared" si="11"/>
        <v>0.25</v>
      </c>
      <c r="L57" s="758">
        <f t="shared" si="11"/>
        <v>0.05</v>
      </c>
      <c r="M57" s="758">
        <f t="shared" si="11"/>
        <v>0.2</v>
      </c>
      <c r="N57" s="759">
        <f t="shared" si="6"/>
        <v>1</v>
      </c>
      <c r="O57" s="760"/>
      <c r="R57" s="754">
        <f t="shared" si="7"/>
        <v>0.8</v>
      </c>
      <c r="S57" s="755">
        <f t="shared" si="8"/>
        <v>0.71500000000000008</v>
      </c>
    </row>
    <row r="58" spans="2:19">
      <c r="B58" s="756">
        <f t="shared" si="9"/>
        <v>2040</v>
      </c>
      <c r="C58" s="757">
        <f t="shared" si="10"/>
        <v>0</v>
      </c>
      <c r="D58" s="758">
        <f t="shared" si="10"/>
        <v>1</v>
      </c>
      <c r="E58" s="758">
        <f t="shared" si="10"/>
        <v>0</v>
      </c>
      <c r="F58" s="758">
        <f t="shared" si="10"/>
        <v>0</v>
      </c>
      <c r="G58" s="758">
        <f t="shared" si="10"/>
        <v>0</v>
      </c>
      <c r="H58" s="759">
        <f t="shared" si="4"/>
        <v>1</v>
      </c>
      <c r="I58" s="757">
        <f t="shared" si="11"/>
        <v>0.2</v>
      </c>
      <c r="J58" s="758">
        <f t="shared" si="11"/>
        <v>0.3</v>
      </c>
      <c r="K58" s="758">
        <f t="shared" si="11"/>
        <v>0.25</v>
      </c>
      <c r="L58" s="758">
        <f t="shared" si="11"/>
        <v>0.05</v>
      </c>
      <c r="M58" s="758">
        <f t="shared" si="11"/>
        <v>0.2</v>
      </c>
      <c r="N58" s="759">
        <f t="shared" si="6"/>
        <v>1</v>
      </c>
      <c r="O58" s="760"/>
      <c r="R58" s="754">
        <f t="shared" si="7"/>
        <v>0.8</v>
      </c>
      <c r="S58" s="755">
        <f t="shared" si="8"/>
        <v>0.71500000000000008</v>
      </c>
    </row>
    <row r="59" spans="2:19">
      <c r="B59" s="756">
        <f t="shared" si="9"/>
        <v>2041</v>
      </c>
      <c r="C59" s="757">
        <f t="shared" si="10"/>
        <v>0</v>
      </c>
      <c r="D59" s="758">
        <f t="shared" si="10"/>
        <v>1</v>
      </c>
      <c r="E59" s="758">
        <f t="shared" si="10"/>
        <v>0</v>
      </c>
      <c r="F59" s="758">
        <f t="shared" si="10"/>
        <v>0</v>
      </c>
      <c r="G59" s="758">
        <f t="shared" si="10"/>
        <v>0</v>
      </c>
      <c r="H59" s="759">
        <f t="shared" si="4"/>
        <v>1</v>
      </c>
      <c r="I59" s="757">
        <f t="shared" si="11"/>
        <v>0.2</v>
      </c>
      <c r="J59" s="758">
        <f t="shared" si="11"/>
        <v>0.3</v>
      </c>
      <c r="K59" s="758">
        <f t="shared" si="11"/>
        <v>0.25</v>
      </c>
      <c r="L59" s="758">
        <f t="shared" si="11"/>
        <v>0.05</v>
      </c>
      <c r="M59" s="758">
        <f t="shared" si="11"/>
        <v>0.2</v>
      </c>
      <c r="N59" s="759">
        <f t="shared" si="6"/>
        <v>1</v>
      </c>
      <c r="O59" s="760"/>
      <c r="R59" s="754">
        <f t="shared" si="7"/>
        <v>0.8</v>
      </c>
      <c r="S59" s="755">
        <f t="shared" si="8"/>
        <v>0.71500000000000008</v>
      </c>
    </row>
    <row r="60" spans="2:19">
      <c r="B60" s="756">
        <f t="shared" si="9"/>
        <v>2042</v>
      </c>
      <c r="C60" s="757">
        <f t="shared" si="10"/>
        <v>0</v>
      </c>
      <c r="D60" s="758">
        <f t="shared" si="10"/>
        <v>1</v>
      </c>
      <c r="E60" s="758">
        <f t="shared" si="10"/>
        <v>0</v>
      </c>
      <c r="F60" s="758">
        <f t="shared" si="10"/>
        <v>0</v>
      </c>
      <c r="G60" s="758">
        <f t="shared" si="10"/>
        <v>0</v>
      </c>
      <c r="H60" s="759">
        <f t="shared" si="4"/>
        <v>1</v>
      </c>
      <c r="I60" s="757">
        <f t="shared" si="11"/>
        <v>0.2</v>
      </c>
      <c r="J60" s="758">
        <f t="shared" si="11"/>
        <v>0.3</v>
      </c>
      <c r="K60" s="758">
        <f t="shared" si="11"/>
        <v>0.25</v>
      </c>
      <c r="L60" s="758">
        <f t="shared" si="11"/>
        <v>0.05</v>
      </c>
      <c r="M60" s="758">
        <f t="shared" si="11"/>
        <v>0.2</v>
      </c>
      <c r="N60" s="759">
        <f t="shared" si="6"/>
        <v>1</v>
      </c>
      <c r="O60" s="760"/>
      <c r="R60" s="754">
        <f t="shared" si="7"/>
        <v>0.8</v>
      </c>
      <c r="S60" s="755">
        <f t="shared" si="8"/>
        <v>0.71500000000000008</v>
      </c>
    </row>
    <row r="61" spans="2:19">
      <c r="B61" s="756">
        <f t="shared" si="9"/>
        <v>2043</v>
      </c>
      <c r="C61" s="757">
        <f t="shared" si="10"/>
        <v>0</v>
      </c>
      <c r="D61" s="758">
        <f t="shared" si="10"/>
        <v>1</v>
      </c>
      <c r="E61" s="758">
        <f t="shared" si="10"/>
        <v>0</v>
      </c>
      <c r="F61" s="758">
        <f t="shared" si="10"/>
        <v>0</v>
      </c>
      <c r="G61" s="758">
        <f t="shared" si="10"/>
        <v>0</v>
      </c>
      <c r="H61" s="759">
        <f t="shared" si="4"/>
        <v>1</v>
      </c>
      <c r="I61" s="757">
        <f t="shared" si="11"/>
        <v>0.2</v>
      </c>
      <c r="J61" s="758">
        <f t="shared" si="11"/>
        <v>0.3</v>
      </c>
      <c r="K61" s="758">
        <f t="shared" si="11"/>
        <v>0.25</v>
      </c>
      <c r="L61" s="758">
        <f t="shared" si="11"/>
        <v>0.05</v>
      </c>
      <c r="M61" s="758">
        <f t="shared" si="11"/>
        <v>0.2</v>
      </c>
      <c r="N61" s="759">
        <f t="shared" si="6"/>
        <v>1</v>
      </c>
      <c r="O61" s="760"/>
      <c r="R61" s="754">
        <f t="shared" si="7"/>
        <v>0.8</v>
      </c>
      <c r="S61" s="755">
        <f t="shared" si="8"/>
        <v>0.71500000000000008</v>
      </c>
    </row>
    <row r="62" spans="2:19">
      <c r="B62" s="756">
        <f t="shared" si="9"/>
        <v>2044</v>
      </c>
      <c r="C62" s="757">
        <f t="shared" si="10"/>
        <v>0</v>
      </c>
      <c r="D62" s="758">
        <f t="shared" si="10"/>
        <v>1</v>
      </c>
      <c r="E62" s="758">
        <f t="shared" si="10"/>
        <v>0</v>
      </c>
      <c r="F62" s="758">
        <f t="shared" si="10"/>
        <v>0</v>
      </c>
      <c r="G62" s="758">
        <f t="shared" si="10"/>
        <v>0</v>
      </c>
      <c r="H62" s="759">
        <f t="shared" si="4"/>
        <v>1</v>
      </c>
      <c r="I62" s="757">
        <f t="shared" si="11"/>
        <v>0.2</v>
      </c>
      <c r="J62" s="758">
        <f t="shared" si="11"/>
        <v>0.3</v>
      </c>
      <c r="K62" s="758">
        <f t="shared" si="11"/>
        <v>0.25</v>
      </c>
      <c r="L62" s="758">
        <f t="shared" si="11"/>
        <v>0.05</v>
      </c>
      <c r="M62" s="758">
        <f t="shared" si="11"/>
        <v>0.2</v>
      </c>
      <c r="N62" s="759">
        <f t="shared" si="6"/>
        <v>1</v>
      </c>
      <c r="O62" s="760"/>
      <c r="R62" s="754">
        <f t="shared" si="7"/>
        <v>0.8</v>
      </c>
      <c r="S62" s="755">
        <f t="shared" si="8"/>
        <v>0.71500000000000008</v>
      </c>
    </row>
    <row r="63" spans="2:19">
      <c r="B63" s="756">
        <f t="shared" si="9"/>
        <v>2045</v>
      </c>
      <c r="C63" s="757">
        <f t="shared" si="10"/>
        <v>0</v>
      </c>
      <c r="D63" s="758">
        <f t="shared" si="10"/>
        <v>1</v>
      </c>
      <c r="E63" s="758">
        <f t="shared" si="10"/>
        <v>0</v>
      </c>
      <c r="F63" s="758">
        <f t="shared" si="10"/>
        <v>0</v>
      </c>
      <c r="G63" s="758">
        <f t="shared" si="10"/>
        <v>0</v>
      </c>
      <c r="H63" s="759">
        <f t="shared" si="4"/>
        <v>1</v>
      </c>
      <c r="I63" s="757">
        <f t="shared" si="11"/>
        <v>0.2</v>
      </c>
      <c r="J63" s="758">
        <f t="shared" si="11"/>
        <v>0.3</v>
      </c>
      <c r="K63" s="758">
        <f t="shared" si="11"/>
        <v>0.25</v>
      </c>
      <c r="L63" s="758">
        <f t="shared" si="11"/>
        <v>0.05</v>
      </c>
      <c r="M63" s="758">
        <f t="shared" si="11"/>
        <v>0.2</v>
      </c>
      <c r="N63" s="759">
        <f t="shared" si="6"/>
        <v>1</v>
      </c>
      <c r="O63" s="760"/>
      <c r="R63" s="754">
        <f t="shared" si="7"/>
        <v>0.8</v>
      </c>
      <c r="S63" s="755">
        <f t="shared" si="8"/>
        <v>0.71500000000000008</v>
      </c>
    </row>
    <row r="64" spans="2:19">
      <c r="B64" s="756">
        <f t="shared" si="9"/>
        <v>2046</v>
      </c>
      <c r="C64" s="757">
        <f t="shared" si="10"/>
        <v>0</v>
      </c>
      <c r="D64" s="758">
        <f t="shared" si="10"/>
        <v>1</v>
      </c>
      <c r="E64" s="758">
        <f t="shared" si="10"/>
        <v>0</v>
      </c>
      <c r="F64" s="758">
        <f t="shared" si="10"/>
        <v>0</v>
      </c>
      <c r="G64" s="758">
        <f t="shared" si="10"/>
        <v>0</v>
      </c>
      <c r="H64" s="759">
        <f t="shared" si="4"/>
        <v>1</v>
      </c>
      <c r="I64" s="757">
        <f t="shared" si="11"/>
        <v>0.2</v>
      </c>
      <c r="J64" s="758">
        <f t="shared" si="11"/>
        <v>0.3</v>
      </c>
      <c r="K64" s="758">
        <f t="shared" si="11"/>
        <v>0.25</v>
      </c>
      <c r="L64" s="758">
        <f t="shared" si="11"/>
        <v>0.05</v>
      </c>
      <c r="M64" s="758">
        <f t="shared" si="11"/>
        <v>0.2</v>
      </c>
      <c r="N64" s="759">
        <f t="shared" si="6"/>
        <v>1</v>
      </c>
      <c r="O64" s="760"/>
      <c r="R64" s="754">
        <f t="shared" si="7"/>
        <v>0.8</v>
      </c>
      <c r="S64" s="755">
        <f t="shared" si="8"/>
        <v>0.71500000000000008</v>
      </c>
    </row>
    <row r="65" spans="2:19">
      <c r="B65" s="756">
        <f t="shared" si="9"/>
        <v>2047</v>
      </c>
      <c r="C65" s="757">
        <f t="shared" si="10"/>
        <v>0</v>
      </c>
      <c r="D65" s="758">
        <f t="shared" si="10"/>
        <v>1</v>
      </c>
      <c r="E65" s="758">
        <f t="shared" si="10"/>
        <v>0</v>
      </c>
      <c r="F65" s="758">
        <f t="shared" si="10"/>
        <v>0</v>
      </c>
      <c r="G65" s="758">
        <f t="shared" si="10"/>
        <v>0</v>
      </c>
      <c r="H65" s="759">
        <f t="shared" si="4"/>
        <v>1</v>
      </c>
      <c r="I65" s="757">
        <f t="shared" si="11"/>
        <v>0.2</v>
      </c>
      <c r="J65" s="758">
        <f t="shared" si="11"/>
        <v>0.3</v>
      </c>
      <c r="K65" s="758">
        <f t="shared" si="11"/>
        <v>0.25</v>
      </c>
      <c r="L65" s="758">
        <f t="shared" si="11"/>
        <v>0.05</v>
      </c>
      <c r="M65" s="758">
        <f t="shared" si="11"/>
        <v>0.2</v>
      </c>
      <c r="N65" s="759">
        <f t="shared" si="6"/>
        <v>1</v>
      </c>
      <c r="O65" s="760"/>
      <c r="R65" s="754">
        <f t="shared" si="7"/>
        <v>0.8</v>
      </c>
      <c r="S65" s="755">
        <f t="shared" si="8"/>
        <v>0.71500000000000008</v>
      </c>
    </row>
    <row r="66" spans="2:19">
      <c r="B66" s="756">
        <f t="shared" si="9"/>
        <v>2048</v>
      </c>
      <c r="C66" s="757">
        <f t="shared" si="10"/>
        <v>0</v>
      </c>
      <c r="D66" s="758">
        <f t="shared" si="10"/>
        <v>1</v>
      </c>
      <c r="E66" s="758">
        <f t="shared" si="10"/>
        <v>0</v>
      </c>
      <c r="F66" s="758">
        <f t="shared" si="10"/>
        <v>0</v>
      </c>
      <c r="G66" s="758">
        <f t="shared" si="10"/>
        <v>0</v>
      </c>
      <c r="H66" s="759">
        <f t="shared" si="4"/>
        <v>1</v>
      </c>
      <c r="I66" s="757">
        <f t="shared" si="11"/>
        <v>0.2</v>
      </c>
      <c r="J66" s="758">
        <f t="shared" si="11"/>
        <v>0.3</v>
      </c>
      <c r="K66" s="758">
        <f t="shared" si="11"/>
        <v>0.25</v>
      </c>
      <c r="L66" s="758">
        <f t="shared" si="11"/>
        <v>0.05</v>
      </c>
      <c r="M66" s="758">
        <f t="shared" si="11"/>
        <v>0.2</v>
      </c>
      <c r="N66" s="759">
        <f t="shared" si="6"/>
        <v>1</v>
      </c>
      <c r="O66" s="760"/>
      <c r="R66" s="754">
        <f t="shared" si="7"/>
        <v>0.8</v>
      </c>
      <c r="S66" s="755">
        <f t="shared" si="8"/>
        <v>0.71500000000000008</v>
      </c>
    </row>
    <row r="67" spans="2:19">
      <c r="B67" s="756">
        <f t="shared" si="9"/>
        <v>2049</v>
      </c>
      <c r="C67" s="757">
        <f t="shared" si="10"/>
        <v>0</v>
      </c>
      <c r="D67" s="758">
        <f t="shared" si="10"/>
        <v>1</v>
      </c>
      <c r="E67" s="758">
        <f t="shared" si="10"/>
        <v>0</v>
      </c>
      <c r="F67" s="758">
        <f t="shared" si="10"/>
        <v>0</v>
      </c>
      <c r="G67" s="758">
        <f t="shared" si="10"/>
        <v>0</v>
      </c>
      <c r="H67" s="759">
        <f t="shared" si="4"/>
        <v>1</v>
      </c>
      <c r="I67" s="757">
        <f t="shared" si="11"/>
        <v>0.2</v>
      </c>
      <c r="J67" s="758">
        <f t="shared" si="11"/>
        <v>0.3</v>
      </c>
      <c r="K67" s="758">
        <f t="shared" si="11"/>
        <v>0.25</v>
      </c>
      <c r="L67" s="758">
        <f t="shared" si="11"/>
        <v>0.05</v>
      </c>
      <c r="M67" s="758">
        <f t="shared" si="11"/>
        <v>0.2</v>
      </c>
      <c r="N67" s="759">
        <f t="shared" si="6"/>
        <v>1</v>
      </c>
      <c r="O67" s="760"/>
      <c r="R67" s="754">
        <f t="shared" si="7"/>
        <v>0.8</v>
      </c>
      <c r="S67" s="755">
        <f t="shared" si="8"/>
        <v>0.71500000000000008</v>
      </c>
    </row>
    <row r="68" spans="2:19">
      <c r="B68" s="756">
        <f t="shared" si="9"/>
        <v>2050</v>
      </c>
      <c r="C68" s="757">
        <f t="shared" si="10"/>
        <v>0</v>
      </c>
      <c r="D68" s="758">
        <f t="shared" si="10"/>
        <v>1</v>
      </c>
      <c r="E68" s="758">
        <f t="shared" si="10"/>
        <v>0</v>
      </c>
      <c r="F68" s="758">
        <f t="shared" si="10"/>
        <v>0</v>
      </c>
      <c r="G68" s="758">
        <f t="shared" si="10"/>
        <v>0</v>
      </c>
      <c r="H68" s="759">
        <f t="shared" si="4"/>
        <v>1</v>
      </c>
      <c r="I68" s="757">
        <f t="shared" si="11"/>
        <v>0.2</v>
      </c>
      <c r="J68" s="758">
        <f t="shared" si="11"/>
        <v>0.3</v>
      </c>
      <c r="K68" s="758">
        <f t="shared" si="11"/>
        <v>0.25</v>
      </c>
      <c r="L68" s="758">
        <f t="shared" si="11"/>
        <v>0.05</v>
      </c>
      <c r="M68" s="758">
        <f t="shared" si="11"/>
        <v>0.2</v>
      </c>
      <c r="N68" s="759">
        <f t="shared" si="6"/>
        <v>1</v>
      </c>
      <c r="O68" s="760"/>
      <c r="R68" s="754">
        <f t="shared" si="7"/>
        <v>0.8</v>
      </c>
      <c r="S68" s="755">
        <f t="shared" si="8"/>
        <v>0.71500000000000008</v>
      </c>
    </row>
    <row r="69" spans="2:19">
      <c r="B69" s="756">
        <f t="shared" si="9"/>
        <v>2051</v>
      </c>
      <c r="C69" s="757">
        <f t="shared" si="10"/>
        <v>0</v>
      </c>
      <c r="D69" s="758">
        <f t="shared" si="10"/>
        <v>1</v>
      </c>
      <c r="E69" s="758">
        <f t="shared" si="10"/>
        <v>0</v>
      </c>
      <c r="F69" s="758">
        <f t="shared" si="10"/>
        <v>0</v>
      </c>
      <c r="G69" s="758">
        <f t="shared" si="10"/>
        <v>0</v>
      </c>
      <c r="H69" s="759">
        <f t="shared" si="4"/>
        <v>1</v>
      </c>
      <c r="I69" s="757">
        <f t="shared" si="11"/>
        <v>0.2</v>
      </c>
      <c r="J69" s="758">
        <f t="shared" si="11"/>
        <v>0.3</v>
      </c>
      <c r="K69" s="758">
        <f t="shared" si="11"/>
        <v>0.25</v>
      </c>
      <c r="L69" s="758">
        <f t="shared" si="11"/>
        <v>0.05</v>
      </c>
      <c r="M69" s="758">
        <f t="shared" si="11"/>
        <v>0.2</v>
      </c>
      <c r="N69" s="759">
        <f t="shared" si="6"/>
        <v>1</v>
      </c>
      <c r="O69" s="760"/>
      <c r="R69" s="754">
        <f t="shared" si="7"/>
        <v>0.8</v>
      </c>
      <c r="S69" s="755">
        <f t="shared" si="8"/>
        <v>0.71500000000000008</v>
      </c>
    </row>
    <row r="70" spans="2:19">
      <c r="B70" s="756">
        <f t="shared" si="9"/>
        <v>2052</v>
      </c>
      <c r="C70" s="757">
        <f t="shared" si="10"/>
        <v>0</v>
      </c>
      <c r="D70" s="758">
        <f t="shared" si="10"/>
        <v>1</v>
      </c>
      <c r="E70" s="758">
        <f t="shared" si="10"/>
        <v>0</v>
      </c>
      <c r="F70" s="758">
        <f t="shared" si="10"/>
        <v>0</v>
      </c>
      <c r="G70" s="758">
        <f t="shared" si="10"/>
        <v>0</v>
      </c>
      <c r="H70" s="759">
        <f t="shared" si="4"/>
        <v>1</v>
      </c>
      <c r="I70" s="757">
        <f t="shared" si="11"/>
        <v>0.2</v>
      </c>
      <c r="J70" s="758">
        <f t="shared" si="11"/>
        <v>0.3</v>
      </c>
      <c r="K70" s="758">
        <f t="shared" si="11"/>
        <v>0.25</v>
      </c>
      <c r="L70" s="758">
        <f t="shared" si="11"/>
        <v>0.05</v>
      </c>
      <c r="M70" s="758">
        <f t="shared" si="11"/>
        <v>0.2</v>
      </c>
      <c r="N70" s="759">
        <f t="shared" si="6"/>
        <v>1</v>
      </c>
      <c r="O70" s="760"/>
      <c r="R70" s="754">
        <f t="shared" si="7"/>
        <v>0.8</v>
      </c>
      <c r="S70" s="755">
        <f t="shared" si="8"/>
        <v>0.71500000000000008</v>
      </c>
    </row>
    <row r="71" spans="2:19">
      <c r="B71" s="756">
        <f t="shared" si="9"/>
        <v>2053</v>
      </c>
      <c r="C71" s="757">
        <f t="shared" si="10"/>
        <v>0</v>
      </c>
      <c r="D71" s="758">
        <f t="shared" si="10"/>
        <v>1</v>
      </c>
      <c r="E71" s="758">
        <f t="shared" si="10"/>
        <v>0</v>
      </c>
      <c r="F71" s="758">
        <f t="shared" si="10"/>
        <v>0</v>
      </c>
      <c r="G71" s="758">
        <f t="shared" si="10"/>
        <v>0</v>
      </c>
      <c r="H71" s="759">
        <f t="shared" si="4"/>
        <v>1</v>
      </c>
      <c r="I71" s="757">
        <f t="shared" si="11"/>
        <v>0.2</v>
      </c>
      <c r="J71" s="758">
        <f t="shared" si="11"/>
        <v>0.3</v>
      </c>
      <c r="K71" s="758">
        <f t="shared" si="11"/>
        <v>0.25</v>
      </c>
      <c r="L71" s="758">
        <f t="shared" si="11"/>
        <v>0.05</v>
      </c>
      <c r="M71" s="758">
        <f t="shared" si="11"/>
        <v>0.2</v>
      </c>
      <c r="N71" s="759">
        <f t="shared" si="6"/>
        <v>1</v>
      </c>
      <c r="O71" s="760"/>
      <c r="R71" s="754">
        <f t="shared" si="7"/>
        <v>0.8</v>
      </c>
      <c r="S71" s="755">
        <f t="shared" si="8"/>
        <v>0.71500000000000008</v>
      </c>
    </row>
    <row r="72" spans="2:19">
      <c r="B72" s="756">
        <f t="shared" si="9"/>
        <v>2054</v>
      </c>
      <c r="C72" s="757">
        <f t="shared" si="10"/>
        <v>0</v>
      </c>
      <c r="D72" s="758">
        <f t="shared" si="10"/>
        <v>1</v>
      </c>
      <c r="E72" s="758">
        <f t="shared" si="10"/>
        <v>0</v>
      </c>
      <c r="F72" s="758">
        <f t="shared" si="10"/>
        <v>0</v>
      </c>
      <c r="G72" s="758">
        <f t="shared" si="10"/>
        <v>0</v>
      </c>
      <c r="H72" s="759">
        <f t="shared" si="4"/>
        <v>1</v>
      </c>
      <c r="I72" s="757">
        <f t="shared" si="11"/>
        <v>0.2</v>
      </c>
      <c r="J72" s="758">
        <f t="shared" si="11"/>
        <v>0.3</v>
      </c>
      <c r="K72" s="758">
        <f t="shared" si="11"/>
        <v>0.25</v>
      </c>
      <c r="L72" s="758">
        <f t="shared" si="11"/>
        <v>0.05</v>
      </c>
      <c r="M72" s="758">
        <f t="shared" si="11"/>
        <v>0.2</v>
      </c>
      <c r="N72" s="759">
        <f t="shared" si="6"/>
        <v>1</v>
      </c>
      <c r="O72" s="760"/>
      <c r="R72" s="754">
        <f t="shared" si="7"/>
        <v>0.8</v>
      </c>
      <c r="S72" s="755">
        <f t="shared" si="8"/>
        <v>0.71500000000000008</v>
      </c>
    </row>
    <row r="73" spans="2:19">
      <c r="B73" s="756">
        <f t="shared" si="9"/>
        <v>2055</v>
      </c>
      <c r="C73" s="757">
        <f t="shared" si="10"/>
        <v>0</v>
      </c>
      <c r="D73" s="758">
        <f t="shared" si="10"/>
        <v>1</v>
      </c>
      <c r="E73" s="758">
        <f t="shared" si="10"/>
        <v>0</v>
      </c>
      <c r="F73" s="758">
        <f t="shared" si="10"/>
        <v>0</v>
      </c>
      <c r="G73" s="758">
        <f t="shared" si="10"/>
        <v>0</v>
      </c>
      <c r="H73" s="759">
        <f t="shared" si="4"/>
        <v>1</v>
      </c>
      <c r="I73" s="757">
        <f t="shared" si="11"/>
        <v>0.2</v>
      </c>
      <c r="J73" s="758">
        <f t="shared" si="11"/>
        <v>0.3</v>
      </c>
      <c r="K73" s="758">
        <f t="shared" si="11"/>
        <v>0.25</v>
      </c>
      <c r="L73" s="758">
        <f t="shared" si="11"/>
        <v>0.05</v>
      </c>
      <c r="M73" s="758">
        <f t="shared" si="11"/>
        <v>0.2</v>
      </c>
      <c r="N73" s="759">
        <f t="shared" si="6"/>
        <v>1</v>
      </c>
      <c r="O73" s="760"/>
      <c r="R73" s="754">
        <f t="shared" si="7"/>
        <v>0.8</v>
      </c>
      <c r="S73" s="755">
        <f t="shared" si="8"/>
        <v>0.71500000000000008</v>
      </c>
    </row>
    <row r="74" spans="2:19">
      <c r="B74" s="756">
        <f t="shared" si="9"/>
        <v>2056</v>
      </c>
      <c r="C74" s="757">
        <f t="shared" si="10"/>
        <v>0</v>
      </c>
      <c r="D74" s="758">
        <f t="shared" si="10"/>
        <v>1</v>
      </c>
      <c r="E74" s="758">
        <f t="shared" si="10"/>
        <v>0</v>
      </c>
      <c r="F74" s="758">
        <f t="shared" si="10"/>
        <v>0</v>
      </c>
      <c r="G74" s="758">
        <f t="shared" si="10"/>
        <v>0</v>
      </c>
      <c r="H74" s="759">
        <f t="shared" si="4"/>
        <v>1</v>
      </c>
      <c r="I74" s="757">
        <f t="shared" si="11"/>
        <v>0.2</v>
      </c>
      <c r="J74" s="758">
        <f t="shared" si="11"/>
        <v>0.3</v>
      </c>
      <c r="K74" s="758">
        <f t="shared" si="11"/>
        <v>0.25</v>
      </c>
      <c r="L74" s="758">
        <f t="shared" si="11"/>
        <v>0.05</v>
      </c>
      <c r="M74" s="758">
        <f t="shared" si="11"/>
        <v>0.2</v>
      </c>
      <c r="N74" s="759">
        <f t="shared" si="6"/>
        <v>1</v>
      </c>
      <c r="O74" s="760"/>
      <c r="R74" s="754">
        <f t="shared" si="7"/>
        <v>0.8</v>
      </c>
      <c r="S74" s="755">
        <f t="shared" si="8"/>
        <v>0.71500000000000008</v>
      </c>
    </row>
    <row r="75" spans="2:19">
      <c r="B75" s="756">
        <f t="shared" si="9"/>
        <v>2057</v>
      </c>
      <c r="C75" s="757">
        <f t="shared" si="10"/>
        <v>0</v>
      </c>
      <c r="D75" s="758">
        <f t="shared" si="10"/>
        <v>1</v>
      </c>
      <c r="E75" s="758">
        <f t="shared" si="10"/>
        <v>0</v>
      </c>
      <c r="F75" s="758">
        <f t="shared" si="10"/>
        <v>0</v>
      </c>
      <c r="G75" s="758">
        <f t="shared" si="10"/>
        <v>0</v>
      </c>
      <c r="H75" s="759">
        <f t="shared" si="4"/>
        <v>1</v>
      </c>
      <c r="I75" s="757">
        <f t="shared" si="11"/>
        <v>0.2</v>
      </c>
      <c r="J75" s="758">
        <f t="shared" si="11"/>
        <v>0.3</v>
      </c>
      <c r="K75" s="758">
        <f t="shared" si="11"/>
        <v>0.25</v>
      </c>
      <c r="L75" s="758">
        <f t="shared" si="11"/>
        <v>0.05</v>
      </c>
      <c r="M75" s="758">
        <f t="shared" si="11"/>
        <v>0.2</v>
      </c>
      <c r="N75" s="759">
        <f t="shared" si="6"/>
        <v>1</v>
      </c>
      <c r="O75" s="760"/>
      <c r="R75" s="754">
        <f t="shared" si="7"/>
        <v>0.8</v>
      </c>
      <c r="S75" s="755">
        <f t="shared" si="8"/>
        <v>0.71500000000000008</v>
      </c>
    </row>
    <row r="76" spans="2:19">
      <c r="B76" s="756">
        <f t="shared" si="9"/>
        <v>2058</v>
      </c>
      <c r="C76" s="757">
        <f t="shared" si="10"/>
        <v>0</v>
      </c>
      <c r="D76" s="758">
        <f t="shared" si="10"/>
        <v>1</v>
      </c>
      <c r="E76" s="758">
        <f t="shared" si="10"/>
        <v>0</v>
      </c>
      <c r="F76" s="758">
        <f t="shared" si="10"/>
        <v>0</v>
      </c>
      <c r="G76" s="758">
        <f t="shared" si="10"/>
        <v>0</v>
      </c>
      <c r="H76" s="759">
        <f t="shared" si="4"/>
        <v>1</v>
      </c>
      <c r="I76" s="757">
        <f t="shared" si="11"/>
        <v>0.2</v>
      </c>
      <c r="J76" s="758">
        <f t="shared" si="11"/>
        <v>0.3</v>
      </c>
      <c r="K76" s="758">
        <f t="shared" si="11"/>
        <v>0.25</v>
      </c>
      <c r="L76" s="758">
        <f t="shared" si="11"/>
        <v>0.05</v>
      </c>
      <c r="M76" s="758">
        <f t="shared" si="11"/>
        <v>0.2</v>
      </c>
      <c r="N76" s="759">
        <f t="shared" si="6"/>
        <v>1</v>
      </c>
      <c r="O76" s="760"/>
      <c r="R76" s="754">
        <f t="shared" si="7"/>
        <v>0.8</v>
      </c>
      <c r="S76" s="755">
        <f t="shared" si="8"/>
        <v>0.71500000000000008</v>
      </c>
    </row>
    <row r="77" spans="2:19">
      <c r="B77" s="756">
        <f t="shared" si="9"/>
        <v>2059</v>
      </c>
      <c r="C77" s="757">
        <f t="shared" si="10"/>
        <v>0</v>
      </c>
      <c r="D77" s="758">
        <f t="shared" si="10"/>
        <v>1</v>
      </c>
      <c r="E77" s="758">
        <f t="shared" si="10"/>
        <v>0</v>
      </c>
      <c r="F77" s="758">
        <f t="shared" si="10"/>
        <v>0</v>
      </c>
      <c r="G77" s="758">
        <f t="shared" si="10"/>
        <v>0</v>
      </c>
      <c r="H77" s="759">
        <f t="shared" si="4"/>
        <v>1</v>
      </c>
      <c r="I77" s="757">
        <f t="shared" si="11"/>
        <v>0.2</v>
      </c>
      <c r="J77" s="758">
        <f t="shared" si="11"/>
        <v>0.3</v>
      </c>
      <c r="K77" s="758">
        <f t="shared" si="11"/>
        <v>0.25</v>
      </c>
      <c r="L77" s="758">
        <f t="shared" si="11"/>
        <v>0.05</v>
      </c>
      <c r="M77" s="758">
        <f t="shared" si="11"/>
        <v>0.2</v>
      </c>
      <c r="N77" s="759">
        <f t="shared" si="6"/>
        <v>1</v>
      </c>
      <c r="O77" s="760"/>
      <c r="R77" s="754">
        <f t="shared" si="7"/>
        <v>0.8</v>
      </c>
      <c r="S77" s="755">
        <f t="shared" si="8"/>
        <v>0.71500000000000008</v>
      </c>
    </row>
    <row r="78" spans="2:19">
      <c r="B78" s="756">
        <f t="shared" si="9"/>
        <v>2060</v>
      </c>
      <c r="C78" s="757">
        <f t="shared" si="10"/>
        <v>0</v>
      </c>
      <c r="D78" s="758">
        <f t="shared" si="10"/>
        <v>1</v>
      </c>
      <c r="E78" s="758">
        <f t="shared" si="10"/>
        <v>0</v>
      </c>
      <c r="F78" s="758">
        <f t="shared" si="10"/>
        <v>0</v>
      </c>
      <c r="G78" s="758">
        <f t="shared" si="10"/>
        <v>0</v>
      </c>
      <c r="H78" s="759">
        <f t="shared" si="4"/>
        <v>1</v>
      </c>
      <c r="I78" s="757">
        <f t="shared" si="11"/>
        <v>0.2</v>
      </c>
      <c r="J78" s="758">
        <f t="shared" si="11"/>
        <v>0.3</v>
      </c>
      <c r="K78" s="758">
        <f t="shared" si="11"/>
        <v>0.25</v>
      </c>
      <c r="L78" s="758">
        <f t="shared" si="11"/>
        <v>0.05</v>
      </c>
      <c r="M78" s="758">
        <f t="shared" si="11"/>
        <v>0.2</v>
      </c>
      <c r="N78" s="759">
        <f t="shared" si="6"/>
        <v>1</v>
      </c>
      <c r="O78" s="760"/>
      <c r="R78" s="754">
        <f t="shared" si="7"/>
        <v>0.8</v>
      </c>
      <c r="S78" s="755">
        <f t="shared" si="8"/>
        <v>0.71500000000000008</v>
      </c>
    </row>
    <row r="79" spans="2:19">
      <c r="B79" s="756">
        <f t="shared" si="9"/>
        <v>2061</v>
      </c>
      <c r="C79" s="757">
        <f t="shared" si="10"/>
        <v>0</v>
      </c>
      <c r="D79" s="758">
        <f t="shared" si="10"/>
        <v>1</v>
      </c>
      <c r="E79" s="758">
        <f t="shared" si="10"/>
        <v>0</v>
      </c>
      <c r="F79" s="758">
        <f t="shared" si="10"/>
        <v>0</v>
      </c>
      <c r="G79" s="758">
        <f t="shared" si="10"/>
        <v>0</v>
      </c>
      <c r="H79" s="759">
        <f t="shared" si="4"/>
        <v>1</v>
      </c>
      <c r="I79" s="757">
        <f t="shared" si="11"/>
        <v>0.2</v>
      </c>
      <c r="J79" s="758">
        <f t="shared" si="11"/>
        <v>0.3</v>
      </c>
      <c r="K79" s="758">
        <f t="shared" si="11"/>
        <v>0.25</v>
      </c>
      <c r="L79" s="758">
        <f t="shared" si="11"/>
        <v>0.05</v>
      </c>
      <c r="M79" s="758">
        <f t="shared" si="11"/>
        <v>0.2</v>
      </c>
      <c r="N79" s="759">
        <f t="shared" si="6"/>
        <v>1</v>
      </c>
      <c r="O79" s="760"/>
      <c r="R79" s="754">
        <f t="shared" si="7"/>
        <v>0.8</v>
      </c>
      <c r="S79" s="755">
        <f t="shared" si="8"/>
        <v>0.71500000000000008</v>
      </c>
    </row>
    <row r="80" spans="2:19">
      <c r="B80" s="756">
        <f t="shared" si="9"/>
        <v>2062</v>
      </c>
      <c r="C80" s="757">
        <f t="shared" si="10"/>
        <v>0</v>
      </c>
      <c r="D80" s="758">
        <f t="shared" si="10"/>
        <v>1</v>
      </c>
      <c r="E80" s="758">
        <f t="shared" si="10"/>
        <v>0</v>
      </c>
      <c r="F80" s="758">
        <f t="shared" si="10"/>
        <v>0</v>
      </c>
      <c r="G80" s="758">
        <f t="shared" si="10"/>
        <v>0</v>
      </c>
      <c r="H80" s="759">
        <f t="shared" si="4"/>
        <v>1</v>
      </c>
      <c r="I80" s="757">
        <f t="shared" si="11"/>
        <v>0.2</v>
      </c>
      <c r="J80" s="758">
        <f t="shared" si="11"/>
        <v>0.3</v>
      </c>
      <c r="K80" s="758">
        <f t="shared" si="11"/>
        <v>0.25</v>
      </c>
      <c r="L80" s="758">
        <f t="shared" si="11"/>
        <v>0.05</v>
      </c>
      <c r="M80" s="758">
        <f t="shared" si="11"/>
        <v>0.2</v>
      </c>
      <c r="N80" s="759">
        <f t="shared" si="6"/>
        <v>1</v>
      </c>
      <c r="O80" s="760"/>
      <c r="R80" s="754">
        <f t="shared" si="7"/>
        <v>0.8</v>
      </c>
      <c r="S80" s="755">
        <f t="shared" si="8"/>
        <v>0.71500000000000008</v>
      </c>
    </row>
    <row r="81" spans="2:19">
      <c r="B81" s="756">
        <f t="shared" si="9"/>
        <v>2063</v>
      </c>
      <c r="C81" s="757">
        <f t="shared" si="10"/>
        <v>0</v>
      </c>
      <c r="D81" s="758">
        <f t="shared" si="10"/>
        <v>1</v>
      </c>
      <c r="E81" s="758">
        <f t="shared" si="10"/>
        <v>0</v>
      </c>
      <c r="F81" s="758">
        <f t="shared" si="10"/>
        <v>0</v>
      </c>
      <c r="G81" s="758">
        <f t="shared" si="10"/>
        <v>0</v>
      </c>
      <c r="H81" s="759">
        <f t="shared" si="4"/>
        <v>1</v>
      </c>
      <c r="I81" s="757">
        <f t="shared" si="11"/>
        <v>0.2</v>
      </c>
      <c r="J81" s="758">
        <f t="shared" si="11"/>
        <v>0.3</v>
      </c>
      <c r="K81" s="758">
        <f t="shared" si="11"/>
        <v>0.25</v>
      </c>
      <c r="L81" s="758">
        <f t="shared" si="11"/>
        <v>0.05</v>
      </c>
      <c r="M81" s="758">
        <f t="shared" si="11"/>
        <v>0.2</v>
      </c>
      <c r="N81" s="759">
        <f t="shared" si="6"/>
        <v>1</v>
      </c>
      <c r="O81" s="760"/>
      <c r="R81" s="754">
        <f t="shared" si="7"/>
        <v>0.8</v>
      </c>
      <c r="S81" s="755">
        <f t="shared" si="8"/>
        <v>0.71500000000000008</v>
      </c>
    </row>
    <row r="82" spans="2:19">
      <c r="B82" s="756">
        <f t="shared" si="9"/>
        <v>2064</v>
      </c>
      <c r="C82" s="757">
        <f t="shared" si="10"/>
        <v>0</v>
      </c>
      <c r="D82" s="758">
        <f t="shared" si="10"/>
        <v>1</v>
      </c>
      <c r="E82" s="758">
        <f t="shared" si="10"/>
        <v>0</v>
      </c>
      <c r="F82" s="758">
        <f t="shared" si="10"/>
        <v>0</v>
      </c>
      <c r="G82" s="758">
        <f t="shared" si="10"/>
        <v>0</v>
      </c>
      <c r="H82" s="759">
        <f t="shared" si="4"/>
        <v>1</v>
      </c>
      <c r="I82" s="757">
        <f t="shared" si="11"/>
        <v>0.2</v>
      </c>
      <c r="J82" s="758">
        <f t="shared" si="11"/>
        <v>0.3</v>
      </c>
      <c r="K82" s="758">
        <f t="shared" si="11"/>
        <v>0.25</v>
      </c>
      <c r="L82" s="758">
        <f t="shared" si="11"/>
        <v>0.05</v>
      </c>
      <c r="M82" s="758">
        <f t="shared" si="11"/>
        <v>0.2</v>
      </c>
      <c r="N82" s="759">
        <f t="shared" si="6"/>
        <v>1</v>
      </c>
      <c r="O82" s="760"/>
      <c r="R82" s="754">
        <f t="shared" si="7"/>
        <v>0.8</v>
      </c>
      <c r="S82" s="755">
        <f t="shared" si="8"/>
        <v>0.71500000000000008</v>
      </c>
    </row>
    <row r="83" spans="2:19">
      <c r="B83" s="756">
        <f t="shared" ref="B83:B98" si="12">B82+1</f>
        <v>2065</v>
      </c>
      <c r="C83" s="757">
        <f t="shared" si="10"/>
        <v>0</v>
      </c>
      <c r="D83" s="758">
        <f t="shared" si="10"/>
        <v>1</v>
      </c>
      <c r="E83" s="758">
        <f t="shared" si="10"/>
        <v>0</v>
      </c>
      <c r="F83" s="758">
        <f t="shared" si="10"/>
        <v>0</v>
      </c>
      <c r="G83" s="758">
        <f t="shared" si="10"/>
        <v>0</v>
      </c>
      <c r="H83" s="759">
        <f t="shared" ref="H83:H98" si="13">SUM(C83:G83)</f>
        <v>1</v>
      </c>
      <c r="I83" s="757">
        <f t="shared" si="11"/>
        <v>0.2</v>
      </c>
      <c r="J83" s="758">
        <f t="shared" si="11"/>
        <v>0.3</v>
      </c>
      <c r="K83" s="758">
        <f t="shared" si="11"/>
        <v>0.25</v>
      </c>
      <c r="L83" s="758">
        <f t="shared" si="11"/>
        <v>0.05</v>
      </c>
      <c r="M83" s="758">
        <f t="shared" si="11"/>
        <v>0.2</v>
      </c>
      <c r="N83" s="759">
        <f t="shared" ref="N83:N98" si="14">SUM(I83:M83)</f>
        <v>1</v>
      </c>
      <c r="O83" s="760"/>
      <c r="R83" s="754">
        <f t="shared" ref="R83:R98" si="15">C83*C$13+D83*D$13+E83*E$13+F83*F$13+G83*G$13</f>
        <v>0.8</v>
      </c>
      <c r="S83" s="755">
        <f t="shared" ref="S83:S98" si="16">I83*I$13+J83*J$13+K83*K$13+L83*L$13+M83*M$13</f>
        <v>0.71500000000000008</v>
      </c>
    </row>
    <row r="84" spans="2:19">
      <c r="B84" s="756">
        <f t="shared" si="12"/>
        <v>2066</v>
      </c>
      <c r="C84" s="757">
        <f t="shared" si="10"/>
        <v>0</v>
      </c>
      <c r="D84" s="758">
        <f t="shared" si="10"/>
        <v>1</v>
      </c>
      <c r="E84" s="758">
        <f t="shared" si="10"/>
        <v>0</v>
      </c>
      <c r="F84" s="758">
        <f t="shared" si="10"/>
        <v>0</v>
      </c>
      <c r="G84" s="758">
        <f t="shared" si="10"/>
        <v>0</v>
      </c>
      <c r="H84" s="759">
        <f t="shared" si="13"/>
        <v>1</v>
      </c>
      <c r="I84" s="757">
        <f t="shared" si="11"/>
        <v>0.2</v>
      </c>
      <c r="J84" s="758">
        <f t="shared" si="11"/>
        <v>0.3</v>
      </c>
      <c r="K84" s="758">
        <f t="shared" si="11"/>
        <v>0.25</v>
      </c>
      <c r="L84" s="758">
        <f t="shared" si="11"/>
        <v>0.05</v>
      </c>
      <c r="M84" s="758">
        <f t="shared" si="11"/>
        <v>0.2</v>
      </c>
      <c r="N84" s="759">
        <f t="shared" si="14"/>
        <v>1</v>
      </c>
      <c r="O84" s="760"/>
      <c r="R84" s="754">
        <f t="shared" si="15"/>
        <v>0.8</v>
      </c>
      <c r="S84" s="755">
        <f t="shared" si="16"/>
        <v>0.71500000000000008</v>
      </c>
    </row>
    <row r="85" spans="2:19">
      <c r="B85" s="756">
        <f t="shared" si="12"/>
        <v>2067</v>
      </c>
      <c r="C85" s="757">
        <f t="shared" si="10"/>
        <v>0</v>
      </c>
      <c r="D85" s="758">
        <f t="shared" si="10"/>
        <v>1</v>
      </c>
      <c r="E85" s="758">
        <f t="shared" si="10"/>
        <v>0</v>
      </c>
      <c r="F85" s="758">
        <f t="shared" si="10"/>
        <v>0</v>
      </c>
      <c r="G85" s="758">
        <f t="shared" si="10"/>
        <v>0</v>
      </c>
      <c r="H85" s="759">
        <f t="shared" si="13"/>
        <v>1</v>
      </c>
      <c r="I85" s="757">
        <f t="shared" si="11"/>
        <v>0.2</v>
      </c>
      <c r="J85" s="758">
        <f t="shared" si="11"/>
        <v>0.3</v>
      </c>
      <c r="K85" s="758">
        <f t="shared" si="11"/>
        <v>0.25</v>
      </c>
      <c r="L85" s="758">
        <f t="shared" si="11"/>
        <v>0.05</v>
      </c>
      <c r="M85" s="758">
        <f t="shared" si="11"/>
        <v>0.2</v>
      </c>
      <c r="N85" s="759">
        <f t="shared" si="14"/>
        <v>1</v>
      </c>
      <c r="O85" s="760"/>
      <c r="R85" s="754">
        <f t="shared" si="15"/>
        <v>0.8</v>
      </c>
      <c r="S85" s="755">
        <f t="shared" si="16"/>
        <v>0.71500000000000008</v>
      </c>
    </row>
    <row r="86" spans="2:19">
      <c r="B86" s="756">
        <f t="shared" si="12"/>
        <v>2068</v>
      </c>
      <c r="C86" s="757">
        <f t="shared" si="10"/>
        <v>0</v>
      </c>
      <c r="D86" s="758">
        <f t="shared" si="10"/>
        <v>1</v>
      </c>
      <c r="E86" s="758">
        <f t="shared" si="10"/>
        <v>0</v>
      </c>
      <c r="F86" s="758">
        <f t="shared" si="10"/>
        <v>0</v>
      </c>
      <c r="G86" s="758">
        <f t="shared" si="10"/>
        <v>0</v>
      </c>
      <c r="H86" s="759">
        <f t="shared" si="13"/>
        <v>1</v>
      </c>
      <c r="I86" s="757">
        <f t="shared" si="11"/>
        <v>0.2</v>
      </c>
      <c r="J86" s="758">
        <f t="shared" si="11"/>
        <v>0.3</v>
      </c>
      <c r="K86" s="758">
        <f t="shared" si="11"/>
        <v>0.25</v>
      </c>
      <c r="L86" s="758">
        <f t="shared" si="11"/>
        <v>0.05</v>
      </c>
      <c r="M86" s="758">
        <f t="shared" si="11"/>
        <v>0.2</v>
      </c>
      <c r="N86" s="759">
        <f t="shared" si="14"/>
        <v>1</v>
      </c>
      <c r="O86" s="760"/>
      <c r="R86" s="754">
        <f t="shared" si="15"/>
        <v>0.8</v>
      </c>
      <c r="S86" s="755">
        <f t="shared" si="16"/>
        <v>0.71500000000000008</v>
      </c>
    </row>
    <row r="87" spans="2:19">
      <c r="B87" s="756">
        <f t="shared" si="12"/>
        <v>2069</v>
      </c>
      <c r="C87" s="757">
        <f t="shared" si="10"/>
        <v>0</v>
      </c>
      <c r="D87" s="758">
        <f t="shared" si="10"/>
        <v>1</v>
      </c>
      <c r="E87" s="758">
        <f t="shared" si="10"/>
        <v>0</v>
      </c>
      <c r="F87" s="758">
        <f t="shared" si="10"/>
        <v>0</v>
      </c>
      <c r="G87" s="758">
        <f t="shared" si="10"/>
        <v>0</v>
      </c>
      <c r="H87" s="759">
        <f t="shared" si="13"/>
        <v>1</v>
      </c>
      <c r="I87" s="757">
        <f t="shared" si="11"/>
        <v>0.2</v>
      </c>
      <c r="J87" s="758">
        <f t="shared" si="11"/>
        <v>0.3</v>
      </c>
      <c r="K87" s="758">
        <f t="shared" si="11"/>
        <v>0.25</v>
      </c>
      <c r="L87" s="758">
        <f t="shared" si="11"/>
        <v>0.05</v>
      </c>
      <c r="M87" s="758">
        <f t="shared" si="11"/>
        <v>0.2</v>
      </c>
      <c r="N87" s="759">
        <f t="shared" si="14"/>
        <v>1</v>
      </c>
      <c r="O87" s="760"/>
      <c r="R87" s="754">
        <f t="shared" si="15"/>
        <v>0.8</v>
      </c>
      <c r="S87" s="755">
        <f t="shared" si="16"/>
        <v>0.71500000000000008</v>
      </c>
    </row>
    <row r="88" spans="2:19">
      <c r="B88" s="756">
        <f t="shared" si="12"/>
        <v>2070</v>
      </c>
      <c r="C88" s="757">
        <f t="shared" si="10"/>
        <v>0</v>
      </c>
      <c r="D88" s="758">
        <f t="shared" si="10"/>
        <v>1</v>
      </c>
      <c r="E88" s="758">
        <f t="shared" si="10"/>
        <v>0</v>
      </c>
      <c r="F88" s="758">
        <f t="shared" si="10"/>
        <v>0</v>
      </c>
      <c r="G88" s="758">
        <f t="shared" si="10"/>
        <v>0</v>
      </c>
      <c r="H88" s="759">
        <f t="shared" si="13"/>
        <v>1</v>
      </c>
      <c r="I88" s="757">
        <f t="shared" si="11"/>
        <v>0.2</v>
      </c>
      <c r="J88" s="758">
        <f t="shared" si="11"/>
        <v>0.3</v>
      </c>
      <c r="K88" s="758">
        <f t="shared" si="11"/>
        <v>0.25</v>
      </c>
      <c r="L88" s="758">
        <f t="shared" si="11"/>
        <v>0.05</v>
      </c>
      <c r="M88" s="758">
        <f t="shared" si="11"/>
        <v>0.2</v>
      </c>
      <c r="N88" s="759">
        <f t="shared" si="14"/>
        <v>1</v>
      </c>
      <c r="O88" s="760"/>
      <c r="R88" s="754">
        <f t="shared" si="15"/>
        <v>0.8</v>
      </c>
      <c r="S88" s="755">
        <f t="shared" si="16"/>
        <v>0.71500000000000008</v>
      </c>
    </row>
    <row r="89" spans="2:19">
      <c r="B89" s="756">
        <f t="shared" si="12"/>
        <v>2071</v>
      </c>
      <c r="C89" s="757">
        <f t="shared" si="10"/>
        <v>0</v>
      </c>
      <c r="D89" s="758">
        <f t="shared" si="10"/>
        <v>1</v>
      </c>
      <c r="E89" s="758">
        <f t="shared" si="10"/>
        <v>0</v>
      </c>
      <c r="F89" s="758">
        <f t="shared" si="10"/>
        <v>0</v>
      </c>
      <c r="G89" s="758">
        <f t="shared" si="10"/>
        <v>0</v>
      </c>
      <c r="H89" s="759">
        <f t="shared" si="13"/>
        <v>1</v>
      </c>
      <c r="I89" s="757">
        <f t="shared" si="11"/>
        <v>0.2</v>
      </c>
      <c r="J89" s="758">
        <f t="shared" si="11"/>
        <v>0.3</v>
      </c>
      <c r="K89" s="758">
        <f t="shared" si="11"/>
        <v>0.25</v>
      </c>
      <c r="L89" s="758">
        <f t="shared" si="11"/>
        <v>0.05</v>
      </c>
      <c r="M89" s="758">
        <f t="shared" si="11"/>
        <v>0.2</v>
      </c>
      <c r="N89" s="759">
        <f t="shared" si="14"/>
        <v>1</v>
      </c>
      <c r="O89" s="760"/>
      <c r="R89" s="754">
        <f t="shared" si="15"/>
        <v>0.8</v>
      </c>
      <c r="S89" s="755">
        <f t="shared" si="16"/>
        <v>0.71500000000000008</v>
      </c>
    </row>
    <row r="90" spans="2:19">
      <c r="B90" s="756">
        <f t="shared" si="12"/>
        <v>2072</v>
      </c>
      <c r="C90" s="757">
        <f t="shared" si="10"/>
        <v>0</v>
      </c>
      <c r="D90" s="758">
        <f t="shared" si="10"/>
        <v>1</v>
      </c>
      <c r="E90" s="758">
        <f t="shared" si="10"/>
        <v>0</v>
      </c>
      <c r="F90" s="758">
        <f t="shared" si="10"/>
        <v>0</v>
      </c>
      <c r="G90" s="758">
        <f t="shared" si="10"/>
        <v>0</v>
      </c>
      <c r="H90" s="759">
        <f t="shared" si="13"/>
        <v>1</v>
      </c>
      <c r="I90" s="757">
        <f t="shared" si="11"/>
        <v>0.2</v>
      </c>
      <c r="J90" s="758">
        <f t="shared" si="11"/>
        <v>0.3</v>
      </c>
      <c r="K90" s="758">
        <f t="shared" si="11"/>
        <v>0.25</v>
      </c>
      <c r="L90" s="758">
        <f t="shared" si="11"/>
        <v>0.05</v>
      </c>
      <c r="M90" s="758">
        <f t="shared" si="11"/>
        <v>0.2</v>
      </c>
      <c r="N90" s="759">
        <f t="shared" si="14"/>
        <v>1</v>
      </c>
      <c r="O90" s="760"/>
      <c r="R90" s="754">
        <f t="shared" si="15"/>
        <v>0.8</v>
      </c>
      <c r="S90" s="755">
        <f t="shared" si="16"/>
        <v>0.71500000000000008</v>
      </c>
    </row>
    <row r="91" spans="2:19">
      <c r="B91" s="756">
        <f t="shared" si="12"/>
        <v>2073</v>
      </c>
      <c r="C91" s="757">
        <f t="shared" si="10"/>
        <v>0</v>
      </c>
      <c r="D91" s="758">
        <f t="shared" si="10"/>
        <v>1</v>
      </c>
      <c r="E91" s="758">
        <f t="shared" si="10"/>
        <v>0</v>
      </c>
      <c r="F91" s="758">
        <f t="shared" si="10"/>
        <v>0</v>
      </c>
      <c r="G91" s="758">
        <f t="shared" si="10"/>
        <v>0</v>
      </c>
      <c r="H91" s="759">
        <f t="shared" si="13"/>
        <v>1</v>
      </c>
      <c r="I91" s="757">
        <f t="shared" si="11"/>
        <v>0.2</v>
      </c>
      <c r="J91" s="758">
        <f t="shared" si="11"/>
        <v>0.3</v>
      </c>
      <c r="K91" s="758">
        <f t="shared" si="11"/>
        <v>0.25</v>
      </c>
      <c r="L91" s="758">
        <f t="shared" si="11"/>
        <v>0.05</v>
      </c>
      <c r="M91" s="758">
        <f t="shared" si="11"/>
        <v>0.2</v>
      </c>
      <c r="N91" s="759">
        <f t="shared" si="14"/>
        <v>1</v>
      </c>
      <c r="O91" s="760"/>
      <c r="R91" s="754">
        <f t="shared" si="15"/>
        <v>0.8</v>
      </c>
      <c r="S91" s="755">
        <f t="shared" si="16"/>
        <v>0.71500000000000008</v>
      </c>
    </row>
    <row r="92" spans="2:19">
      <c r="B92" s="756">
        <f t="shared" si="12"/>
        <v>2074</v>
      </c>
      <c r="C92" s="757">
        <f t="shared" si="10"/>
        <v>0</v>
      </c>
      <c r="D92" s="758">
        <f t="shared" si="10"/>
        <v>1</v>
      </c>
      <c r="E92" s="758">
        <f t="shared" si="10"/>
        <v>0</v>
      </c>
      <c r="F92" s="758">
        <f t="shared" si="10"/>
        <v>0</v>
      </c>
      <c r="G92" s="758">
        <f t="shared" si="10"/>
        <v>0</v>
      </c>
      <c r="H92" s="759">
        <f t="shared" si="13"/>
        <v>1</v>
      </c>
      <c r="I92" s="757">
        <f t="shared" si="11"/>
        <v>0.2</v>
      </c>
      <c r="J92" s="758">
        <f t="shared" si="11"/>
        <v>0.3</v>
      </c>
      <c r="K92" s="758">
        <f t="shared" si="11"/>
        <v>0.25</v>
      </c>
      <c r="L92" s="758">
        <f t="shared" si="11"/>
        <v>0.05</v>
      </c>
      <c r="M92" s="758">
        <f t="shared" si="11"/>
        <v>0.2</v>
      </c>
      <c r="N92" s="759">
        <f t="shared" si="14"/>
        <v>1</v>
      </c>
      <c r="O92" s="760"/>
      <c r="R92" s="754">
        <f t="shared" si="15"/>
        <v>0.8</v>
      </c>
      <c r="S92" s="755">
        <f t="shared" si="16"/>
        <v>0.71500000000000008</v>
      </c>
    </row>
    <row r="93" spans="2:19">
      <c r="B93" s="756">
        <f t="shared" si="12"/>
        <v>2075</v>
      </c>
      <c r="C93" s="757">
        <f t="shared" si="10"/>
        <v>0</v>
      </c>
      <c r="D93" s="758">
        <f t="shared" si="10"/>
        <v>1</v>
      </c>
      <c r="E93" s="758">
        <f t="shared" si="10"/>
        <v>0</v>
      </c>
      <c r="F93" s="758">
        <f t="shared" si="10"/>
        <v>0</v>
      </c>
      <c r="G93" s="758">
        <f t="shared" si="10"/>
        <v>0</v>
      </c>
      <c r="H93" s="759">
        <f t="shared" si="13"/>
        <v>1</v>
      </c>
      <c r="I93" s="757">
        <f t="shared" si="11"/>
        <v>0.2</v>
      </c>
      <c r="J93" s="758">
        <f t="shared" si="11"/>
        <v>0.3</v>
      </c>
      <c r="K93" s="758">
        <f t="shared" si="11"/>
        <v>0.25</v>
      </c>
      <c r="L93" s="758">
        <f t="shared" si="11"/>
        <v>0.05</v>
      </c>
      <c r="M93" s="758">
        <f t="shared" si="11"/>
        <v>0.2</v>
      </c>
      <c r="N93" s="759">
        <f t="shared" si="14"/>
        <v>1</v>
      </c>
      <c r="O93" s="760"/>
      <c r="R93" s="754">
        <f t="shared" si="15"/>
        <v>0.8</v>
      </c>
      <c r="S93" s="755">
        <f t="shared" si="16"/>
        <v>0.71500000000000008</v>
      </c>
    </row>
    <row r="94" spans="2:19">
      <c r="B94" s="756">
        <f t="shared" si="12"/>
        <v>2076</v>
      </c>
      <c r="C94" s="757">
        <f t="shared" si="10"/>
        <v>0</v>
      </c>
      <c r="D94" s="758">
        <f t="shared" si="10"/>
        <v>1</v>
      </c>
      <c r="E94" s="758">
        <f t="shared" si="10"/>
        <v>0</v>
      </c>
      <c r="F94" s="758">
        <f t="shared" si="10"/>
        <v>0</v>
      </c>
      <c r="G94" s="758">
        <f t="shared" si="10"/>
        <v>0</v>
      </c>
      <c r="H94" s="759">
        <f t="shared" si="13"/>
        <v>1</v>
      </c>
      <c r="I94" s="757">
        <f t="shared" si="11"/>
        <v>0.2</v>
      </c>
      <c r="J94" s="758">
        <f t="shared" si="11"/>
        <v>0.3</v>
      </c>
      <c r="K94" s="758">
        <f t="shared" si="11"/>
        <v>0.25</v>
      </c>
      <c r="L94" s="758">
        <f t="shared" si="11"/>
        <v>0.05</v>
      </c>
      <c r="M94" s="758">
        <f t="shared" si="11"/>
        <v>0.2</v>
      </c>
      <c r="N94" s="759">
        <f t="shared" si="14"/>
        <v>1</v>
      </c>
      <c r="O94" s="760"/>
      <c r="R94" s="754">
        <f t="shared" si="15"/>
        <v>0.8</v>
      </c>
      <c r="S94" s="755">
        <f t="shared" si="16"/>
        <v>0.71500000000000008</v>
      </c>
    </row>
    <row r="95" spans="2:19">
      <c r="B95" s="756">
        <f t="shared" si="12"/>
        <v>2077</v>
      </c>
      <c r="C95" s="757">
        <f t="shared" si="10"/>
        <v>0</v>
      </c>
      <c r="D95" s="758">
        <f t="shared" si="10"/>
        <v>1</v>
      </c>
      <c r="E95" s="758">
        <f t="shared" si="10"/>
        <v>0</v>
      </c>
      <c r="F95" s="758">
        <f t="shared" si="10"/>
        <v>0</v>
      </c>
      <c r="G95" s="758">
        <f t="shared" si="10"/>
        <v>0</v>
      </c>
      <c r="H95" s="759">
        <f t="shared" si="13"/>
        <v>1</v>
      </c>
      <c r="I95" s="757">
        <f t="shared" si="11"/>
        <v>0.2</v>
      </c>
      <c r="J95" s="758">
        <f t="shared" si="11"/>
        <v>0.3</v>
      </c>
      <c r="K95" s="758">
        <f t="shared" si="11"/>
        <v>0.25</v>
      </c>
      <c r="L95" s="758">
        <f t="shared" si="11"/>
        <v>0.05</v>
      </c>
      <c r="M95" s="758">
        <f t="shared" si="11"/>
        <v>0.2</v>
      </c>
      <c r="N95" s="759">
        <f t="shared" si="14"/>
        <v>1</v>
      </c>
      <c r="O95" s="760"/>
      <c r="R95" s="754">
        <f t="shared" si="15"/>
        <v>0.8</v>
      </c>
      <c r="S95" s="755">
        <f t="shared" si="16"/>
        <v>0.71500000000000008</v>
      </c>
    </row>
    <row r="96" spans="2:19">
      <c r="B96" s="756">
        <f t="shared" si="12"/>
        <v>2078</v>
      </c>
      <c r="C96" s="757">
        <f t="shared" si="10"/>
        <v>0</v>
      </c>
      <c r="D96" s="758">
        <f t="shared" si="10"/>
        <v>1</v>
      </c>
      <c r="E96" s="758">
        <f t="shared" si="10"/>
        <v>0</v>
      </c>
      <c r="F96" s="758">
        <f t="shared" si="10"/>
        <v>0</v>
      </c>
      <c r="G96" s="758">
        <f t="shared" si="10"/>
        <v>0</v>
      </c>
      <c r="H96" s="759">
        <f t="shared" si="13"/>
        <v>1</v>
      </c>
      <c r="I96" s="757">
        <f t="shared" si="11"/>
        <v>0.2</v>
      </c>
      <c r="J96" s="758">
        <f t="shared" si="11"/>
        <v>0.3</v>
      </c>
      <c r="K96" s="758">
        <f t="shared" si="11"/>
        <v>0.25</v>
      </c>
      <c r="L96" s="758">
        <f t="shared" si="11"/>
        <v>0.05</v>
      </c>
      <c r="M96" s="758">
        <f t="shared" si="11"/>
        <v>0.2</v>
      </c>
      <c r="N96" s="759">
        <f t="shared" si="14"/>
        <v>1</v>
      </c>
      <c r="O96" s="760"/>
      <c r="R96" s="754">
        <f t="shared" si="15"/>
        <v>0.8</v>
      </c>
      <c r="S96" s="755">
        <f t="shared" si="16"/>
        <v>0.71500000000000008</v>
      </c>
    </row>
    <row r="97" spans="2:19">
      <c r="B97" s="756">
        <f t="shared" si="12"/>
        <v>2079</v>
      </c>
      <c r="C97" s="757">
        <f t="shared" si="10"/>
        <v>0</v>
      </c>
      <c r="D97" s="758">
        <f t="shared" si="10"/>
        <v>1</v>
      </c>
      <c r="E97" s="758">
        <f t="shared" si="10"/>
        <v>0</v>
      </c>
      <c r="F97" s="758">
        <f t="shared" si="10"/>
        <v>0</v>
      </c>
      <c r="G97" s="758">
        <f t="shared" si="10"/>
        <v>0</v>
      </c>
      <c r="H97" s="759">
        <f t="shared" si="13"/>
        <v>1</v>
      </c>
      <c r="I97" s="757">
        <f t="shared" si="11"/>
        <v>0.2</v>
      </c>
      <c r="J97" s="758">
        <f t="shared" si="11"/>
        <v>0.3</v>
      </c>
      <c r="K97" s="758">
        <f t="shared" si="11"/>
        <v>0.25</v>
      </c>
      <c r="L97" s="758">
        <f t="shared" si="11"/>
        <v>0.05</v>
      </c>
      <c r="M97" s="758">
        <f t="shared" si="11"/>
        <v>0.2</v>
      </c>
      <c r="N97" s="759">
        <f t="shared" si="14"/>
        <v>1</v>
      </c>
      <c r="O97" s="760"/>
      <c r="R97" s="754">
        <f t="shared" si="15"/>
        <v>0.8</v>
      </c>
      <c r="S97" s="755">
        <f t="shared" si="16"/>
        <v>0.71500000000000008</v>
      </c>
    </row>
    <row r="98" spans="2:19" ht="13.5" thickBot="1">
      <c r="B98" s="761">
        <f t="shared" si="12"/>
        <v>2080</v>
      </c>
      <c r="C98" s="762">
        <f t="shared" si="10"/>
        <v>0</v>
      </c>
      <c r="D98" s="763">
        <f t="shared" si="10"/>
        <v>1</v>
      </c>
      <c r="E98" s="763">
        <f t="shared" si="10"/>
        <v>0</v>
      </c>
      <c r="F98" s="763">
        <f t="shared" si="10"/>
        <v>0</v>
      </c>
      <c r="G98" s="763">
        <f t="shared" si="10"/>
        <v>0</v>
      </c>
      <c r="H98" s="764">
        <f t="shared" si="13"/>
        <v>1</v>
      </c>
      <c r="I98" s="762">
        <f t="shared" si="11"/>
        <v>0.2</v>
      </c>
      <c r="J98" s="763">
        <f t="shared" si="11"/>
        <v>0.3</v>
      </c>
      <c r="K98" s="763">
        <f t="shared" si="11"/>
        <v>0.25</v>
      </c>
      <c r="L98" s="763">
        <f t="shared" si="11"/>
        <v>0.05</v>
      </c>
      <c r="M98" s="763">
        <f t="shared" si="11"/>
        <v>0.2</v>
      </c>
      <c r="N98" s="764">
        <f t="shared" si="14"/>
        <v>1</v>
      </c>
      <c r="O98" s="633"/>
      <c r="R98" s="765">
        <f t="shared" si="15"/>
        <v>0.8</v>
      </c>
      <c r="S98" s="765">
        <f t="shared" si="16"/>
        <v>0.71500000000000008</v>
      </c>
    </row>
    <row r="99" spans="2:19">
      <c r="H99" s="766"/>
    </row>
    <row r="100" spans="2:19">
      <c r="H100" s="76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C43" sqref="C43"/>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706">
        <v>0.435</v>
      </c>
    </row>
    <row r="3" spans="2:30">
      <c r="B3" s="589"/>
      <c r="C3" s="589"/>
      <c r="S3" s="589"/>
      <c r="AC3" s="587" t="s">
        <v>256</v>
      </c>
      <c r="AD3" s="706">
        <v>0.129</v>
      </c>
    </row>
    <row r="4" spans="2:30">
      <c r="B4" s="589"/>
      <c r="C4" s="589" t="s">
        <v>38</v>
      </c>
      <c r="S4" s="589" t="s">
        <v>301</v>
      </c>
      <c r="AC4" s="587" t="s">
        <v>2</v>
      </c>
      <c r="AD4" s="706">
        <v>9.9000000000000005E-2</v>
      </c>
    </row>
    <row r="5" spans="2:30">
      <c r="B5" s="589"/>
      <c r="C5" s="589"/>
      <c r="S5" s="589" t="s">
        <v>38</v>
      </c>
      <c r="AC5" s="587" t="s">
        <v>16</v>
      </c>
      <c r="AD5" s="706">
        <v>2.7E-2</v>
      </c>
    </row>
    <row r="6" spans="2:30">
      <c r="B6" s="589"/>
      <c r="S6" s="589"/>
      <c r="AC6" s="587" t="s">
        <v>331</v>
      </c>
      <c r="AD6" s="706">
        <v>8.9999999999999993E-3</v>
      </c>
    </row>
    <row r="7" spans="2:30" ht="13.5" thickBot="1">
      <c r="B7" s="589"/>
      <c r="C7" s="590"/>
      <c r="S7" s="589"/>
      <c r="AC7" s="587" t="s">
        <v>332</v>
      </c>
      <c r="AD7" s="706">
        <v>7.1999999999999995E-2</v>
      </c>
    </row>
    <row r="8" spans="2:30" ht="13.5" thickBot="1">
      <c r="B8" s="589"/>
      <c r="D8" s="591">
        <v>6.2100000000000002E-2</v>
      </c>
      <c r="E8" s="592">
        <f>AD2</f>
        <v>0.435</v>
      </c>
      <c r="F8" s="593">
        <f>AD3</f>
        <v>0.129</v>
      </c>
      <c r="G8" s="594">
        <v>0</v>
      </c>
      <c r="H8" s="593">
        <v>0</v>
      </c>
      <c r="I8" s="593">
        <f>AD4</f>
        <v>9.9000000000000005E-2</v>
      </c>
      <c r="J8" s="593">
        <f>AD5</f>
        <v>2.7E-2</v>
      </c>
      <c r="K8" s="593">
        <f>AD6</f>
        <v>8.9999999999999993E-3</v>
      </c>
      <c r="L8" s="593">
        <f>AD7</f>
        <v>7.1999999999999995E-2</v>
      </c>
      <c r="M8" s="593">
        <f>AD8</f>
        <v>3.3000000000000002E-2</v>
      </c>
      <c r="N8" s="593">
        <f>AD9</f>
        <v>0.04</v>
      </c>
      <c r="O8" s="593">
        <f>AD10</f>
        <v>0.156</v>
      </c>
      <c r="P8" s="595">
        <f>SUM(E8:O8)</f>
        <v>1</v>
      </c>
      <c r="S8" s="589"/>
      <c r="T8" s="589"/>
      <c r="AC8" s="587" t="s">
        <v>231</v>
      </c>
      <c r="AD8" s="706">
        <v>3.3000000000000002E-2</v>
      </c>
    </row>
    <row r="9" spans="2:30" ht="13.5" thickBot="1">
      <c r="B9" s="596"/>
      <c r="C9" s="597"/>
      <c r="D9" s="598"/>
      <c r="E9" s="823" t="s">
        <v>41</v>
      </c>
      <c r="F9" s="824"/>
      <c r="G9" s="824"/>
      <c r="H9" s="824"/>
      <c r="I9" s="824"/>
      <c r="J9" s="824"/>
      <c r="K9" s="824"/>
      <c r="L9" s="824"/>
      <c r="M9" s="824"/>
      <c r="N9" s="824"/>
      <c r="O9" s="824"/>
      <c r="P9" s="599"/>
      <c r="AC9" s="587" t="s">
        <v>232</v>
      </c>
      <c r="AD9" s="706">
        <v>0.04</v>
      </c>
    </row>
    <row r="10" spans="2:30" ht="21.75" customHeight="1" thickBot="1">
      <c r="B10" s="821" t="s">
        <v>1</v>
      </c>
      <c r="C10" s="821" t="s">
        <v>33</v>
      </c>
      <c r="D10" s="821" t="s">
        <v>40</v>
      </c>
      <c r="E10" s="821" t="s">
        <v>228</v>
      </c>
      <c r="F10" s="821" t="s">
        <v>271</v>
      </c>
      <c r="G10" s="813" t="s">
        <v>267</v>
      </c>
      <c r="H10" s="821" t="s">
        <v>270</v>
      </c>
      <c r="I10" s="813" t="s">
        <v>2</v>
      </c>
      <c r="J10" s="821" t="s">
        <v>16</v>
      </c>
      <c r="K10" s="813" t="s">
        <v>229</v>
      </c>
      <c r="L10" s="810" t="s">
        <v>273</v>
      </c>
      <c r="M10" s="811"/>
      <c r="N10" s="811"/>
      <c r="O10" s="812"/>
      <c r="P10" s="821" t="s">
        <v>27</v>
      </c>
      <c r="AC10" s="587" t="s">
        <v>233</v>
      </c>
      <c r="AD10" s="706">
        <v>0.156</v>
      </c>
    </row>
    <row r="11" spans="2:30" s="601" customFormat="1" ht="42" customHeight="1" thickBot="1">
      <c r="B11" s="822"/>
      <c r="C11" s="822"/>
      <c r="D11" s="822"/>
      <c r="E11" s="822"/>
      <c r="F11" s="822"/>
      <c r="G11" s="815"/>
      <c r="H11" s="822"/>
      <c r="I11" s="815"/>
      <c r="J11" s="822"/>
      <c r="K11" s="815"/>
      <c r="L11" s="600" t="s">
        <v>230</v>
      </c>
      <c r="M11" s="600" t="s">
        <v>231</v>
      </c>
      <c r="N11" s="600" t="s">
        <v>232</v>
      </c>
      <c r="O11" s="600" t="s">
        <v>233</v>
      </c>
      <c r="P11" s="822"/>
      <c r="S11" s="365" t="s">
        <v>1</v>
      </c>
      <c r="T11" s="369" t="s">
        <v>302</v>
      </c>
      <c r="U11" s="365" t="s">
        <v>303</v>
      </c>
      <c r="V11" s="369" t="s">
        <v>304</v>
      </c>
      <c r="W11" s="365" t="s">
        <v>40</v>
      </c>
      <c r="X11" s="369" t="s">
        <v>305</v>
      </c>
    </row>
    <row r="12" spans="2:30" s="608" customFormat="1" ht="26.25" thickBot="1">
      <c r="B12" s="602"/>
      <c r="C12" s="603" t="s">
        <v>15</v>
      </c>
      <c r="D12" s="603" t="s">
        <v>24</v>
      </c>
      <c r="E12" s="604" t="s">
        <v>24</v>
      </c>
      <c r="F12" s="605" t="s">
        <v>24</v>
      </c>
      <c r="G12" s="605" t="s">
        <v>24</v>
      </c>
      <c r="H12" s="605" t="s">
        <v>24</v>
      </c>
      <c r="I12" s="605" t="s">
        <v>24</v>
      </c>
      <c r="J12" s="605" t="s">
        <v>24</v>
      </c>
      <c r="K12" s="605" t="s">
        <v>24</v>
      </c>
      <c r="L12" s="605" t="s">
        <v>24</v>
      </c>
      <c r="M12" s="605" t="s">
        <v>24</v>
      </c>
      <c r="N12" s="605" t="s">
        <v>24</v>
      </c>
      <c r="O12" s="606" t="s">
        <v>24</v>
      </c>
      <c r="P12" s="607" t="s">
        <v>39</v>
      </c>
      <c r="S12" s="609"/>
      <c r="T12" s="610" t="s">
        <v>306</v>
      </c>
      <c r="U12" s="609" t="s">
        <v>307</v>
      </c>
      <c r="V12" s="610" t="s">
        <v>15</v>
      </c>
      <c r="W12" s="611" t="s">
        <v>24</v>
      </c>
      <c r="X12" s="610" t="s">
        <v>15</v>
      </c>
    </row>
    <row r="13" spans="2:30">
      <c r="B13" s="612">
        <f>year</f>
        <v>2000</v>
      </c>
      <c r="C13" s="613">
        <f>'[2]Fraksi pengelolaan sampah BaU'!C30</f>
        <v>25.078813451999999</v>
      </c>
      <c r="D13" s="614">
        <v>1</v>
      </c>
      <c r="E13" s="615">
        <f t="shared" ref="E13:O28" si="0">E$8</f>
        <v>0.435</v>
      </c>
      <c r="F13" s="615">
        <f t="shared" si="0"/>
        <v>0.129</v>
      </c>
      <c r="G13" s="615">
        <f t="shared" si="0"/>
        <v>0</v>
      </c>
      <c r="H13" s="615">
        <f t="shared" si="0"/>
        <v>0</v>
      </c>
      <c r="I13" s="615">
        <f t="shared" si="0"/>
        <v>9.9000000000000005E-2</v>
      </c>
      <c r="J13" s="615">
        <f t="shared" si="0"/>
        <v>2.7E-2</v>
      </c>
      <c r="K13" s="615">
        <f t="shared" si="0"/>
        <v>8.9999999999999993E-3</v>
      </c>
      <c r="L13" s="615">
        <f t="shared" si="0"/>
        <v>7.1999999999999995E-2</v>
      </c>
      <c r="M13" s="615">
        <f t="shared" si="0"/>
        <v>3.3000000000000002E-2</v>
      </c>
      <c r="N13" s="615">
        <f t="shared" si="0"/>
        <v>0.04</v>
      </c>
      <c r="O13" s="615">
        <f t="shared" si="0"/>
        <v>0.156</v>
      </c>
      <c r="P13" s="616">
        <f t="shared" ref="P13:P44" si="1">SUM(E13:O13)</f>
        <v>1</v>
      </c>
      <c r="S13" s="612">
        <f>year</f>
        <v>2000</v>
      </c>
      <c r="T13" s="617">
        <v>0</v>
      </c>
      <c r="U13" s="617">
        <v>5</v>
      </c>
      <c r="V13" s="618">
        <f>T13*U13</f>
        <v>0</v>
      </c>
      <c r="W13" s="619">
        <v>1</v>
      </c>
      <c r="X13" s="620">
        <f t="shared" ref="X13:X44" si="2">V13*W13</f>
        <v>0</v>
      </c>
    </row>
    <row r="14" spans="2:30">
      <c r="B14" s="621">
        <f t="shared" ref="B14:B45" si="3">B13+1</f>
        <v>2001</v>
      </c>
      <c r="C14" s="613">
        <f>'[2]Fraksi pengelolaan sampah BaU'!C31</f>
        <v>25.400101979999999</v>
      </c>
      <c r="D14" s="614">
        <v>1</v>
      </c>
      <c r="E14" s="615">
        <f t="shared" si="0"/>
        <v>0.435</v>
      </c>
      <c r="F14" s="615">
        <f t="shared" si="0"/>
        <v>0.129</v>
      </c>
      <c r="G14" s="615">
        <f t="shared" si="0"/>
        <v>0</v>
      </c>
      <c r="H14" s="615">
        <f t="shared" si="0"/>
        <v>0</v>
      </c>
      <c r="I14" s="615">
        <f t="shared" si="0"/>
        <v>9.9000000000000005E-2</v>
      </c>
      <c r="J14" s="615">
        <f t="shared" si="0"/>
        <v>2.7E-2</v>
      </c>
      <c r="K14" s="615">
        <f t="shared" si="0"/>
        <v>8.9999999999999993E-3</v>
      </c>
      <c r="L14" s="615">
        <f t="shared" si="0"/>
        <v>7.1999999999999995E-2</v>
      </c>
      <c r="M14" s="615">
        <f t="shared" si="0"/>
        <v>3.3000000000000002E-2</v>
      </c>
      <c r="N14" s="615">
        <f t="shared" si="0"/>
        <v>0.04</v>
      </c>
      <c r="O14" s="615">
        <f t="shared" si="0"/>
        <v>0.156</v>
      </c>
      <c r="P14" s="622">
        <f t="shared" si="1"/>
        <v>1</v>
      </c>
      <c r="S14" s="621">
        <f t="shared" ref="S14:S77" si="4">S13+1</f>
        <v>2001</v>
      </c>
      <c r="T14" s="623">
        <v>0</v>
      </c>
      <c r="U14" s="623">
        <v>5</v>
      </c>
      <c r="V14" s="624">
        <f>T14*U14</f>
        <v>0</v>
      </c>
      <c r="W14" s="625">
        <v>1</v>
      </c>
      <c r="X14" s="626">
        <f t="shared" si="2"/>
        <v>0</v>
      </c>
    </row>
    <row r="15" spans="2:30">
      <c r="B15" s="621">
        <f t="shared" si="3"/>
        <v>2002</v>
      </c>
      <c r="C15" s="613">
        <f>'[2]Fraksi pengelolaan sampah BaU'!C32</f>
        <v>25.972466520000001</v>
      </c>
      <c r="D15" s="614">
        <v>1</v>
      </c>
      <c r="E15" s="615">
        <f t="shared" si="0"/>
        <v>0.435</v>
      </c>
      <c r="F15" s="615">
        <f t="shared" si="0"/>
        <v>0.129</v>
      </c>
      <c r="G15" s="615">
        <f t="shared" si="0"/>
        <v>0</v>
      </c>
      <c r="H15" s="615">
        <f t="shared" si="0"/>
        <v>0</v>
      </c>
      <c r="I15" s="615">
        <f t="shared" si="0"/>
        <v>9.9000000000000005E-2</v>
      </c>
      <c r="J15" s="615">
        <f t="shared" si="0"/>
        <v>2.7E-2</v>
      </c>
      <c r="K15" s="615">
        <f t="shared" si="0"/>
        <v>8.9999999999999993E-3</v>
      </c>
      <c r="L15" s="615">
        <f t="shared" si="0"/>
        <v>7.1999999999999995E-2</v>
      </c>
      <c r="M15" s="615">
        <f t="shared" si="0"/>
        <v>3.3000000000000002E-2</v>
      </c>
      <c r="N15" s="615">
        <f t="shared" si="0"/>
        <v>0.04</v>
      </c>
      <c r="O15" s="615">
        <f t="shared" si="0"/>
        <v>0.156</v>
      </c>
      <c r="P15" s="622">
        <f t="shared" si="1"/>
        <v>1</v>
      </c>
      <c r="S15" s="621">
        <f t="shared" si="4"/>
        <v>2002</v>
      </c>
      <c r="T15" s="623">
        <v>0</v>
      </c>
      <c r="U15" s="623">
        <v>5</v>
      </c>
      <c r="V15" s="624">
        <f t="shared" ref="V15:V78" si="5">T15*U15</f>
        <v>0</v>
      </c>
      <c r="W15" s="625">
        <v>1</v>
      </c>
      <c r="X15" s="626">
        <f t="shared" si="2"/>
        <v>0</v>
      </c>
    </row>
    <row r="16" spans="2:30">
      <c r="B16" s="621">
        <f t="shared" si="3"/>
        <v>2003</v>
      </c>
      <c r="C16" s="613">
        <f>'[2]Fraksi pengelolaan sampah BaU'!C33</f>
        <v>26.434118436000002</v>
      </c>
      <c r="D16" s="614">
        <v>1</v>
      </c>
      <c r="E16" s="615">
        <f t="shared" si="0"/>
        <v>0.435</v>
      </c>
      <c r="F16" s="615">
        <f t="shared" si="0"/>
        <v>0.129</v>
      </c>
      <c r="G16" s="615">
        <f t="shared" si="0"/>
        <v>0</v>
      </c>
      <c r="H16" s="615">
        <f t="shared" si="0"/>
        <v>0</v>
      </c>
      <c r="I16" s="615">
        <f t="shared" si="0"/>
        <v>9.9000000000000005E-2</v>
      </c>
      <c r="J16" s="615">
        <f t="shared" si="0"/>
        <v>2.7E-2</v>
      </c>
      <c r="K16" s="615">
        <f t="shared" si="0"/>
        <v>8.9999999999999993E-3</v>
      </c>
      <c r="L16" s="615">
        <f t="shared" si="0"/>
        <v>7.1999999999999995E-2</v>
      </c>
      <c r="M16" s="615">
        <f t="shared" si="0"/>
        <v>3.3000000000000002E-2</v>
      </c>
      <c r="N16" s="615">
        <f t="shared" si="0"/>
        <v>0.04</v>
      </c>
      <c r="O16" s="615">
        <f t="shared" si="0"/>
        <v>0.156</v>
      </c>
      <c r="P16" s="622">
        <f t="shared" si="1"/>
        <v>1</v>
      </c>
      <c r="S16" s="621">
        <f t="shared" si="4"/>
        <v>2003</v>
      </c>
      <c r="T16" s="623">
        <v>0</v>
      </c>
      <c r="U16" s="623">
        <v>5</v>
      </c>
      <c r="V16" s="624">
        <f t="shared" si="5"/>
        <v>0</v>
      </c>
      <c r="W16" s="625">
        <v>1</v>
      </c>
      <c r="X16" s="626">
        <f t="shared" si="2"/>
        <v>0</v>
      </c>
    </row>
    <row r="17" spans="2:24">
      <c r="B17" s="621">
        <f t="shared" si="3"/>
        <v>2004</v>
      </c>
      <c r="C17" s="613">
        <f>'[2]Fraksi pengelolaan sampah BaU'!C34</f>
        <v>26.575529771999999</v>
      </c>
      <c r="D17" s="614">
        <v>1</v>
      </c>
      <c r="E17" s="615">
        <f t="shared" si="0"/>
        <v>0.435</v>
      </c>
      <c r="F17" s="615">
        <f t="shared" si="0"/>
        <v>0.129</v>
      </c>
      <c r="G17" s="615">
        <f t="shared" si="0"/>
        <v>0</v>
      </c>
      <c r="H17" s="615">
        <f t="shared" si="0"/>
        <v>0</v>
      </c>
      <c r="I17" s="615">
        <f t="shared" si="0"/>
        <v>9.9000000000000005E-2</v>
      </c>
      <c r="J17" s="615">
        <f t="shared" si="0"/>
        <v>2.7E-2</v>
      </c>
      <c r="K17" s="615">
        <f t="shared" si="0"/>
        <v>8.9999999999999993E-3</v>
      </c>
      <c r="L17" s="615">
        <f t="shared" si="0"/>
        <v>7.1999999999999995E-2</v>
      </c>
      <c r="M17" s="615">
        <f t="shared" si="0"/>
        <v>3.3000000000000002E-2</v>
      </c>
      <c r="N17" s="615">
        <f t="shared" si="0"/>
        <v>0.04</v>
      </c>
      <c r="O17" s="615">
        <f t="shared" si="0"/>
        <v>0.156</v>
      </c>
      <c r="P17" s="622">
        <f t="shared" si="1"/>
        <v>1</v>
      </c>
      <c r="S17" s="621">
        <f t="shared" si="4"/>
        <v>2004</v>
      </c>
      <c r="T17" s="623">
        <v>0</v>
      </c>
      <c r="U17" s="623">
        <v>5</v>
      </c>
      <c r="V17" s="624">
        <f t="shared" si="5"/>
        <v>0</v>
      </c>
      <c r="W17" s="625">
        <v>1</v>
      </c>
      <c r="X17" s="626">
        <f t="shared" si="2"/>
        <v>0</v>
      </c>
    </row>
    <row r="18" spans="2:24">
      <c r="B18" s="621">
        <f t="shared" si="3"/>
        <v>2005</v>
      </c>
      <c r="C18" s="613">
        <f>'[2]Fraksi pengelolaan sampah BaU'!C35</f>
        <v>29.43685932</v>
      </c>
      <c r="D18" s="614">
        <v>1</v>
      </c>
      <c r="E18" s="615">
        <f t="shared" si="0"/>
        <v>0.435</v>
      </c>
      <c r="F18" s="615">
        <f t="shared" si="0"/>
        <v>0.129</v>
      </c>
      <c r="G18" s="615">
        <f t="shared" si="0"/>
        <v>0</v>
      </c>
      <c r="H18" s="615">
        <f t="shared" si="0"/>
        <v>0</v>
      </c>
      <c r="I18" s="615">
        <f t="shared" si="0"/>
        <v>9.9000000000000005E-2</v>
      </c>
      <c r="J18" s="615">
        <f t="shared" si="0"/>
        <v>2.7E-2</v>
      </c>
      <c r="K18" s="615">
        <f t="shared" si="0"/>
        <v>8.9999999999999993E-3</v>
      </c>
      <c r="L18" s="615">
        <f t="shared" si="0"/>
        <v>7.1999999999999995E-2</v>
      </c>
      <c r="M18" s="615">
        <f t="shared" si="0"/>
        <v>3.3000000000000002E-2</v>
      </c>
      <c r="N18" s="615">
        <f t="shared" si="0"/>
        <v>0.04</v>
      </c>
      <c r="O18" s="615">
        <f t="shared" si="0"/>
        <v>0.156</v>
      </c>
      <c r="P18" s="622">
        <f t="shared" si="1"/>
        <v>1</v>
      </c>
      <c r="S18" s="621">
        <f t="shared" si="4"/>
        <v>2005</v>
      </c>
      <c r="T18" s="623">
        <v>0</v>
      </c>
      <c r="U18" s="623">
        <v>5</v>
      </c>
      <c r="V18" s="624">
        <f t="shared" si="5"/>
        <v>0</v>
      </c>
      <c r="W18" s="625">
        <v>1</v>
      </c>
      <c r="X18" s="626">
        <f t="shared" si="2"/>
        <v>0</v>
      </c>
    </row>
    <row r="19" spans="2:24">
      <c r="B19" s="621">
        <f t="shared" si="3"/>
        <v>2006</v>
      </c>
      <c r="C19" s="613">
        <f>'[2]Fraksi pengelolaan sampah BaU'!C36</f>
        <v>30.042388332000002</v>
      </c>
      <c r="D19" s="614">
        <v>1</v>
      </c>
      <c r="E19" s="615">
        <f t="shared" si="0"/>
        <v>0.435</v>
      </c>
      <c r="F19" s="615">
        <f t="shared" si="0"/>
        <v>0.129</v>
      </c>
      <c r="G19" s="615">
        <f t="shared" si="0"/>
        <v>0</v>
      </c>
      <c r="H19" s="615">
        <f t="shared" si="0"/>
        <v>0</v>
      </c>
      <c r="I19" s="615">
        <f t="shared" si="0"/>
        <v>9.9000000000000005E-2</v>
      </c>
      <c r="J19" s="615">
        <f t="shared" si="0"/>
        <v>2.7E-2</v>
      </c>
      <c r="K19" s="615">
        <f t="shared" si="0"/>
        <v>8.9999999999999993E-3</v>
      </c>
      <c r="L19" s="615">
        <f t="shared" si="0"/>
        <v>7.1999999999999995E-2</v>
      </c>
      <c r="M19" s="615">
        <f t="shared" si="0"/>
        <v>3.3000000000000002E-2</v>
      </c>
      <c r="N19" s="615">
        <f t="shared" si="0"/>
        <v>0.04</v>
      </c>
      <c r="O19" s="615">
        <f t="shared" si="0"/>
        <v>0.156</v>
      </c>
      <c r="P19" s="622">
        <f t="shared" si="1"/>
        <v>1</v>
      </c>
      <c r="S19" s="621">
        <f t="shared" si="4"/>
        <v>2006</v>
      </c>
      <c r="T19" s="623">
        <v>0</v>
      </c>
      <c r="U19" s="623">
        <v>5</v>
      </c>
      <c r="V19" s="624">
        <f t="shared" si="5"/>
        <v>0</v>
      </c>
      <c r="W19" s="625">
        <v>1</v>
      </c>
      <c r="X19" s="626">
        <f t="shared" si="2"/>
        <v>0</v>
      </c>
    </row>
    <row r="20" spans="2:24">
      <c r="B20" s="621">
        <f t="shared" si="3"/>
        <v>2007</v>
      </c>
      <c r="C20" s="613">
        <f>'[2]Fraksi pengelolaan sampah BaU'!C37</f>
        <v>30.647424192000003</v>
      </c>
      <c r="D20" s="614">
        <v>1</v>
      </c>
      <c r="E20" s="615">
        <f t="shared" si="0"/>
        <v>0.435</v>
      </c>
      <c r="F20" s="615">
        <f t="shared" si="0"/>
        <v>0.129</v>
      </c>
      <c r="G20" s="615">
        <f t="shared" si="0"/>
        <v>0</v>
      </c>
      <c r="H20" s="615">
        <f t="shared" si="0"/>
        <v>0</v>
      </c>
      <c r="I20" s="615">
        <f t="shared" si="0"/>
        <v>9.9000000000000005E-2</v>
      </c>
      <c r="J20" s="615">
        <f t="shared" si="0"/>
        <v>2.7E-2</v>
      </c>
      <c r="K20" s="615">
        <f t="shared" si="0"/>
        <v>8.9999999999999993E-3</v>
      </c>
      <c r="L20" s="615">
        <f t="shared" si="0"/>
        <v>7.1999999999999995E-2</v>
      </c>
      <c r="M20" s="615">
        <f t="shared" si="0"/>
        <v>3.3000000000000002E-2</v>
      </c>
      <c r="N20" s="615">
        <f t="shared" si="0"/>
        <v>0.04</v>
      </c>
      <c r="O20" s="615">
        <f t="shared" si="0"/>
        <v>0.156</v>
      </c>
      <c r="P20" s="622">
        <f t="shared" si="1"/>
        <v>1</v>
      </c>
      <c r="S20" s="621">
        <f t="shared" si="4"/>
        <v>2007</v>
      </c>
      <c r="T20" s="623">
        <v>0</v>
      </c>
      <c r="U20" s="623">
        <v>5</v>
      </c>
      <c r="V20" s="624">
        <f t="shared" si="5"/>
        <v>0</v>
      </c>
      <c r="W20" s="625">
        <v>1</v>
      </c>
      <c r="X20" s="626">
        <f t="shared" si="2"/>
        <v>0</v>
      </c>
    </row>
    <row r="21" spans="2:24">
      <c r="B21" s="621">
        <f t="shared" si="3"/>
        <v>2008</v>
      </c>
      <c r="C21" s="613">
        <f>'[2]Fraksi pengelolaan sampah BaU'!C38</f>
        <v>31.24826826</v>
      </c>
      <c r="D21" s="614">
        <v>1</v>
      </c>
      <c r="E21" s="615">
        <f t="shared" si="0"/>
        <v>0.435</v>
      </c>
      <c r="F21" s="615">
        <f t="shared" si="0"/>
        <v>0.129</v>
      </c>
      <c r="G21" s="615">
        <f t="shared" si="0"/>
        <v>0</v>
      </c>
      <c r="H21" s="615">
        <f t="shared" si="0"/>
        <v>0</v>
      </c>
      <c r="I21" s="615">
        <f t="shared" si="0"/>
        <v>9.9000000000000005E-2</v>
      </c>
      <c r="J21" s="615">
        <f t="shared" si="0"/>
        <v>2.7E-2</v>
      </c>
      <c r="K21" s="615">
        <f t="shared" si="0"/>
        <v>8.9999999999999993E-3</v>
      </c>
      <c r="L21" s="615">
        <f t="shared" si="0"/>
        <v>7.1999999999999995E-2</v>
      </c>
      <c r="M21" s="615">
        <f t="shared" si="0"/>
        <v>3.3000000000000002E-2</v>
      </c>
      <c r="N21" s="615">
        <f t="shared" si="0"/>
        <v>0.04</v>
      </c>
      <c r="O21" s="615">
        <f t="shared" si="0"/>
        <v>0.156</v>
      </c>
      <c r="P21" s="622">
        <f t="shared" si="1"/>
        <v>1</v>
      </c>
      <c r="S21" s="621">
        <f t="shared" si="4"/>
        <v>2008</v>
      </c>
      <c r="T21" s="623">
        <v>0</v>
      </c>
      <c r="U21" s="623">
        <v>5</v>
      </c>
      <c r="V21" s="624">
        <f t="shared" si="5"/>
        <v>0</v>
      </c>
      <c r="W21" s="625">
        <v>1</v>
      </c>
      <c r="X21" s="626">
        <f t="shared" si="2"/>
        <v>0</v>
      </c>
    </row>
    <row r="22" spans="2:24">
      <c r="B22" s="621">
        <f t="shared" si="3"/>
        <v>2009</v>
      </c>
      <c r="C22" s="613">
        <f>'[2]Fraksi pengelolaan sampah BaU'!C39</f>
        <v>31.840482168000001</v>
      </c>
      <c r="D22" s="614">
        <v>1</v>
      </c>
      <c r="E22" s="615">
        <f t="shared" si="0"/>
        <v>0.435</v>
      </c>
      <c r="F22" s="615">
        <f t="shared" si="0"/>
        <v>0.129</v>
      </c>
      <c r="G22" s="615">
        <f t="shared" si="0"/>
        <v>0</v>
      </c>
      <c r="H22" s="615">
        <f t="shared" si="0"/>
        <v>0</v>
      </c>
      <c r="I22" s="615">
        <f t="shared" si="0"/>
        <v>9.9000000000000005E-2</v>
      </c>
      <c r="J22" s="615">
        <f t="shared" si="0"/>
        <v>2.7E-2</v>
      </c>
      <c r="K22" s="615">
        <f t="shared" si="0"/>
        <v>8.9999999999999993E-3</v>
      </c>
      <c r="L22" s="615">
        <f t="shared" si="0"/>
        <v>7.1999999999999995E-2</v>
      </c>
      <c r="M22" s="615">
        <f t="shared" si="0"/>
        <v>3.3000000000000002E-2</v>
      </c>
      <c r="N22" s="615">
        <f t="shared" si="0"/>
        <v>0.04</v>
      </c>
      <c r="O22" s="615">
        <f t="shared" si="0"/>
        <v>0.156</v>
      </c>
      <c r="P22" s="622">
        <f t="shared" si="1"/>
        <v>1</v>
      </c>
      <c r="S22" s="621">
        <f t="shared" si="4"/>
        <v>2009</v>
      </c>
      <c r="T22" s="623">
        <v>0</v>
      </c>
      <c r="U22" s="623">
        <v>5</v>
      </c>
      <c r="V22" s="624">
        <f t="shared" si="5"/>
        <v>0</v>
      </c>
      <c r="W22" s="625">
        <v>1</v>
      </c>
      <c r="X22" s="626">
        <f t="shared" si="2"/>
        <v>0</v>
      </c>
    </row>
    <row r="23" spans="2:24">
      <c r="B23" s="621">
        <f t="shared" si="3"/>
        <v>2010</v>
      </c>
      <c r="C23" s="613">
        <f>'[2]Fraksi pengelolaan sampah BaU'!C40</f>
        <v>34.371399876000005</v>
      </c>
      <c r="D23" s="614">
        <v>1</v>
      </c>
      <c r="E23" s="615">
        <f t="shared" ref="E23:O38" si="6">E$8</f>
        <v>0.435</v>
      </c>
      <c r="F23" s="615">
        <f t="shared" si="6"/>
        <v>0.129</v>
      </c>
      <c r="G23" s="615">
        <f t="shared" si="0"/>
        <v>0</v>
      </c>
      <c r="H23" s="615">
        <f t="shared" si="6"/>
        <v>0</v>
      </c>
      <c r="I23" s="615">
        <f t="shared" si="0"/>
        <v>9.9000000000000005E-2</v>
      </c>
      <c r="J23" s="615">
        <f t="shared" si="6"/>
        <v>2.7E-2</v>
      </c>
      <c r="K23" s="615">
        <f t="shared" si="6"/>
        <v>8.9999999999999993E-3</v>
      </c>
      <c r="L23" s="615">
        <f t="shared" si="6"/>
        <v>7.1999999999999995E-2</v>
      </c>
      <c r="M23" s="615">
        <f t="shared" si="6"/>
        <v>3.3000000000000002E-2</v>
      </c>
      <c r="N23" s="615">
        <f t="shared" si="6"/>
        <v>0.04</v>
      </c>
      <c r="O23" s="615">
        <f t="shared" si="6"/>
        <v>0.156</v>
      </c>
      <c r="P23" s="622">
        <f t="shared" si="1"/>
        <v>1</v>
      </c>
      <c r="S23" s="621">
        <f t="shared" si="4"/>
        <v>2010</v>
      </c>
      <c r="T23" s="623">
        <v>0</v>
      </c>
      <c r="U23" s="623">
        <v>5</v>
      </c>
      <c r="V23" s="624">
        <f t="shared" si="5"/>
        <v>0</v>
      </c>
      <c r="W23" s="625">
        <v>1</v>
      </c>
      <c r="X23" s="626">
        <f t="shared" si="2"/>
        <v>0</v>
      </c>
    </row>
    <row r="24" spans="2:24">
      <c r="B24" s="621">
        <f t="shared" si="3"/>
        <v>2011</v>
      </c>
      <c r="C24" s="613">
        <f>'[3]Fraksi pengelolaan sampah BaU'!C29</f>
        <v>35.271710495999997</v>
      </c>
      <c r="D24" s="614">
        <v>1</v>
      </c>
      <c r="E24" s="615">
        <f t="shared" si="6"/>
        <v>0.435</v>
      </c>
      <c r="F24" s="615">
        <f t="shared" si="6"/>
        <v>0.129</v>
      </c>
      <c r="G24" s="615">
        <f t="shared" si="0"/>
        <v>0</v>
      </c>
      <c r="H24" s="615">
        <f t="shared" si="6"/>
        <v>0</v>
      </c>
      <c r="I24" s="615">
        <f t="shared" si="0"/>
        <v>9.9000000000000005E-2</v>
      </c>
      <c r="J24" s="615">
        <f t="shared" si="6"/>
        <v>2.7E-2</v>
      </c>
      <c r="K24" s="615">
        <f t="shared" si="6"/>
        <v>8.9999999999999993E-3</v>
      </c>
      <c r="L24" s="615">
        <f t="shared" si="6"/>
        <v>7.1999999999999995E-2</v>
      </c>
      <c r="M24" s="615">
        <f t="shared" si="6"/>
        <v>3.3000000000000002E-2</v>
      </c>
      <c r="N24" s="615">
        <f t="shared" si="6"/>
        <v>0.04</v>
      </c>
      <c r="O24" s="615">
        <f t="shared" si="6"/>
        <v>0.156</v>
      </c>
      <c r="P24" s="622">
        <f t="shared" si="1"/>
        <v>1</v>
      </c>
      <c r="S24" s="621">
        <f t="shared" si="4"/>
        <v>2011</v>
      </c>
      <c r="T24" s="623">
        <v>0</v>
      </c>
      <c r="U24" s="623">
        <v>5</v>
      </c>
      <c r="V24" s="624">
        <f t="shared" si="5"/>
        <v>0</v>
      </c>
      <c r="W24" s="625">
        <v>1</v>
      </c>
      <c r="X24" s="626">
        <f t="shared" si="2"/>
        <v>0</v>
      </c>
    </row>
    <row r="25" spans="2:24">
      <c r="B25" s="621">
        <f t="shared" si="3"/>
        <v>2012</v>
      </c>
      <c r="C25" s="613">
        <f>'[3]Fraksi pengelolaan sampah BaU'!C30</f>
        <v>35.955219167999999</v>
      </c>
      <c r="D25" s="614">
        <v>1</v>
      </c>
      <c r="E25" s="615">
        <f t="shared" si="6"/>
        <v>0.435</v>
      </c>
      <c r="F25" s="615">
        <f t="shared" si="6"/>
        <v>0.129</v>
      </c>
      <c r="G25" s="615">
        <f t="shared" si="0"/>
        <v>0</v>
      </c>
      <c r="H25" s="615">
        <f t="shared" si="6"/>
        <v>0</v>
      </c>
      <c r="I25" s="615">
        <f t="shared" si="0"/>
        <v>9.9000000000000005E-2</v>
      </c>
      <c r="J25" s="615">
        <f t="shared" si="6"/>
        <v>2.7E-2</v>
      </c>
      <c r="K25" s="615">
        <f t="shared" si="6"/>
        <v>8.9999999999999993E-3</v>
      </c>
      <c r="L25" s="615">
        <f t="shared" si="6"/>
        <v>7.1999999999999995E-2</v>
      </c>
      <c r="M25" s="615">
        <f t="shared" si="6"/>
        <v>3.3000000000000002E-2</v>
      </c>
      <c r="N25" s="615">
        <f t="shared" si="6"/>
        <v>0.04</v>
      </c>
      <c r="O25" s="615">
        <f t="shared" si="6"/>
        <v>0.156</v>
      </c>
      <c r="P25" s="622">
        <f t="shared" si="1"/>
        <v>1</v>
      </c>
      <c r="S25" s="621">
        <f t="shared" si="4"/>
        <v>2012</v>
      </c>
      <c r="T25" s="623">
        <v>0</v>
      </c>
      <c r="U25" s="623">
        <v>5</v>
      </c>
      <c r="V25" s="624">
        <f t="shared" si="5"/>
        <v>0</v>
      </c>
      <c r="W25" s="625">
        <v>1</v>
      </c>
      <c r="X25" s="626">
        <f t="shared" si="2"/>
        <v>0</v>
      </c>
    </row>
    <row r="26" spans="2:24">
      <c r="B26" s="621">
        <f t="shared" si="3"/>
        <v>2013</v>
      </c>
      <c r="C26" s="613">
        <f>'[3]Fraksi pengelolaan sampah BaU'!C31</f>
        <v>36.636385367999999</v>
      </c>
      <c r="D26" s="614">
        <v>1</v>
      </c>
      <c r="E26" s="615">
        <f t="shared" si="6"/>
        <v>0.435</v>
      </c>
      <c r="F26" s="615">
        <f t="shared" si="6"/>
        <v>0.129</v>
      </c>
      <c r="G26" s="615">
        <f t="shared" si="0"/>
        <v>0</v>
      </c>
      <c r="H26" s="615">
        <f t="shared" si="6"/>
        <v>0</v>
      </c>
      <c r="I26" s="615">
        <f t="shared" si="0"/>
        <v>9.9000000000000005E-2</v>
      </c>
      <c r="J26" s="615">
        <f t="shared" si="6"/>
        <v>2.7E-2</v>
      </c>
      <c r="K26" s="615">
        <f t="shared" si="6"/>
        <v>8.9999999999999993E-3</v>
      </c>
      <c r="L26" s="615">
        <f t="shared" si="6"/>
        <v>7.1999999999999995E-2</v>
      </c>
      <c r="M26" s="615">
        <f t="shared" si="6"/>
        <v>3.3000000000000002E-2</v>
      </c>
      <c r="N26" s="615">
        <f t="shared" si="6"/>
        <v>0.04</v>
      </c>
      <c r="O26" s="615">
        <f t="shared" si="6"/>
        <v>0.156</v>
      </c>
      <c r="P26" s="622">
        <f t="shared" si="1"/>
        <v>1</v>
      </c>
      <c r="S26" s="621">
        <f t="shared" si="4"/>
        <v>2013</v>
      </c>
      <c r="T26" s="623">
        <v>0</v>
      </c>
      <c r="U26" s="623">
        <v>5</v>
      </c>
      <c r="V26" s="624">
        <f t="shared" si="5"/>
        <v>0</v>
      </c>
      <c r="W26" s="625">
        <v>1</v>
      </c>
      <c r="X26" s="626">
        <f t="shared" si="2"/>
        <v>0</v>
      </c>
    </row>
    <row r="27" spans="2:24">
      <c r="B27" s="621">
        <f t="shared" si="3"/>
        <v>2014</v>
      </c>
      <c r="C27" s="613">
        <f>'[3]Fraksi pengelolaan sampah BaU'!C32</f>
        <v>37.300537823999996</v>
      </c>
      <c r="D27" s="614">
        <v>1</v>
      </c>
      <c r="E27" s="615">
        <f t="shared" si="6"/>
        <v>0.435</v>
      </c>
      <c r="F27" s="615">
        <f t="shared" si="6"/>
        <v>0.129</v>
      </c>
      <c r="G27" s="615">
        <f t="shared" si="0"/>
        <v>0</v>
      </c>
      <c r="H27" s="615">
        <f t="shared" si="6"/>
        <v>0</v>
      </c>
      <c r="I27" s="615">
        <f t="shared" si="0"/>
        <v>9.9000000000000005E-2</v>
      </c>
      <c r="J27" s="615">
        <f t="shared" si="6"/>
        <v>2.7E-2</v>
      </c>
      <c r="K27" s="615">
        <f t="shared" si="6"/>
        <v>8.9999999999999993E-3</v>
      </c>
      <c r="L27" s="615">
        <f t="shared" si="6"/>
        <v>7.1999999999999995E-2</v>
      </c>
      <c r="M27" s="615">
        <f t="shared" si="6"/>
        <v>3.3000000000000002E-2</v>
      </c>
      <c r="N27" s="615">
        <f t="shared" si="6"/>
        <v>0.04</v>
      </c>
      <c r="O27" s="615">
        <f t="shared" si="6"/>
        <v>0.156</v>
      </c>
      <c r="P27" s="622">
        <f t="shared" si="1"/>
        <v>1</v>
      </c>
      <c r="S27" s="621">
        <f t="shared" si="4"/>
        <v>2014</v>
      </c>
      <c r="T27" s="623">
        <v>0</v>
      </c>
      <c r="U27" s="623">
        <v>5</v>
      </c>
      <c r="V27" s="624">
        <f t="shared" si="5"/>
        <v>0</v>
      </c>
      <c r="W27" s="625">
        <v>1</v>
      </c>
      <c r="X27" s="626">
        <f t="shared" si="2"/>
        <v>0</v>
      </c>
    </row>
    <row r="28" spans="2:24">
      <c r="B28" s="621">
        <f t="shared" si="3"/>
        <v>2015</v>
      </c>
      <c r="C28" s="613">
        <f>'[3]Fraksi pengelolaan sampah BaU'!C33</f>
        <v>37.946443656</v>
      </c>
      <c r="D28" s="614">
        <v>1</v>
      </c>
      <c r="E28" s="615">
        <f t="shared" si="6"/>
        <v>0.435</v>
      </c>
      <c r="F28" s="615">
        <f t="shared" si="6"/>
        <v>0.129</v>
      </c>
      <c r="G28" s="615">
        <f t="shared" si="0"/>
        <v>0</v>
      </c>
      <c r="H28" s="615">
        <f t="shared" si="6"/>
        <v>0</v>
      </c>
      <c r="I28" s="615">
        <f t="shared" si="0"/>
        <v>9.9000000000000005E-2</v>
      </c>
      <c r="J28" s="615">
        <f t="shared" si="6"/>
        <v>2.7E-2</v>
      </c>
      <c r="K28" s="615">
        <f t="shared" si="6"/>
        <v>8.9999999999999993E-3</v>
      </c>
      <c r="L28" s="615">
        <f t="shared" si="6"/>
        <v>7.1999999999999995E-2</v>
      </c>
      <c r="M28" s="615">
        <f t="shared" si="6"/>
        <v>3.3000000000000002E-2</v>
      </c>
      <c r="N28" s="615">
        <f t="shared" si="6"/>
        <v>0.04</v>
      </c>
      <c r="O28" s="615">
        <f t="shared" si="6"/>
        <v>0.156</v>
      </c>
      <c r="P28" s="622">
        <f t="shared" si="1"/>
        <v>1</v>
      </c>
      <c r="S28" s="621">
        <f t="shared" si="4"/>
        <v>2015</v>
      </c>
      <c r="T28" s="623">
        <v>0</v>
      </c>
      <c r="U28" s="623">
        <v>5</v>
      </c>
      <c r="V28" s="624">
        <f t="shared" si="5"/>
        <v>0</v>
      </c>
      <c r="W28" s="625">
        <v>1</v>
      </c>
      <c r="X28" s="626">
        <f t="shared" si="2"/>
        <v>0</v>
      </c>
    </row>
    <row r="29" spans="2:24">
      <c r="B29" s="621">
        <f t="shared" si="3"/>
        <v>2016</v>
      </c>
      <c r="C29" s="613">
        <f>'[3]Fraksi pengelolaan sampah BaU'!C34</f>
        <v>38.587171391999995</v>
      </c>
      <c r="D29" s="614">
        <v>1</v>
      </c>
      <c r="E29" s="615">
        <f t="shared" si="6"/>
        <v>0.435</v>
      </c>
      <c r="F29" s="615">
        <f t="shared" si="6"/>
        <v>0.129</v>
      </c>
      <c r="G29" s="615">
        <f t="shared" si="6"/>
        <v>0</v>
      </c>
      <c r="H29" s="615">
        <f t="shared" si="6"/>
        <v>0</v>
      </c>
      <c r="I29" s="615">
        <f t="shared" si="6"/>
        <v>9.9000000000000005E-2</v>
      </c>
      <c r="J29" s="615">
        <f t="shared" si="6"/>
        <v>2.7E-2</v>
      </c>
      <c r="K29" s="615">
        <f t="shared" si="6"/>
        <v>8.9999999999999993E-3</v>
      </c>
      <c r="L29" s="615">
        <f t="shared" si="6"/>
        <v>7.1999999999999995E-2</v>
      </c>
      <c r="M29" s="615">
        <f t="shared" si="6"/>
        <v>3.3000000000000002E-2</v>
      </c>
      <c r="N29" s="615">
        <f t="shared" si="6"/>
        <v>0.04</v>
      </c>
      <c r="O29" s="615">
        <f t="shared" si="6"/>
        <v>0.156</v>
      </c>
      <c r="P29" s="622">
        <f t="shared" si="1"/>
        <v>1</v>
      </c>
      <c r="S29" s="621">
        <f t="shared" si="4"/>
        <v>2016</v>
      </c>
      <c r="T29" s="623">
        <v>0</v>
      </c>
      <c r="U29" s="623">
        <v>5</v>
      </c>
      <c r="V29" s="624">
        <f t="shared" si="5"/>
        <v>0</v>
      </c>
      <c r="W29" s="625">
        <v>1</v>
      </c>
      <c r="X29" s="626">
        <f t="shared" si="2"/>
        <v>0</v>
      </c>
    </row>
    <row r="30" spans="2:24">
      <c r="B30" s="621">
        <f t="shared" si="3"/>
        <v>2017</v>
      </c>
      <c r="C30" s="613">
        <f>'[3]Fraksi pengelolaan sampah BaU'!C35</f>
        <v>40.067921916000003</v>
      </c>
      <c r="D30" s="614">
        <v>1</v>
      </c>
      <c r="E30" s="615">
        <f t="shared" si="6"/>
        <v>0.435</v>
      </c>
      <c r="F30" s="615">
        <f t="shared" si="6"/>
        <v>0.129</v>
      </c>
      <c r="G30" s="615">
        <f t="shared" si="6"/>
        <v>0</v>
      </c>
      <c r="H30" s="615">
        <f t="shared" si="6"/>
        <v>0</v>
      </c>
      <c r="I30" s="615">
        <f t="shared" si="6"/>
        <v>9.9000000000000005E-2</v>
      </c>
      <c r="J30" s="615">
        <f t="shared" si="6"/>
        <v>2.7E-2</v>
      </c>
      <c r="K30" s="615">
        <f t="shared" si="6"/>
        <v>8.9999999999999993E-3</v>
      </c>
      <c r="L30" s="615">
        <f t="shared" si="6"/>
        <v>7.1999999999999995E-2</v>
      </c>
      <c r="M30" s="615">
        <f t="shared" si="6"/>
        <v>3.3000000000000002E-2</v>
      </c>
      <c r="N30" s="615">
        <f t="shared" si="6"/>
        <v>0.04</v>
      </c>
      <c r="O30" s="615">
        <f t="shared" si="6"/>
        <v>0.156</v>
      </c>
      <c r="P30" s="622">
        <f t="shared" si="1"/>
        <v>1</v>
      </c>
      <c r="S30" s="621">
        <f t="shared" si="4"/>
        <v>2017</v>
      </c>
      <c r="T30" s="623">
        <v>0</v>
      </c>
      <c r="U30" s="623">
        <v>5</v>
      </c>
      <c r="V30" s="624">
        <f t="shared" si="5"/>
        <v>0</v>
      </c>
      <c r="W30" s="625">
        <v>1</v>
      </c>
      <c r="X30" s="626">
        <f t="shared" si="2"/>
        <v>0</v>
      </c>
    </row>
    <row r="31" spans="2:24">
      <c r="B31" s="621">
        <f t="shared" si="3"/>
        <v>2018</v>
      </c>
      <c r="C31" s="613">
        <f>'[3]Fraksi pengelolaan sampah BaU'!C36</f>
        <v>40.998684672000003</v>
      </c>
      <c r="D31" s="614">
        <v>1</v>
      </c>
      <c r="E31" s="615">
        <f t="shared" si="6"/>
        <v>0.435</v>
      </c>
      <c r="F31" s="615">
        <f t="shared" si="6"/>
        <v>0.129</v>
      </c>
      <c r="G31" s="615">
        <f t="shared" si="6"/>
        <v>0</v>
      </c>
      <c r="H31" s="615">
        <f t="shared" si="6"/>
        <v>0</v>
      </c>
      <c r="I31" s="615">
        <f t="shared" si="6"/>
        <v>9.9000000000000005E-2</v>
      </c>
      <c r="J31" s="615">
        <f t="shared" si="6"/>
        <v>2.7E-2</v>
      </c>
      <c r="K31" s="615">
        <f t="shared" si="6"/>
        <v>8.9999999999999993E-3</v>
      </c>
      <c r="L31" s="615">
        <f t="shared" si="6"/>
        <v>7.1999999999999995E-2</v>
      </c>
      <c r="M31" s="615">
        <f t="shared" si="6"/>
        <v>3.3000000000000002E-2</v>
      </c>
      <c r="N31" s="615">
        <f t="shared" si="6"/>
        <v>0.04</v>
      </c>
      <c r="O31" s="615">
        <f t="shared" si="6"/>
        <v>0.156</v>
      </c>
      <c r="P31" s="622">
        <f t="shared" si="1"/>
        <v>1</v>
      </c>
      <c r="S31" s="621">
        <f t="shared" si="4"/>
        <v>2018</v>
      </c>
      <c r="T31" s="623">
        <v>0</v>
      </c>
      <c r="U31" s="623">
        <v>5</v>
      </c>
      <c r="V31" s="624">
        <f t="shared" si="5"/>
        <v>0</v>
      </c>
      <c r="W31" s="625">
        <v>1</v>
      </c>
      <c r="X31" s="626">
        <f t="shared" si="2"/>
        <v>0</v>
      </c>
    </row>
    <row r="32" spans="2:24">
      <c r="B32" s="621">
        <f t="shared" si="3"/>
        <v>2019</v>
      </c>
      <c r="C32" s="613">
        <f>'[3]Fraksi pengelolaan sampah BaU'!C37</f>
        <v>41.929447428000003</v>
      </c>
      <c r="D32" s="614">
        <v>1</v>
      </c>
      <c r="E32" s="615">
        <f t="shared" si="6"/>
        <v>0.435</v>
      </c>
      <c r="F32" s="615">
        <f t="shared" si="6"/>
        <v>0.129</v>
      </c>
      <c r="G32" s="615">
        <f t="shared" si="6"/>
        <v>0</v>
      </c>
      <c r="H32" s="615">
        <f t="shared" si="6"/>
        <v>0</v>
      </c>
      <c r="I32" s="615">
        <f t="shared" si="6"/>
        <v>9.9000000000000005E-2</v>
      </c>
      <c r="J32" s="615">
        <f t="shared" si="6"/>
        <v>2.7E-2</v>
      </c>
      <c r="K32" s="615">
        <f t="shared" si="6"/>
        <v>8.9999999999999993E-3</v>
      </c>
      <c r="L32" s="615">
        <f t="shared" si="6"/>
        <v>7.1999999999999995E-2</v>
      </c>
      <c r="M32" s="615">
        <f t="shared" si="6"/>
        <v>3.3000000000000002E-2</v>
      </c>
      <c r="N32" s="615">
        <f t="shared" si="6"/>
        <v>0.04</v>
      </c>
      <c r="O32" s="615">
        <f t="shared" si="6"/>
        <v>0.156</v>
      </c>
      <c r="P32" s="622">
        <f t="shared" si="1"/>
        <v>1</v>
      </c>
      <c r="S32" s="621">
        <f t="shared" si="4"/>
        <v>2019</v>
      </c>
      <c r="T32" s="623">
        <v>0</v>
      </c>
      <c r="U32" s="623">
        <v>5</v>
      </c>
      <c r="V32" s="624">
        <f t="shared" si="5"/>
        <v>0</v>
      </c>
      <c r="W32" s="625">
        <v>1</v>
      </c>
      <c r="X32" s="626">
        <f t="shared" si="2"/>
        <v>0</v>
      </c>
    </row>
    <row r="33" spans="2:24">
      <c r="B33" s="621">
        <f t="shared" si="3"/>
        <v>2020</v>
      </c>
      <c r="C33" s="613">
        <f>'[3]Fraksi pengelolaan sampah BaU'!C38</f>
        <v>42.86021018400001</v>
      </c>
      <c r="D33" s="614">
        <v>1</v>
      </c>
      <c r="E33" s="615">
        <f t="shared" ref="E33:O48" si="7">E$8</f>
        <v>0.435</v>
      </c>
      <c r="F33" s="615">
        <f t="shared" si="7"/>
        <v>0.129</v>
      </c>
      <c r="G33" s="615">
        <f t="shared" si="6"/>
        <v>0</v>
      </c>
      <c r="H33" s="615">
        <f t="shared" si="7"/>
        <v>0</v>
      </c>
      <c r="I33" s="615">
        <f t="shared" si="6"/>
        <v>9.9000000000000005E-2</v>
      </c>
      <c r="J33" s="615">
        <f t="shared" si="7"/>
        <v>2.7E-2</v>
      </c>
      <c r="K33" s="615">
        <f t="shared" si="7"/>
        <v>8.9999999999999993E-3</v>
      </c>
      <c r="L33" s="615">
        <f t="shared" si="7"/>
        <v>7.1999999999999995E-2</v>
      </c>
      <c r="M33" s="615">
        <f t="shared" si="7"/>
        <v>3.3000000000000002E-2</v>
      </c>
      <c r="N33" s="615">
        <f t="shared" si="7"/>
        <v>0.04</v>
      </c>
      <c r="O33" s="615">
        <f t="shared" si="7"/>
        <v>0.156</v>
      </c>
      <c r="P33" s="622">
        <f t="shared" si="1"/>
        <v>1</v>
      </c>
      <c r="S33" s="621">
        <f t="shared" si="4"/>
        <v>2020</v>
      </c>
      <c r="T33" s="623">
        <v>0</v>
      </c>
      <c r="U33" s="623">
        <v>5</v>
      </c>
      <c r="V33" s="624">
        <f t="shared" si="5"/>
        <v>0</v>
      </c>
      <c r="W33" s="625">
        <v>1</v>
      </c>
      <c r="X33" s="626">
        <f t="shared" si="2"/>
        <v>0</v>
      </c>
    </row>
    <row r="34" spans="2:24">
      <c r="B34" s="621">
        <f t="shared" si="3"/>
        <v>2021</v>
      </c>
      <c r="C34" s="613">
        <f>'[3]Fraksi pengelolaan sampah BaU'!C39</f>
        <v>43.790972940000003</v>
      </c>
      <c r="D34" s="614">
        <v>1</v>
      </c>
      <c r="E34" s="615">
        <f t="shared" si="7"/>
        <v>0.435</v>
      </c>
      <c r="F34" s="615">
        <f t="shared" si="7"/>
        <v>0.129</v>
      </c>
      <c r="G34" s="615">
        <f t="shared" si="6"/>
        <v>0</v>
      </c>
      <c r="H34" s="615">
        <f t="shared" si="7"/>
        <v>0</v>
      </c>
      <c r="I34" s="615">
        <f t="shared" si="6"/>
        <v>9.9000000000000005E-2</v>
      </c>
      <c r="J34" s="615">
        <f t="shared" si="7"/>
        <v>2.7E-2</v>
      </c>
      <c r="K34" s="615">
        <f t="shared" si="7"/>
        <v>8.9999999999999993E-3</v>
      </c>
      <c r="L34" s="615">
        <f t="shared" si="7"/>
        <v>7.1999999999999995E-2</v>
      </c>
      <c r="M34" s="615">
        <f t="shared" si="7"/>
        <v>3.3000000000000002E-2</v>
      </c>
      <c r="N34" s="615">
        <f t="shared" si="7"/>
        <v>0.04</v>
      </c>
      <c r="O34" s="615">
        <f t="shared" si="7"/>
        <v>0.156</v>
      </c>
      <c r="P34" s="622">
        <f t="shared" si="1"/>
        <v>1</v>
      </c>
      <c r="S34" s="621">
        <f t="shared" si="4"/>
        <v>2021</v>
      </c>
      <c r="T34" s="623">
        <v>0</v>
      </c>
      <c r="U34" s="623">
        <v>5</v>
      </c>
      <c r="V34" s="624">
        <f t="shared" si="5"/>
        <v>0</v>
      </c>
      <c r="W34" s="625">
        <v>1</v>
      </c>
      <c r="X34" s="626">
        <f t="shared" si="2"/>
        <v>0</v>
      </c>
    </row>
    <row r="35" spans="2:24">
      <c r="B35" s="621">
        <f t="shared" si="3"/>
        <v>2022</v>
      </c>
      <c r="C35" s="613">
        <f>'[3]Fraksi pengelolaan sampah BaU'!C40</f>
        <v>44.721735696000003</v>
      </c>
      <c r="D35" s="614">
        <v>1</v>
      </c>
      <c r="E35" s="615">
        <f t="shared" si="7"/>
        <v>0.435</v>
      </c>
      <c r="F35" s="615">
        <f t="shared" si="7"/>
        <v>0.129</v>
      </c>
      <c r="G35" s="615">
        <f t="shared" si="6"/>
        <v>0</v>
      </c>
      <c r="H35" s="615">
        <f t="shared" si="7"/>
        <v>0</v>
      </c>
      <c r="I35" s="615">
        <f t="shared" si="6"/>
        <v>9.9000000000000005E-2</v>
      </c>
      <c r="J35" s="615">
        <f t="shared" si="7"/>
        <v>2.7E-2</v>
      </c>
      <c r="K35" s="615">
        <f t="shared" si="7"/>
        <v>8.9999999999999993E-3</v>
      </c>
      <c r="L35" s="615">
        <f t="shared" si="7"/>
        <v>7.1999999999999995E-2</v>
      </c>
      <c r="M35" s="615">
        <f t="shared" si="7"/>
        <v>3.3000000000000002E-2</v>
      </c>
      <c r="N35" s="615">
        <f t="shared" si="7"/>
        <v>0.04</v>
      </c>
      <c r="O35" s="615">
        <f t="shared" si="7"/>
        <v>0.156</v>
      </c>
      <c r="P35" s="622">
        <f t="shared" si="1"/>
        <v>1</v>
      </c>
      <c r="S35" s="621">
        <f t="shared" si="4"/>
        <v>2022</v>
      </c>
      <c r="T35" s="623">
        <v>0</v>
      </c>
      <c r="U35" s="623">
        <v>5</v>
      </c>
      <c r="V35" s="624">
        <f t="shared" si="5"/>
        <v>0</v>
      </c>
      <c r="W35" s="625">
        <v>1</v>
      </c>
      <c r="X35" s="626">
        <f t="shared" si="2"/>
        <v>0</v>
      </c>
    </row>
    <row r="36" spans="2:24">
      <c r="B36" s="621">
        <f t="shared" si="3"/>
        <v>2023</v>
      </c>
      <c r="C36" s="613">
        <f>'[3]Fraksi pengelolaan sampah BaU'!C41</f>
        <v>45.65249845200001</v>
      </c>
      <c r="D36" s="614">
        <v>1</v>
      </c>
      <c r="E36" s="615">
        <f t="shared" si="7"/>
        <v>0.435</v>
      </c>
      <c r="F36" s="615">
        <f t="shared" si="7"/>
        <v>0.129</v>
      </c>
      <c r="G36" s="615">
        <f t="shared" si="6"/>
        <v>0</v>
      </c>
      <c r="H36" s="615">
        <f t="shared" si="7"/>
        <v>0</v>
      </c>
      <c r="I36" s="615">
        <f t="shared" si="6"/>
        <v>9.9000000000000005E-2</v>
      </c>
      <c r="J36" s="615">
        <f t="shared" si="7"/>
        <v>2.7E-2</v>
      </c>
      <c r="K36" s="615">
        <f t="shared" si="7"/>
        <v>8.9999999999999993E-3</v>
      </c>
      <c r="L36" s="615">
        <f t="shared" si="7"/>
        <v>7.1999999999999995E-2</v>
      </c>
      <c r="M36" s="615">
        <f t="shared" si="7"/>
        <v>3.3000000000000002E-2</v>
      </c>
      <c r="N36" s="615">
        <f t="shared" si="7"/>
        <v>0.04</v>
      </c>
      <c r="O36" s="615">
        <f t="shared" si="7"/>
        <v>0.156</v>
      </c>
      <c r="P36" s="622">
        <f t="shared" si="1"/>
        <v>1</v>
      </c>
      <c r="S36" s="621">
        <f t="shared" si="4"/>
        <v>2023</v>
      </c>
      <c r="T36" s="623">
        <v>0</v>
      </c>
      <c r="U36" s="623">
        <v>5</v>
      </c>
      <c r="V36" s="624">
        <f t="shared" si="5"/>
        <v>0</v>
      </c>
      <c r="W36" s="625">
        <v>1</v>
      </c>
      <c r="X36" s="626">
        <f t="shared" si="2"/>
        <v>0</v>
      </c>
    </row>
    <row r="37" spans="2:24">
      <c r="B37" s="621">
        <f t="shared" si="3"/>
        <v>2024</v>
      </c>
      <c r="C37" s="613">
        <f>'[3]Fraksi pengelolaan sampah BaU'!C42</f>
        <v>46.583261208000003</v>
      </c>
      <c r="D37" s="614">
        <v>1</v>
      </c>
      <c r="E37" s="615">
        <f t="shared" si="7"/>
        <v>0.435</v>
      </c>
      <c r="F37" s="615">
        <f t="shared" si="7"/>
        <v>0.129</v>
      </c>
      <c r="G37" s="615">
        <f t="shared" si="6"/>
        <v>0</v>
      </c>
      <c r="H37" s="615">
        <f t="shared" si="7"/>
        <v>0</v>
      </c>
      <c r="I37" s="615">
        <f t="shared" si="6"/>
        <v>9.9000000000000005E-2</v>
      </c>
      <c r="J37" s="615">
        <f t="shared" si="7"/>
        <v>2.7E-2</v>
      </c>
      <c r="K37" s="615">
        <f t="shared" si="7"/>
        <v>8.9999999999999993E-3</v>
      </c>
      <c r="L37" s="615">
        <f t="shared" si="7"/>
        <v>7.1999999999999995E-2</v>
      </c>
      <c r="M37" s="615">
        <f t="shared" si="7"/>
        <v>3.3000000000000002E-2</v>
      </c>
      <c r="N37" s="615">
        <f t="shared" si="7"/>
        <v>0.04</v>
      </c>
      <c r="O37" s="615">
        <f t="shared" si="7"/>
        <v>0.156</v>
      </c>
      <c r="P37" s="622">
        <f t="shared" si="1"/>
        <v>1</v>
      </c>
      <c r="S37" s="621">
        <f t="shared" si="4"/>
        <v>2024</v>
      </c>
      <c r="T37" s="623">
        <v>0</v>
      </c>
      <c r="U37" s="623">
        <v>5</v>
      </c>
      <c r="V37" s="624">
        <f t="shared" si="5"/>
        <v>0</v>
      </c>
      <c r="W37" s="625">
        <v>1</v>
      </c>
      <c r="X37" s="626">
        <f t="shared" si="2"/>
        <v>0</v>
      </c>
    </row>
    <row r="38" spans="2:24">
      <c r="B38" s="621">
        <f t="shared" si="3"/>
        <v>2025</v>
      </c>
      <c r="C38" s="613">
        <f>'[3]Fraksi pengelolaan sampah BaU'!C43</f>
        <v>47.514023964000003</v>
      </c>
      <c r="D38" s="614">
        <v>1</v>
      </c>
      <c r="E38" s="615">
        <f t="shared" si="7"/>
        <v>0.435</v>
      </c>
      <c r="F38" s="615">
        <f t="shared" si="7"/>
        <v>0.129</v>
      </c>
      <c r="G38" s="615">
        <f t="shared" si="6"/>
        <v>0</v>
      </c>
      <c r="H38" s="615">
        <f t="shared" si="7"/>
        <v>0</v>
      </c>
      <c r="I38" s="615">
        <f t="shared" si="6"/>
        <v>9.9000000000000005E-2</v>
      </c>
      <c r="J38" s="615">
        <f t="shared" si="7"/>
        <v>2.7E-2</v>
      </c>
      <c r="K38" s="615">
        <f t="shared" si="7"/>
        <v>8.9999999999999993E-3</v>
      </c>
      <c r="L38" s="615">
        <f t="shared" si="7"/>
        <v>7.1999999999999995E-2</v>
      </c>
      <c r="M38" s="615">
        <f t="shared" si="7"/>
        <v>3.3000000000000002E-2</v>
      </c>
      <c r="N38" s="615">
        <f t="shared" si="7"/>
        <v>0.04</v>
      </c>
      <c r="O38" s="615">
        <f t="shared" si="7"/>
        <v>0.156</v>
      </c>
      <c r="P38" s="622">
        <f t="shared" si="1"/>
        <v>1</v>
      </c>
      <c r="S38" s="621">
        <f t="shared" si="4"/>
        <v>2025</v>
      </c>
      <c r="T38" s="623">
        <v>0</v>
      </c>
      <c r="U38" s="623">
        <v>5</v>
      </c>
      <c r="V38" s="624">
        <f t="shared" si="5"/>
        <v>0</v>
      </c>
      <c r="W38" s="625">
        <v>1</v>
      </c>
      <c r="X38" s="626">
        <f t="shared" si="2"/>
        <v>0</v>
      </c>
    </row>
    <row r="39" spans="2:24">
      <c r="B39" s="621">
        <f t="shared" si="3"/>
        <v>2026</v>
      </c>
      <c r="C39" s="613">
        <f>'[3]Fraksi pengelolaan sampah BaU'!C44</f>
        <v>48.444786719999996</v>
      </c>
      <c r="D39" s="614">
        <v>1</v>
      </c>
      <c r="E39" s="615">
        <f t="shared" si="7"/>
        <v>0.435</v>
      </c>
      <c r="F39" s="615">
        <f t="shared" si="7"/>
        <v>0.129</v>
      </c>
      <c r="G39" s="615">
        <f t="shared" si="7"/>
        <v>0</v>
      </c>
      <c r="H39" s="615">
        <f t="shared" si="7"/>
        <v>0</v>
      </c>
      <c r="I39" s="615">
        <f t="shared" si="7"/>
        <v>9.9000000000000005E-2</v>
      </c>
      <c r="J39" s="615">
        <f t="shared" si="7"/>
        <v>2.7E-2</v>
      </c>
      <c r="K39" s="615">
        <f t="shared" si="7"/>
        <v>8.9999999999999993E-3</v>
      </c>
      <c r="L39" s="615">
        <f t="shared" si="7"/>
        <v>7.1999999999999995E-2</v>
      </c>
      <c r="M39" s="615">
        <f t="shared" si="7"/>
        <v>3.3000000000000002E-2</v>
      </c>
      <c r="N39" s="615">
        <f t="shared" si="7"/>
        <v>0.04</v>
      </c>
      <c r="O39" s="615">
        <f t="shared" si="7"/>
        <v>0.156</v>
      </c>
      <c r="P39" s="622">
        <f t="shared" si="1"/>
        <v>1</v>
      </c>
      <c r="S39" s="621">
        <f t="shared" si="4"/>
        <v>2026</v>
      </c>
      <c r="T39" s="623">
        <v>0</v>
      </c>
      <c r="U39" s="623">
        <v>5</v>
      </c>
      <c r="V39" s="624">
        <f t="shared" si="5"/>
        <v>0</v>
      </c>
      <c r="W39" s="625">
        <v>1</v>
      </c>
      <c r="X39" s="626">
        <f t="shared" si="2"/>
        <v>0</v>
      </c>
    </row>
    <row r="40" spans="2:24">
      <c r="B40" s="621">
        <f t="shared" si="3"/>
        <v>2027</v>
      </c>
      <c r="C40" s="613">
        <f>'[3]Fraksi pengelolaan sampah BaU'!C45</f>
        <v>49.375549476000003</v>
      </c>
      <c r="D40" s="614">
        <v>1</v>
      </c>
      <c r="E40" s="615">
        <f t="shared" si="7"/>
        <v>0.435</v>
      </c>
      <c r="F40" s="615">
        <f t="shared" si="7"/>
        <v>0.129</v>
      </c>
      <c r="G40" s="615">
        <f t="shared" si="7"/>
        <v>0</v>
      </c>
      <c r="H40" s="615">
        <f t="shared" si="7"/>
        <v>0</v>
      </c>
      <c r="I40" s="615">
        <f t="shared" si="7"/>
        <v>9.9000000000000005E-2</v>
      </c>
      <c r="J40" s="615">
        <f t="shared" si="7"/>
        <v>2.7E-2</v>
      </c>
      <c r="K40" s="615">
        <f t="shared" si="7"/>
        <v>8.9999999999999993E-3</v>
      </c>
      <c r="L40" s="615">
        <f t="shared" si="7"/>
        <v>7.1999999999999995E-2</v>
      </c>
      <c r="M40" s="615">
        <f t="shared" si="7"/>
        <v>3.3000000000000002E-2</v>
      </c>
      <c r="N40" s="615">
        <f t="shared" si="7"/>
        <v>0.04</v>
      </c>
      <c r="O40" s="615">
        <f t="shared" si="7"/>
        <v>0.156</v>
      </c>
      <c r="P40" s="622">
        <f t="shared" si="1"/>
        <v>1</v>
      </c>
      <c r="S40" s="621">
        <f t="shared" si="4"/>
        <v>2027</v>
      </c>
      <c r="T40" s="623">
        <v>0</v>
      </c>
      <c r="U40" s="623">
        <v>5</v>
      </c>
      <c r="V40" s="624">
        <f t="shared" si="5"/>
        <v>0</v>
      </c>
      <c r="W40" s="625">
        <v>1</v>
      </c>
      <c r="X40" s="626">
        <f t="shared" si="2"/>
        <v>0</v>
      </c>
    </row>
    <row r="41" spans="2:24">
      <c r="B41" s="621">
        <f t="shared" si="3"/>
        <v>2028</v>
      </c>
      <c r="C41" s="613">
        <f>'[3]Fraksi pengelolaan sampah BaU'!C46</f>
        <v>50.306312232000003</v>
      </c>
      <c r="D41" s="614">
        <v>1</v>
      </c>
      <c r="E41" s="615">
        <f t="shared" si="7"/>
        <v>0.435</v>
      </c>
      <c r="F41" s="615">
        <f t="shared" si="7"/>
        <v>0.129</v>
      </c>
      <c r="G41" s="615">
        <f t="shared" si="7"/>
        <v>0</v>
      </c>
      <c r="H41" s="615">
        <f t="shared" si="7"/>
        <v>0</v>
      </c>
      <c r="I41" s="615">
        <f t="shared" si="7"/>
        <v>9.9000000000000005E-2</v>
      </c>
      <c r="J41" s="615">
        <f t="shared" si="7"/>
        <v>2.7E-2</v>
      </c>
      <c r="K41" s="615">
        <f t="shared" si="7"/>
        <v>8.9999999999999993E-3</v>
      </c>
      <c r="L41" s="615">
        <f t="shared" si="7"/>
        <v>7.1999999999999995E-2</v>
      </c>
      <c r="M41" s="615">
        <f t="shared" si="7"/>
        <v>3.3000000000000002E-2</v>
      </c>
      <c r="N41" s="615">
        <f t="shared" si="7"/>
        <v>0.04</v>
      </c>
      <c r="O41" s="615">
        <f t="shared" si="7"/>
        <v>0.156</v>
      </c>
      <c r="P41" s="622">
        <f t="shared" si="1"/>
        <v>1</v>
      </c>
      <c r="S41" s="621">
        <f t="shared" si="4"/>
        <v>2028</v>
      </c>
      <c r="T41" s="623">
        <v>0</v>
      </c>
      <c r="U41" s="623">
        <v>5</v>
      </c>
      <c r="V41" s="624">
        <f t="shared" si="5"/>
        <v>0</v>
      </c>
      <c r="W41" s="625">
        <v>1</v>
      </c>
      <c r="X41" s="626">
        <f t="shared" si="2"/>
        <v>0</v>
      </c>
    </row>
    <row r="42" spans="2:24">
      <c r="B42" s="621">
        <f t="shared" si="3"/>
        <v>2029</v>
      </c>
      <c r="C42" s="613">
        <f>'[3]Fraksi pengelolaan sampah BaU'!C47</f>
        <v>51.237074987999996</v>
      </c>
      <c r="D42" s="614">
        <v>1</v>
      </c>
      <c r="E42" s="615">
        <f t="shared" si="7"/>
        <v>0.435</v>
      </c>
      <c r="F42" s="615">
        <f t="shared" si="7"/>
        <v>0.129</v>
      </c>
      <c r="G42" s="615">
        <f t="shared" si="7"/>
        <v>0</v>
      </c>
      <c r="H42" s="615">
        <f t="shared" si="7"/>
        <v>0</v>
      </c>
      <c r="I42" s="615">
        <f t="shared" si="7"/>
        <v>9.9000000000000005E-2</v>
      </c>
      <c r="J42" s="615">
        <f t="shared" si="7"/>
        <v>2.7E-2</v>
      </c>
      <c r="K42" s="615">
        <f t="shared" si="7"/>
        <v>8.9999999999999993E-3</v>
      </c>
      <c r="L42" s="615">
        <f t="shared" si="7"/>
        <v>7.1999999999999995E-2</v>
      </c>
      <c r="M42" s="615">
        <f t="shared" si="7"/>
        <v>3.3000000000000002E-2</v>
      </c>
      <c r="N42" s="615">
        <f t="shared" si="7"/>
        <v>0.04</v>
      </c>
      <c r="O42" s="615">
        <f t="shared" si="7"/>
        <v>0.156</v>
      </c>
      <c r="P42" s="622">
        <f t="shared" si="1"/>
        <v>1</v>
      </c>
      <c r="S42" s="621">
        <f t="shared" si="4"/>
        <v>2029</v>
      </c>
      <c r="T42" s="623">
        <v>0</v>
      </c>
      <c r="U42" s="623">
        <v>5</v>
      </c>
      <c r="V42" s="624">
        <f t="shared" si="5"/>
        <v>0</v>
      </c>
      <c r="W42" s="625">
        <v>1</v>
      </c>
      <c r="X42" s="626">
        <f t="shared" si="2"/>
        <v>0</v>
      </c>
    </row>
    <row r="43" spans="2:24">
      <c r="B43" s="621">
        <f t="shared" si="3"/>
        <v>2030</v>
      </c>
      <c r="C43" s="613">
        <f>'[3]Fraksi pengelolaan sampah BaU'!C48</f>
        <v>52.167837744000003</v>
      </c>
      <c r="D43" s="614">
        <v>1</v>
      </c>
      <c r="E43" s="615">
        <f t="shared" ref="E43:O58" si="8">E$8</f>
        <v>0.435</v>
      </c>
      <c r="F43" s="615">
        <f t="shared" si="8"/>
        <v>0.129</v>
      </c>
      <c r="G43" s="615">
        <f t="shared" si="7"/>
        <v>0</v>
      </c>
      <c r="H43" s="615">
        <f t="shared" si="8"/>
        <v>0</v>
      </c>
      <c r="I43" s="615">
        <f t="shared" si="7"/>
        <v>9.9000000000000005E-2</v>
      </c>
      <c r="J43" s="615">
        <f t="shared" si="8"/>
        <v>2.7E-2</v>
      </c>
      <c r="K43" s="615">
        <f t="shared" si="8"/>
        <v>8.9999999999999993E-3</v>
      </c>
      <c r="L43" s="615">
        <f t="shared" si="8"/>
        <v>7.1999999999999995E-2</v>
      </c>
      <c r="M43" s="615">
        <f t="shared" si="8"/>
        <v>3.3000000000000002E-2</v>
      </c>
      <c r="N43" s="615">
        <f t="shared" si="8"/>
        <v>0.04</v>
      </c>
      <c r="O43" s="615">
        <f t="shared" si="8"/>
        <v>0.156</v>
      </c>
      <c r="P43" s="622">
        <f t="shared" si="1"/>
        <v>1</v>
      </c>
      <c r="S43" s="621">
        <f t="shared" si="4"/>
        <v>2030</v>
      </c>
      <c r="T43" s="623">
        <v>0</v>
      </c>
      <c r="U43" s="623">
        <v>5</v>
      </c>
      <c r="V43" s="624">
        <f t="shared" si="5"/>
        <v>0</v>
      </c>
      <c r="W43" s="625">
        <v>1</v>
      </c>
      <c r="X43" s="626">
        <f t="shared" si="2"/>
        <v>0</v>
      </c>
    </row>
    <row r="44" spans="2:24">
      <c r="B44" s="621">
        <f t="shared" si="3"/>
        <v>2031</v>
      </c>
      <c r="C44" s="627"/>
      <c r="D44" s="614">
        <v>1</v>
      </c>
      <c r="E44" s="615">
        <f t="shared" si="8"/>
        <v>0.435</v>
      </c>
      <c r="F44" s="615">
        <f t="shared" si="8"/>
        <v>0.129</v>
      </c>
      <c r="G44" s="615">
        <f t="shared" si="7"/>
        <v>0</v>
      </c>
      <c r="H44" s="615">
        <f t="shared" si="8"/>
        <v>0</v>
      </c>
      <c r="I44" s="615">
        <f t="shared" si="7"/>
        <v>9.9000000000000005E-2</v>
      </c>
      <c r="J44" s="615">
        <f t="shared" si="8"/>
        <v>2.7E-2</v>
      </c>
      <c r="K44" s="615">
        <f t="shared" si="8"/>
        <v>8.9999999999999993E-3</v>
      </c>
      <c r="L44" s="615">
        <f t="shared" si="8"/>
        <v>7.1999999999999995E-2</v>
      </c>
      <c r="M44" s="615">
        <f t="shared" si="8"/>
        <v>3.3000000000000002E-2</v>
      </c>
      <c r="N44" s="615">
        <f t="shared" si="8"/>
        <v>0.04</v>
      </c>
      <c r="O44" s="615">
        <f t="shared" si="8"/>
        <v>0.156</v>
      </c>
      <c r="P44" s="622">
        <f t="shared" si="1"/>
        <v>1</v>
      </c>
      <c r="S44" s="621">
        <f t="shared" si="4"/>
        <v>2031</v>
      </c>
      <c r="T44" s="623">
        <v>0</v>
      </c>
      <c r="U44" s="623">
        <v>5</v>
      </c>
      <c r="V44" s="624">
        <f t="shared" si="5"/>
        <v>0</v>
      </c>
      <c r="W44" s="625">
        <v>1</v>
      </c>
      <c r="X44" s="626">
        <f t="shared" si="2"/>
        <v>0</v>
      </c>
    </row>
    <row r="45" spans="2:24">
      <c r="B45" s="621">
        <f t="shared" si="3"/>
        <v>2032</v>
      </c>
      <c r="C45" s="627"/>
      <c r="D45" s="614">
        <v>1</v>
      </c>
      <c r="E45" s="615">
        <f t="shared" si="8"/>
        <v>0.435</v>
      </c>
      <c r="F45" s="615">
        <f t="shared" si="8"/>
        <v>0.129</v>
      </c>
      <c r="G45" s="615">
        <f t="shared" si="7"/>
        <v>0</v>
      </c>
      <c r="H45" s="615">
        <f t="shared" si="8"/>
        <v>0</v>
      </c>
      <c r="I45" s="615">
        <f t="shared" si="7"/>
        <v>9.9000000000000005E-2</v>
      </c>
      <c r="J45" s="615">
        <f t="shared" si="8"/>
        <v>2.7E-2</v>
      </c>
      <c r="K45" s="615">
        <f t="shared" si="8"/>
        <v>8.9999999999999993E-3</v>
      </c>
      <c r="L45" s="615">
        <f t="shared" si="8"/>
        <v>7.1999999999999995E-2</v>
      </c>
      <c r="M45" s="615">
        <f t="shared" si="8"/>
        <v>3.3000000000000002E-2</v>
      </c>
      <c r="N45" s="615">
        <f t="shared" si="8"/>
        <v>0.04</v>
      </c>
      <c r="O45" s="615">
        <f t="shared" si="8"/>
        <v>0.156</v>
      </c>
      <c r="P45" s="622">
        <f t="shared" ref="P45:P76" si="9">SUM(E45:O45)</f>
        <v>1</v>
      </c>
      <c r="S45" s="621">
        <f t="shared" si="4"/>
        <v>2032</v>
      </c>
      <c r="T45" s="623">
        <v>0</v>
      </c>
      <c r="U45" s="623">
        <v>5</v>
      </c>
      <c r="V45" s="624">
        <f t="shared" si="5"/>
        <v>0</v>
      </c>
      <c r="W45" s="625">
        <v>1</v>
      </c>
      <c r="X45" s="626">
        <f t="shared" ref="X45:X76" si="10">V45*W45</f>
        <v>0</v>
      </c>
    </row>
    <row r="46" spans="2:24">
      <c r="B46" s="621">
        <f t="shared" ref="B46:B77" si="11">B45+1</f>
        <v>2033</v>
      </c>
      <c r="C46" s="627"/>
      <c r="D46" s="614">
        <v>1</v>
      </c>
      <c r="E46" s="615">
        <f t="shared" si="8"/>
        <v>0.435</v>
      </c>
      <c r="F46" s="615">
        <f t="shared" si="8"/>
        <v>0.129</v>
      </c>
      <c r="G46" s="615">
        <f t="shared" si="7"/>
        <v>0</v>
      </c>
      <c r="H46" s="615">
        <f t="shared" si="8"/>
        <v>0</v>
      </c>
      <c r="I46" s="615">
        <f t="shared" si="7"/>
        <v>9.9000000000000005E-2</v>
      </c>
      <c r="J46" s="615">
        <f t="shared" si="8"/>
        <v>2.7E-2</v>
      </c>
      <c r="K46" s="615">
        <f t="shared" si="8"/>
        <v>8.9999999999999993E-3</v>
      </c>
      <c r="L46" s="615">
        <f t="shared" si="8"/>
        <v>7.1999999999999995E-2</v>
      </c>
      <c r="M46" s="615">
        <f t="shared" si="8"/>
        <v>3.3000000000000002E-2</v>
      </c>
      <c r="N46" s="615">
        <f t="shared" si="8"/>
        <v>0.04</v>
      </c>
      <c r="O46" s="615">
        <f t="shared" si="8"/>
        <v>0.156</v>
      </c>
      <c r="P46" s="622">
        <f t="shared" si="9"/>
        <v>1</v>
      </c>
      <c r="S46" s="621">
        <f t="shared" si="4"/>
        <v>2033</v>
      </c>
      <c r="T46" s="623">
        <v>0</v>
      </c>
      <c r="U46" s="623">
        <v>5</v>
      </c>
      <c r="V46" s="624">
        <f t="shared" si="5"/>
        <v>0</v>
      </c>
      <c r="W46" s="625">
        <v>1</v>
      </c>
      <c r="X46" s="626">
        <f t="shared" si="10"/>
        <v>0</v>
      </c>
    </row>
    <row r="47" spans="2:24">
      <c r="B47" s="621">
        <f t="shared" si="11"/>
        <v>2034</v>
      </c>
      <c r="C47" s="627"/>
      <c r="D47" s="614">
        <v>1</v>
      </c>
      <c r="E47" s="615">
        <f t="shared" si="8"/>
        <v>0.435</v>
      </c>
      <c r="F47" s="615">
        <f t="shared" si="8"/>
        <v>0.129</v>
      </c>
      <c r="G47" s="615">
        <f t="shared" si="7"/>
        <v>0</v>
      </c>
      <c r="H47" s="615">
        <f t="shared" si="8"/>
        <v>0</v>
      </c>
      <c r="I47" s="615">
        <f t="shared" si="7"/>
        <v>9.9000000000000005E-2</v>
      </c>
      <c r="J47" s="615">
        <f t="shared" si="8"/>
        <v>2.7E-2</v>
      </c>
      <c r="K47" s="615">
        <f t="shared" si="8"/>
        <v>8.9999999999999993E-3</v>
      </c>
      <c r="L47" s="615">
        <f t="shared" si="8"/>
        <v>7.1999999999999995E-2</v>
      </c>
      <c r="M47" s="615">
        <f t="shared" si="8"/>
        <v>3.3000000000000002E-2</v>
      </c>
      <c r="N47" s="615">
        <f t="shared" si="8"/>
        <v>0.04</v>
      </c>
      <c r="O47" s="615">
        <f t="shared" si="8"/>
        <v>0.156</v>
      </c>
      <c r="P47" s="622">
        <f t="shared" si="9"/>
        <v>1</v>
      </c>
      <c r="S47" s="621">
        <f t="shared" si="4"/>
        <v>2034</v>
      </c>
      <c r="T47" s="623">
        <v>0</v>
      </c>
      <c r="U47" s="623">
        <v>5</v>
      </c>
      <c r="V47" s="624">
        <f t="shared" si="5"/>
        <v>0</v>
      </c>
      <c r="W47" s="625">
        <v>1</v>
      </c>
      <c r="X47" s="626">
        <f t="shared" si="10"/>
        <v>0</v>
      </c>
    </row>
    <row r="48" spans="2:24">
      <c r="B48" s="621">
        <f t="shared" si="11"/>
        <v>2035</v>
      </c>
      <c r="C48" s="627"/>
      <c r="D48" s="614">
        <v>1</v>
      </c>
      <c r="E48" s="615">
        <f t="shared" si="8"/>
        <v>0.435</v>
      </c>
      <c r="F48" s="615">
        <f t="shared" si="8"/>
        <v>0.129</v>
      </c>
      <c r="G48" s="615">
        <f t="shared" si="7"/>
        <v>0</v>
      </c>
      <c r="H48" s="615">
        <f t="shared" si="8"/>
        <v>0</v>
      </c>
      <c r="I48" s="615">
        <f t="shared" si="7"/>
        <v>9.9000000000000005E-2</v>
      </c>
      <c r="J48" s="615">
        <f t="shared" si="8"/>
        <v>2.7E-2</v>
      </c>
      <c r="K48" s="615">
        <f t="shared" si="8"/>
        <v>8.9999999999999993E-3</v>
      </c>
      <c r="L48" s="615">
        <f t="shared" si="8"/>
        <v>7.1999999999999995E-2</v>
      </c>
      <c r="M48" s="615">
        <f t="shared" si="8"/>
        <v>3.3000000000000002E-2</v>
      </c>
      <c r="N48" s="615">
        <f t="shared" si="8"/>
        <v>0.04</v>
      </c>
      <c r="O48" s="615">
        <f t="shared" si="8"/>
        <v>0.156</v>
      </c>
      <c r="P48" s="622">
        <f t="shared" si="9"/>
        <v>1</v>
      </c>
      <c r="S48" s="621">
        <f t="shared" si="4"/>
        <v>2035</v>
      </c>
      <c r="T48" s="623">
        <v>0</v>
      </c>
      <c r="U48" s="623">
        <v>5</v>
      </c>
      <c r="V48" s="624">
        <f t="shared" si="5"/>
        <v>0</v>
      </c>
      <c r="W48" s="625">
        <v>1</v>
      </c>
      <c r="X48" s="626">
        <f t="shared" si="10"/>
        <v>0</v>
      </c>
    </row>
    <row r="49" spans="2:24">
      <c r="B49" s="621">
        <f t="shared" si="11"/>
        <v>2036</v>
      </c>
      <c r="C49" s="627"/>
      <c r="D49" s="614">
        <v>1</v>
      </c>
      <c r="E49" s="615">
        <f t="shared" si="8"/>
        <v>0.435</v>
      </c>
      <c r="F49" s="615">
        <f t="shared" si="8"/>
        <v>0.129</v>
      </c>
      <c r="G49" s="615">
        <f t="shared" si="8"/>
        <v>0</v>
      </c>
      <c r="H49" s="615">
        <f t="shared" si="8"/>
        <v>0</v>
      </c>
      <c r="I49" s="615">
        <f t="shared" si="8"/>
        <v>9.9000000000000005E-2</v>
      </c>
      <c r="J49" s="615">
        <f t="shared" si="8"/>
        <v>2.7E-2</v>
      </c>
      <c r="K49" s="615">
        <f t="shared" si="8"/>
        <v>8.9999999999999993E-3</v>
      </c>
      <c r="L49" s="615">
        <f t="shared" si="8"/>
        <v>7.1999999999999995E-2</v>
      </c>
      <c r="M49" s="615">
        <f t="shared" si="8"/>
        <v>3.3000000000000002E-2</v>
      </c>
      <c r="N49" s="615">
        <f t="shared" si="8"/>
        <v>0.04</v>
      </c>
      <c r="O49" s="615">
        <f t="shared" si="8"/>
        <v>0.156</v>
      </c>
      <c r="P49" s="622">
        <f t="shared" si="9"/>
        <v>1</v>
      </c>
      <c r="S49" s="621">
        <f t="shared" si="4"/>
        <v>2036</v>
      </c>
      <c r="T49" s="623">
        <v>0</v>
      </c>
      <c r="U49" s="623">
        <v>5</v>
      </c>
      <c r="V49" s="624">
        <f t="shared" si="5"/>
        <v>0</v>
      </c>
      <c r="W49" s="625">
        <v>1</v>
      </c>
      <c r="X49" s="626">
        <f t="shared" si="10"/>
        <v>0</v>
      </c>
    </row>
    <row r="50" spans="2:24">
      <c r="B50" s="621">
        <f t="shared" si="11"/>
        <v>2037</v>
      </c>
      <c r="C50" s="627"/>
      <c r="D50" s="614">
        <v>1</v>
      </c>
      <c r="E50" s="615">
        <f t="shared" si="8"/>
        <v>0.435</v>
      </c>
      <c r="F50" s="615">
        <f t="shared" si="8"/>
        <v>0.129</v>
      </c>
      <c r="G50" s="615">
        <f t="shared" si="8"/>
        <v>0</v>
      </c>
      <c r="H50" s="615">
        <f t="shared" si="8"/>
        <v>0</v>
      </c>
      <c r="I50" s="615">
        <f t="shared" si="8"/>
        <v>9.9000000000000005E-2</v>
      </c>
      <c r="J50" s="615">
        <f t="shared" si="8"/>
        <v>2.7E-2</v>
      </c>
      <c r="K50" s="615">
        <f t="shared" si="8"/>
        <v>8.9999999999999993E-3</v>
      </c>
      <c r="L50" s="615">
        <f t="shared" si="8"/>
        <v>7.1999999999999995E-2</v>
      </c>
      <c r="M50" s="615">
        <f t="shared" si="8"/>
        <v>3.3000000000000002E-2</v>
      </c>
      <c r="N50" s="615">
        <f t="shared" si="8"/>
        <v>0.04</v>
      </c>
      <c r="O50" s="615">
        <f t="shared" si="8"/>
        <v>0.156</v>
      </c>
      <c r="P50" s="622">
        <f t="shared" si="9"/>
        <v>1</v>
      </c>
      <c r="S50" s="621">
        <f t="shared" si="4"/>
        <v>2037</v>
      </c>
      <c r="T50" s="623">
        <v>0</v>
      </c>
      <c r="U50" s="623">
        <v>5</v>
      </c>
      <c r="V50" s="624">
        <f t="shared" si="5"/>
        <v>0</v>
      </c>
      <c r="W50" s="625">
        <v>1</v>
      </c>
      <c r="X50" s="626">
        <f t="shared" si="10"/>
        <v>0</v>
      </c>
    </row>
    <row r="51" spans="2:24">
      <c r="B51" s="621">
        <f t="shared" si="11"/>
        <v>2038</v>
      </c>
      <c r="C51" s="627"/>
      <c r="D51" s="614">
        <v>1</v>
      </c>
      <c r="E51" s="615">
        <f t="shared" si="8"/>
        <v>0.435</v>
      </c>
      <c r="F51" s="615">
        <f t="shared" si="8"/>
        <v>0.129</v>
      </c>
      <c r="G51" s="615">
        <f t="shared" si="8"/>
        <v>0</v>
      </c>
      <c r="H51" s="615">
        <f t="shared" si="8"/>
        <v>0</v>
      </c>
      <c r="I51" s="615">
        <f t="shared" si="8"/>
        <v>9.9000000000000005E-2</v>
      </c>
      <c r="J51" s="615">
        <f t="shared" si="8"/>
        <v>2.7E-2</v>
      </c>
      <c r="K51" s="615">
        <f t="shared" si="8"/>
        <v>8.9999999999999993E-3</v>
      </c>
      <c r="L51" s="615">
        <f t="shared" si="8"/>
        <v>7.1999999999999995E-2</v>
      </c>
      <c r="M51" s="615">
        <f t="shared" si="8"/>
        <v>3.3000000000000002E-2</v>
      </c>
      <c r="N51" s="615">
        <f t="shared" si="8"/>
        <v>0.04</v>
      </c>
      <c r="O51" s="615">
        <f t="shared" si="8"/>
        <v>0.156</v>
      </c>
      <c r="P51" s="622">
        <f t="shared" si="9"/>
        <v>1</v>
      </c>
      <c r="S51" s="621">
        <f t="shared" si="4"/>
        <v>2038</v>
      </c>
      <c r="T51" s="623">
        <v>0</v>
      </c>
      <c r="U51" s="623">
        <v>5</v>
      </c>
      <c r="V51" s="624">
        <f t="shared" si="5"/>
        <v>0</v>
      </c>
      <c r="W51" s="625">
        <v>1</v>
      </c>
      <c r="X51" s="626">
        <f t="shared" si="10"/>
        <v>0</v>
      </c>
    </row>
    <row r="52" spans="2:24">
      <c r="B52" s="621">
        <f t="shared" si="11"/>
        <v>2039</v>
      </c>
      <c r="C52" s="627"/>
      <c r="D52" s="614">
        <v>1</v>
      </c>
      <c r="E52" s="615">
        <f t="shared" si="8"/>
        <v>0.435</v>
      </c>
      <c r="F52" s="615">
        <f t="shared" si="8"/>
        <v>0.129</v>
      </c>
      <c r="G52" s="615">
        <f t="shared" si="8"/>
        <v>0</v>
      </c>
      <c r="H52" s="615">
        <f t="shared" si="8"/>
        <v>0</v>
      </c>
      <c r="I52" s="615">
        <f t="shared" si="8"/>
        <v>9.9000000000000005E-2</v>
      </c>
      <c r="J52" s="615">
        <f t="shared" si="8"/>
        <v>2.7E-2</v>
      </c>
      <c r="K52" s="615">
        <f t="shared" si="8"/>
        <v>8.9999999999999993E-3</v>
      </c>
      <c r="L52" s="615">
        <f t="shared" si="8"/>
        <v>7.1999999999999995E-2</v>
      </c>
      <c r="M52" s="615">
        <f t="shared" si="8"/>
        <v>3.3000000000000002E-2</v>
      </c>
      <c r="N52" s="615">
        <f t="shared" si="8"/>
        <v>0.04</v>
      </c>
      <c r="O52" s="615">
        <f t="shared" si="8"/>
        <v>0.156</v>
      </c>
      <c r="P52" s="622">
        <f t="shared" si="9"/>
        <v>1</v>
      </c>
      <c r="S52" s="621">
        <f t="shared" si="4"/>
        <v>2039</v>
      </c>
      <c r="T52" s="623">
        <v>0</v>
      </c>
      <c r="U52" s="623">
        <v>5</v>
      </c>
      <c r="V52" s="624">
        <f t="shared" si="5"/>
        <v>0</v>
      </c>
      <c r="W52" s="625">
        <v>1</v>
      </c>
      <c r="X52" s="626">
        <f t="shared" si="10"/>
        <v>0</v>
      </c>
    </row>
    <row r="53" spans="2:24">
      <c r="B53" s="621">
        <f t="shared" si="11"/>
        <v>2040</v>
      </c>
      <c r="C53" s="627"/>
      <c r="D53" s="614">
        <v>1</v>
      </c>
      <c r="E53" s="615">
        <f t="shared" ref="E53:O68" si="12">E$8</f>
        <v>0.435</v>
      </c>
      <c r="F53" s="615">
        <f t="shared" si="12"/>
        <v>0.129</v>
      </c>
      <c r="G53" s="615">
        <f t="shared" si="8"/>
        <v>0</v>
      </c>
      <c r="H53" s="615">
        <f t="shared" si="12"/>
        <v>0</v>
      </c>
      <c r="I53" s="615">
        <f t="shared" si="8"/>
        <v>9.9000000000000005E-2</v>
      </c>
      <c r="J53" s="615">
        <f t="shared" si="12"/>
        <v>2.7E-2</v>
      </c>
      <c r="K53" s="615">
        <f t="shared" si="12"/>
        <v>8.9999999999999993E-3</v>
      </c>
      <c r="L53" s="615">
        <f t="shared" si="12"/>
        <v>7.1999999999999995E-2</v>
      </c>
      <c r="M53" s="615">
        <f t="shared" si="12"/>
        <v>3.3000000000000002E-2</v>
      </c>
      <c r="N53" s="615">
        <f t="shared" si="12"/>
        <v>0.04</v>
      </c>
      <c r="O53" s="615">
        <f t="shared" si="12"/>
        <v>0.156</v>
      </c>
      <c r="P53" s="622">
        <f t="shared" si="9"/>
        <v>1</v>
      </c>
      <c r="S53" s="621">
        <f t="shared" si="4"/>
        <v>2040</v>
      </c>
      <c r="T53" s="623">
        <v>0</v>
      </c>
      <c r="U53" s="623">
        <v>5</v>
      </c>
      <c r="V53" s="624">
        <f t="shared" si="5"/>
        <v>0</v>
      </c>
      <c r="W53" s="625">
        <v>1</v>
      </c>
      <c r="X53" s="626">
        <f t="shared" si="10"/>
        <v>0</v>
      </c>
    </row>
    <row r="54" spans="2:24">
      <c r="B54" s="621">
        <f t="shared" si="11"/>
        <v>2041</v>
      </c>
      <c r="C54" s="627"/>
      <c r="D54" s="614">
        <v>1</v>
      </c>
      <c r="E54" s="615">
        <f t="shared" si="12"/>
        <v>0.435</v>
      </c>
      <c r="F54" s="615">
        <f t="shared" si="12"/>
        <v>0.129</v>
      </c>
      <c r="G54" s="615">
        <f t="shared" si="8"/>
        <v>0</v>
      </c>
      <c r="H54" s="615">
        <f t="shared" si="12"/>
        <v>0</v>
      </c>
      <c r="I54" s="615">
        <f t="shared" si="8"/>
        <v>9.9000000000000005E-2</v>
      </c>
      <c r="J54" s="615">
        <f t="shared" si="12"/>
        <v>2.7E-2</v>
      </c>
      <c r="K54" s="615">
        <f t="shared" si="12"/>
        <v>8.9999999999999993E-3</v>
      </c>
      <c r="L54" s="615">
        <f t="shared" si="12"/>
        <v>7.1999999999999995E-2</v>
      </c>
      <c r="M54" s="615">
        <f t="shared" si="12"/>
        <v>3.3000000000000002E-2</v>
      </c>
      <c r="N54" s="615">
        <f t="shared" si="12"/>
        <v>0.04</v>
      </c>
      <c r="O54" s="615">
        <f t="shared" si="12"/>
        <v>0.156</v>
      </c>
      <c r="P54" s="622">
        <f t="shared" si="9"/>
        <v>1</v>
      </c>
      <c r="S54" s="621">
        <f t="shared" si="4"/>
        <v>2041</v>
      </c>
      <c r="T54" s="623">
        <v>0</v>
      </c>
      <c r="U54" s="623">
        <v>5</v>
      </c>
      <c r="V54" s="624">
        <f t="shared" si="5"/>
        <v>0</v>
      </c>
      <c r="W54" s="625">
        <v>1</v>
      </c>
      <c r="X54" s="626">
        <f t="shared" si="10"/>
        <v>0</v>
      </c>
    </row>
    <row r="55" spans="2:24">
      <c r="B55" s="621">
        <f t="shared" si="11"/>
        <v>2042</v>
      </c>
      <c r="C55" s="627"/>
      <c r="D55" s="614">
        <v>1</v>
      </c>
      <c r="E55" s="615">
        <f t="shared" si="12"/>
        <v>0.435</v>
      </c>
      <c r="F55" s="615">
        <f t="shared" si="12"/>
        <v>0.129</v>
      </c>
      <c r="G55" s="615">
        <f t="shared" si="8"/>
        <v>0</v>
      </c>
      <c r="H55" s="615">
        <f t="shared" si="12"/>
        <v>0</v>
      </c>
      <c r="I55" s="615">
        <f t="shared" si="8"/>
        <v>9.9000000000000005E-2</v>
      </c>
      <c r="J55" s="615">
        <f t="shared" si="12"/>
        <v>2.7E-2</v>
      </c>
      <c r="K55" s="615">
        <f t="shared" si="12"/>
        <v>8.9999999999999993E-3</v>
      </c>
      <c r="L55" s="615">
        <f t="shared" si="12"/>
        <v>7.1999999999999995E-2</v>
      </c>
      <c r="M55" s="615">
        <f t="shared" si="12"/>
        <v>3.3000000000000002E-2</v>
      </c>
      <c r="N55" s="615">
        <f t="shared" si="12"/>
        <v>0.04</v>
      </c>
      <c r="O55" s="615">
        <f t="shared" si="12"/>
        <v>0.156</v>
      </c>
      <c r="P55" s="622">
        <f t="shared" si="9"/>
        <v>1</v>
      </c>
      <c r="S55" s="621">
        <f t="shared" si="4"/>
        <v>2042</v>
      </c>
      <c r="T55" s="623">
        <v>0</v>
      </c>
      <c r="U55" s="623">
        <v>5</v>
      </c>
      <c r="V55" s="624">
        <f t="shared" si="5"/>
        <v>0</v>
      </c>
      <c r="W55" s="625">
        <v>1</v>
      </c>
      <c r="X55" s="626">
        <f t="shared" si="10"/>
        <v>0</v>
      </c>
    </row>
    <row r="56" spans="2:24">
      <c r="B56" s="621">
        <f t="shared" si="11"/>
        <v>2043</v>
      </c>
      <c r="C56" s="627"/>
      <c r="D56" s="614">
        <v>1</v>
      </c>
      <c r="E56" s="615">
        <f t="shared" si="12"/>
        <v>0.435</v>
      </c>
      <c r="F56" s="615">
        <f t="shared" si="12"/>
        <v>0.129</v>
      </c>
      <c r="G56" s="615">
        <f t="shared" si="8"/>
        <v>0</v>
      </c>
      <c r="H56" s="615">
        <f t="shared" si="12"/>
        <v>0</v>
      </c>
      <c r="I56" s="615">
        <f t="shared" si="8"/>
        <v>9.9000000000000005E-2</v>
      </c>
      <c r="J56" s="615">
        <f t="shared" si="12"/>
        <v>2.7E-2</v>
      </c>
      <c r="K56" s="615">
        <f t="shared" si="12"/>
        <v>8.9999999999999993E-3</v>
      </c>
      <c r="L56" s="615">
        <f t="shared" si="12"/>
        <v>7.1999999999999995E-2</v>
      </c>
      <c r="M56" s="615">
        <f t="shared" si="12"/>
        <v>3.3000000000000002E-2</v>
      </c>
      <c r="N56" s="615">
        <f t="shared" si="12"/>
        <v>0.04</v>
      </c>
      <c r="O56" s="615">
        <f t="shared" si="12"/>
        <v>0.156</v>
      </c>
      <c r="P56" s="622">
        <f t="shared" si="9"/>
        <v>1</v>
      </c>
      <c r="S56" s="621">
        <f t="shared" si="4"/>
        <v>2043</v>
      </c>
      <c r="T56" s="623">
        <v>0</v>
      </c>
      <c r="U56" s="623">
        <v>5</v>
      </c>
      <c r="V56" s="624">
        <f t="shared" si="5"/>
        <v>0</v>
      </c>
      <c r="W56" s="625">
        <v>1</v>
      </c>
      <c r="X56" s="626">
        <f t="shared" si="10"/>
        <v>0</v>
      </c>
    </row>
    <row r="57" spans="2:24">
      <c r="B57" s="621">
        <f t="shared" si="11"/>
        <v>2044</v>
      </c>
      <c r="C57" s="627"/>
      <c r="D57" s="614">
        <v>1</v>
      </c>
      <c r="E57" s="615">
        <f t="shared" si="12"/>
        <v>0.435</v>
      </c>
      <c r="F57" s="615">
        <f t="shared" si="12"/>
        <v>0.129</v>
      </c>
      <c r="G57" s="615">
        <f t="shared" si="8"/>
        <v>0</v>
      </c>
      <c r="H57" s="615">
        <f t="shared" si="12"/>
        <v>0</v>
      </c>
      <c r="I57" s="615">
        <f t="shared" si="8"/>
        <v>9.9000000000000005E-2</v>
      </c>
      <c r="J57" s="615">
        <f t="shared" si="12"/>
        <v>2.7E-2</v>
      </c>
      <c r="K57" s="615">
        <f t="shared" si="12"/>
        <v>8.9999999999999993E-3</v>
      </c>
      <c r="L57" s="615">
        <f t="shared" si="12"/>
        <v>7.1999999999999995E-2</v>
      </c>
      <c r="M57" s="615">
        <f t="shared" si="12"/>
        <v>3.3000000000000002E-2</v>
      </c>
      <c r="N57" s="615">
        <f t="shared" si="12"/>
        <v>0.04</v>
      </c>
      <c r="O57" s="615">
        <f t="shared" si="12"/>
        <v>0.156</v>
      </c>
      <c r="P57" s="622">
        <f t="shared" si="9"/>
        <v>1</v>
      </c>
      <c r="S57" s="621">
        <f t="shared" si="4"/>
        <v>2044</v>
      </c>
      <c r="T57" s="623">
        <v>0</v>
      </c>
      <c r="U57" s="623">
        <v>5</v>
      </c>
      <c r="V57" s="624">
        <f t="shared" si="5"/>
        <v>0</v>
      </c>
      <c r="W57" s="625">
        <v>1</v>
      </c>
      <c r="X57" s="626">
        <f t="shared" si="10"/>
        <v>0</v>
      </c>
    </row>
    <row r="58" spans="2:24">
      <c r="B58" s="621">
        <f t="shared" si="11"/>
        <v>2045</v>
      </c>
      <c r="C58" s="627"/>
      <c r="D58" s="614">
        <v>1</v>
      </c>
      <c r="E58" s="615">
        <f t="shared" si="12"/>
        <v>0.435</v>
      </c>
      <c r="F58" s="615">
        <f t="shared" si="12"/>
        <v>0.129</v>
      </c>
      <c r="G58" s="615">
        <f t="shared" si="8"/>
        <v>0</v>
      </c>
      <c r="H58" s="615">
        <f t="shared" si="12"/>
        <v>0</v>
      </c>
      <c r="I58" s="615">
        <f t="shared" si="8"/>
        <v>9.9000000000000005E-2</v>
      </c>
      <c r="J58" s="615">
        <f t="shared" si="12"/>
        <v>2.7E-2</v>
      </c>
      <c r="K58" s="615">
        <f t="shared" si="12"/>
        <v>8.9999999999999993E-3</v>
      </c>
      <c r="L58" s="615">
        <f t="shared" si="12"/>
        <v>7.1999999999999995E-2</v>
      </c>
      <c r="M58" s="615">
        <f t="shared" si="12"/>
        <v>3.3000000000000002E-2</v>
      </c>
      <c r="N58" s="615">
        <f t="shared" si="12"/>
        <v>0.04</v>
      </c>
      <c r="O58" s="615">
        <f t="shared" si="12"/>
        <v>0.156</v>
      </c>
      <c r="P58" s="622">
        <f t="shared" si="9"/>
        <v>1</v>
      </c>
      <c r="S58" s="621">
        <f t="shared" si="4"/>
        <v>2045</v>
      </c>
      <c r="T58" s="623">
        <v>0</v>
      </c>
      <c r="U58" s="623">
        <v>5</v>
      </c>
      <c r="V58" s="624">
        <f t="shared" si="5"/>
        <v>0</v>
      </c>
      <c r="W58" s="625">
        <v>1</v>
      </c>
      <c r="X58" s="626">
        <f t="shared" si="10"/>
        <v>0</v>
      </c>
    </row>
    <row r="59" spans="2:24">
      <c r="B59" s="621">
        <f t="shared" si="11"/>
        <v>2046</v>
      </c>
      <c r="C59" s="627"/>
      <c r="D59" s="614">
        <v>1</v>
      </c>
      <c r="E59" s="615">
        <f t="shared" si="12"/>
        <v>0.435</v>
      </c>
      <c r="F59" s="615">
        <f t="shared" si="12"/>
        <v>0.129</v>
      </c>
      <c r="G59" s="615">
        <f t="shared" si="12"/>
        <v>0</v>
      </c>
      <c r="H59" s="615">
        <f t="shared" si="12"/>
        <v>0</v>
      </c>
      <c r="I59" s="615">
        <f t="shared" si="12"/>
        <v>9.9000000000000005E-2</v>
      </c>
      <c r="J59" s="615">
        <f t="shared" si="12"/>
        <v>2.7E-2</v>
      </c>
      <c r="K59" s="615">
        <f t="shared" si="12"/>
        <v>8.9999999999999993E-3</v>
      </c>
      <c r="L59" s="615">
        <f t="shared" si="12"/>
        <v>7.1999999999999995E-2</v>
      </c>
      <c r="M59" s="615">
        <f t="shared" si="12"/>
        <v>3.3000000000000002E-2</v>
      </c>
      <c r="N59" s="615">
        <f t="shared" si="12"/>
        <v>0.04</v>
      </c>
      <c r="O59" s="615">
        <f t="shared" si="12"/>
        <v>0.156</v>
      </c>
      <c r="P59" s="622">
        <f t="shared" si="9"/>
        <v>1</v>
      </c>
      <c r="S59" s="621">
        <f t="shared" si="4"/>
        <v>2046</v>
      </c>
      <c r="T59" s="623">
        <v>0</v>
      </c>
      <c r="U59" s="623">
        <v>5</v>
      </c>
      <c r="V59" s="624">
        <f t="shared" si="5"/>
        <v>0</v>
      </c>
      <c r="W59" s="625">
        <v>1</v>
      </c>
      <c r="X59" s="626">
        <f t="shared" si="10"/>
        <v>0</v>
      </c>
    </row>
    <row r="60" spans="2:24">
      <c r="B60" s="621">
        <f t="shared" si="11"/>
        <v>2047</v>
      </c>
      <c r="C60" s="627"/>
      <c r="D60" s="614">
        <v>1</v>
      </c>
      <c r="E60" s="615">
        <f t="shared" si="12"/>
        <v>0.435</v>
      </c>
      <c r="F60" s="615">
        <f t="shared" si="12"/>
        <v>0.129</v>
      </c>
      <c r="G60" s="615">
        <f t="shared" si="12"/>
        <v>0</v>
      </c>
      <c r="H60" s="615">
        <f t="shared" si="12"/>
        <v>0</v>
      </c>
      <c r="I60" s="615">
        <f t="shared" si="12"/>
        <v>9.9000000000000005E-2</v>
      </c>
      <c r="J60" s="615">
        <f t="shared" si="12"/>
        <v>2.7E-2</v>
      </c>
      <c r="K60" s="615">
        <f t="shared" si="12"/>
        <v>8.9999999999999993E-3</v>
      </c>
      <c r="L60" s="615">
        <f t="shared" si="12"/>
        <v>7.1999999999999995E-2</v>
      </c>
      <c r="M60" s="615">
        <f t="shared" si="12"/>
        <v>3.3000000000000002E-2</v>
      </c>
      <c r="N60" s="615">
        <f t="shared" si="12"/>
        <v>0.04</v>
      </c>
      <c r="O60" s="615">
        <f t="shared" si="12"/>
        <v>0.156</v>
      </c>
      <c r="P60" s="622">
        <f t="shared" si="9"/>
        <v>1</v>
      </c>
      <c r="S60" s="621">
        <f t="shared" si="4"/>
        <v>2047</v>
      </c>
      <c r="T60" s="623">
        <v>0</v>
      </c>
      <c r="U60" s="623">
        <v>5</v>
      </c>
      <c r="V60" s="624">
        <f t="shared" si="5"/>
        <v>0</v>
      </c>
      <c r="W60" s="625">
        <v>1</v>
      </c>
      <c r="X60" s="626">
        <f t="shared" si="10"/>
        <v>0</v>
      </c>
    </row>
    <row r="61" spans="2:24">
      <c r="B61" s="621">
        <f t="shared" si="11"/>
        <v>2048</v>
      </c>
      <c r="C61" s="627"/>
      <c r="D61" s="614">
        <v>1</v>
      </c>
      <c r="E61" s="615">
        <f t="shared" si="12"/>
        <v>0.435</v>
      </c>
      <c r="F61" s="615">
        <f t="shared" si="12"/>
        <v>0.129</v>
      </c>
      <c r="G61" s="615">
        <f t="shared" si="12"/>
        <v>0</v>
      </c>
      <c r="H61" s="615">
        <f t="shared" si="12"/>
        <v>0</v>
      </c>
      <c r="I61" s="615">
        <f t="shared" si="12"/>
        <v>9.9000000000000005E-2</v>
      </c>
      <c r="J61" s="615">
        <f t="shared" si="12"/>
        <v>2.7E-2</v>
      </c>
      <c r="K61" s="615">
        <f t="shared" si="12"/>
        <v>8.9999999999999993E-3</v>
      </c>
      <c r="L61" s="615">
        <f t="shared" si="12"/>
        <v>7.1999999999999995E-2</v>
      </c>
      <c r="M61" s="615">
        <f t="shared" si="12"/>
        <v>3.3000000000000002E-2</v>
      </c>
      <c r="N61" s="615">
        <f t="shared" si="12"/>
        <v>0.04</v>
      </c>
      <c r="O61" s="615">
        <f t="shared" si="12"/>
        <v>0.156</v>
      </c>
      <c r="P61" s="622">
        <f t="shared" si="9"/>
        <v>1</v>
      </c>
      <c r="S61" s="621">
        <f t="shared" si="4"/>
        <v>2048</v>
      </c>
      <c r="T61" s="623">
        <v>0</v>
      </c>
      <c r="U61" s="623">
        <v>5</v>
      </c>
      <c r="V61" s="624">
        <f t="shared" si="5"/>
        <v>0</v>
      </c>
      <c r="W61" s="625">
        <v>1</v>
      </c>
      <c r="X61" s="626">
        <f t="shared" si="10"/>
        <v>0</v>
      </c>
    </row>
    <row r="62" spans="2:24">
      <c r="B62" s="621">
        <f t="shared" si="11"/>
        <v>2049</v>
      </c>
      <c r="C62" s="627"/>
      <c r="D62" s="614">
        <v>1</v>
      </c>
      <c r="E62" s="615">
        <f t="shared" si="12"/>
        <v>0.435</v>
      </c>
      <c r="F62" s="615">
        <f t="shared" si="12"/>
        <v>0.129</v>
      </c>
      <c r="G62" s="615">
        <f t="shared" si="12"/>
        <v>0</v>
      </c>
      <c r="H62" s="615">
        <f t="shared" si="12"/>
        <v>0</v>
      </c>
      <c r="I62" s="615">
        <f t="shared" si="12"/>
        <v>9.9000000000000005E-2</v>
      </c>
      <c r="J62" s="615">
        <f t="shared" si="12"/>
        <v>2.7E-2</v>
      </c>
      <c r="K62" s="615">
        <f t="shared" si="12"/>
        <v>8.9999999999999993E-3</v>
      </c>
      <c r="L62" s="615">
        <f t="shared" si="12"/>
        <v>7.1999999999999995E-2</v>
      </c>
      <c r="M62" s="615">
        <f t="shared" si="12"/>
        <v>3.3000000000000002E-2</v>
      </c>
      <c r="N62" s="615">
        <f t="shared" si="12"/>
        <v>0.04</v>
      </c>
      <c r="O62" s="615">
        <f t="shared" si="12"/>
        <v>0.156</v>
      </c>
      <c r="P62" s="622">
        <f t="shared" si="9"/>
        <v>1</v>
      </c>
      <c r="S62" s="621">
        <f t="shared" si="4"/>
        <v>2049</v>
      </c>
      <c r="T62" s="623">
        <v>0</v>
      </c>
      <c r="U62" s="623">
        <v>5</v>
      </c>
      <c r="V62" s="624">
        <f t="shared" si="5"/>
        <v>0</v>
      </c>
      <c r="W62" s="625">
        <v>1</v>
      </c>
      <c r="X62" s="626">
        <f t="shared" si="10"/>
        <v>0</v>
      </c>
    </row>
    <row r="63" spans="2:24">
      <c r="B63" s="621">
        <f t="shared" si="11"/>
        <v>2050</v>
      </c>
      <c r="C63" s="627"/>
      <c r="D63" s="614">
        <v>1</v>
      </c>
      <c r="E63" s="615">
        <f t="shared" ref="E63:O78" si="13">E$8</f>
        <v>0.435</v>
      </c>
      <c r="F63" s="615">
        <f t="shared" si="13"/>
        <v>0.129</v>
      </c>
      <c r="G63" s="615">
        <f t="shared" si="12"/>
        <v>0</v>
      </c>
      <c r="H63" s="615">
        <f t="shared" si="13"/>
        <v>0</v>
      </c>
      <c r="I63" s="615">
        <f t="shared" si="12"/>
        <v>9.9000000000000005E-2</v>
      </c>
      <c r="J63" s="615">
        <f t="shared" si="13"/>
        <v>2.7E-2</v>
      </c>
      <c r="K63" s="615">
        <f t="shared" si="13"/>
        <v>8.9999999999999993E-3</v>
      </c>
      <c r="L63" s="615">
        <f t="shared" si="13"/>
        <v>7.1999999999999995E-2</v>
      </c>
      <c r="M63" s="615">
        <f t="shared" si="13"/>
        <v>3.3000000000000002E-2</v>
      </c>
      <c r="N63" s="615">
        <f t="shared" si="13"/>
        <v>0.04</v>
      </c>
      <c r="O63" s="615">
        <f t="shared" si="13"/>
        <v>0.156</v>
      </c>
      <c r="P63" s="622">
        <f t="shared" si="9"/>
        <v>1</v>
      </c>
      <c r="S63" s="621">
        <f t="shared" si="4"/>
        <v>2050</v>
      </c>
      <c r="T63" s="623">
        <v>0</v>
      </c>
      <c r="U63" s="623">
        <v>5</v>
      </c>
      <c r="V63" s="624">
        <f t="shared" si="5"/>
        <v>0</v>
      </c>
      <c r="W63" s="625">
        <v>1</v>
      </c>
      <c r="X63" s="626">
        <f t="shared" si="10"/>
        <v>0</v>
      </c>
    </row>
    <row r="64" spans="2:24">
      <c r="B64" s="621">
        <f t="shared" si="11"/>
        <v>2051</v>
      </c>
      <c r="C64" s="627"/>
      <c r="D64" s="614">
        <v>1</v>
      </c>
      <c r="E64" s="615">
        <f t="shared" si="13"/>
        <v>0.435</v>
      </c>
      <c r="F64" s="615">
        <f t="shared" si="13"/>
        <v>0.129</v>
      </c>
      <c r="G64" s="615">
        <f t="shared" si="12"/>
        <v>0</v>
      </c>
      <c r="H64" s="615">
        <f t="shared" si="13"/>
        <v>0</v>
      </c>
      <c r="I64" s="615">
        <f t="shared" si="12"/>
        <v>9.9000000000000005E-2</v>
      </c>
      <c r="J64" s="615">
        <f t="shared" si="13"/>
        <v>2.7E-2</v>
      </c>
      <c r="K64" s="615">
        <f t="shared" si="13"/>
        <v>8.9999999999999993E-3</v>
      </c>
      <c r="L64" s="615">
        <f t="shared" si="13"/>
        <v>7.1999999999999995E-2</v>
      </c>
      <c r="M64" s="615">
        <f t="shared" si="13"/>
        <v>3.3000000000000002E-2</v>
      </c>
      <c r="N64" s="615">
        <f t="shared" si="13"/>
        <v>0.04</v>
      </c>
      <c r="O64" s="615">
        <f t="shared" si="13"/>
        <v>0.156</v>
      </c>
      <c r="P64" s="622">
        <f t="shared" si="9"/>
        <v>1</v>
      </c>
      <c r="S64" s="621">
        <f t="shared" si="4"/>
        <v>2051</v>
      </c>
      <c r="T64" s="623">
        <v>0</v>
      </c>
      <c r="U64" s="623">
        <v>5</v>
      </c>
      <c r="V64" s="624">
        <f t="shared" si="5"/>
        <v>0</v>
      </c>
      <c r="W64" s="625">
        <v>1</v>
      </c>
      <c r="X64" s="626">
        <f t="shared" si="10"/>
        <v>0</v>
      </c>
    </row>
    <row r="65" spans="2:24">
      <c r="B65" s="621">
        <f t="shared" si="11"/>
        <v>2052</v>
      </c>
      <c r="C65" s="627"/>
      <c r="D65" s="614">
        <v>1</v>
      </c>
      <c r="E65" s="615">
        <f t="shared" si="13"/>
        <v>0.435</v>
      </c>
      <c r="F65" s="615">
        <f t="shared" si="13"/>
        <v>0.129</v>
      </c>
      <c r="G65" s="615">
        <f t="shared" si="12"/>
        <v>0</v>
      </c>
      <c r="H65" s="615">
        <f t="shared" si="13"/>
        <v>0</v>
      </c>
      <c r="I65" s="615">
        <f t="shared" si="12"/>
        <v>9.9000000000000005E-2</v>
      </c>
      <c r="J65" s="615">
        <f t="shared" si="13"/>
        <v>2.7E-2</v>
      </c>
      <c r="K65" s="615">
        <f t="shared" si="13"/>
        <v>8.9999999999999993E-3</v>
      </c>
      <c r="L65" s="615">
        <f t="shared" si="13"/>
        <v>7.1999999999999995E-2</v>
      </c>
      <c r="M65" s="615">
        <f t="shared" si="13"/>
        <v>3.3000000000000002E-2</v>
      </c>
      <c r="N65" s="615">
        <f t="shared" si="13"/>
        <v>0.04</v>
      </c>
      <c r="O65" s="615">
        <f t="shared" si="13"/>
        <v>0.156</v>
      </c>
      <c r="P65" s="622">
        <f t="shared" si="9"/>
        <v>1</v>
      </c>
      <c r="S65" s="621">
        <f t="shared" si="4"/>
        <v>2052</v>
      </c>
      <c r="T65" s="623">
        <v>0</v>
      </c>
      <c r="U65" s="623">
        <v>5</v>
      </c>
      <c r="V65" s="624">
        <f t="shared" si="5"/>
        <v>0</v>
      </c>
      <c r="W65" s="625">
        <v>1</v>
      </c>
      <c r="X65" s="626">
        <f t="shared" si="10"/>
        <v>0</v>
      </c>
    </row>
    <row r="66" spans="2:24">
      <c r="B66" s="621">
        <f t="shared" si="11"/>
        <v>2053</v>
      </c>
      <c r="C66" s="627"/>
      <c r="D66" s="614">
        <v>1</v>
      </c>
      <c r="E66" s="615">
        <f t="shared" si="13"/>
        <v>0.435</v>
      </c>
      <c r="F66" s="615">
        <f t="shared" si="13"/>
        <v>0.129</v>
      </c>
      <c r="G66" s="615">
        <f t="shared" si="12"/>
        <v>0</v>
      </c>
      <c r="H66" s="615">
        <f t="shared" si="13"/>
        <v>0</v>
      </c>
      <c r="I66" s="615">
        <f t="shared" si="12"/>
        <v>9.9000000000000005E-2</v>
      </c>
      <c r="J66" s="615">
        <f t="shared" si="13"/>
        <v>2.7E-2</v>
      </c>
      <c r="K66" s="615">
        <f t="shared" si="13"/>
        <v>8.9999999999999993E-3</v>
      </c>
      <c r="L66" s="615">
        <f t="shared" si="13"/>
        <v>7.1999999999999995E-2</v>
      </c>
      <c r="M66" s="615">
        <f t="shared" si="13"/>
        <v>3.3000000000000002E-2</v>
      </c>
      <c r="N66" s="615">
        <f t="shared" si="13"/>
        <v>0.04</v>
      </c>
      <c r="O66" s="615">
        <f t="shared" si="13"/>
        <v>0.156</v>
      </c>
      <c r="P66" s="622">
        <f t="shared" si="9"/>
        <v>1</v>
      </c>
      <c r="S66" s="621">
        <f t="shared" si="4"/>
        <v>2053</v>
      </c>
      <c r="T66" s="623">
        <v>0</v>
      </c>
      <c r="U66" s="623">
        <v>5</v>
      </c>
      <c r="V66" s="624">
        <f t="shared" si="5"/>
        <v>0</v>
      </c>
      <c r="W66" s="625">
        <v>1</v>
      </c>
      <c r="X66" s="626">
        <f t="shared" si="10"/>
        <v>0</v>
      </c>
    </row>
    <row r="67" spans="2:24">
      <c r="B67" s="621">
        <f t="shared" si="11"/>
        <v>2054</v>
      </c>
      <c r="C67" s="627"/>
      <c r="D67" s="614">
        <v>1</v>
      </c>
      <c r="E67" s="615">
        <f t="shared" si="13"/>
        <v>0.435</v>
      </c>
      <c r="F67" s="615">
        <f t="shared" si="13"/>
        <v>0.129</v>
      </c>
      <c r="G67" s="615">
        <f t="shared" si="12"/>
        <v>0</v>
      </c>
      <c r="H67" s="615">
        <f t="shared" si="13"/>
        <v>0</v>
      </c>
      <c r="I67" s="615">
        <f t="shared" si="12"/>
        <v>9.9000000000000005E-2</v>
      </c>
      <c r="J67" s="615">
        <f t="shared" si="13"/>
        <v>2.7E-2</v>
      </c>
      <c r="K67" s="615">
        <f t="shared" si="13"/>
        <v>8.9999999999999993E-3</v>
      </c>
      <c r="L67" s="615">
        <f t="shared" si="13"/>
        <v>7.1999999999999995E-2</v>
      </c>
      <c r="M67" s="615">
        <f t="shared" si="13"/>
        <v>3.3000000000000002E-2</v>
      </c>
      <c r="N67" s="615">
        <f t="shared" si="13"/>
        <v>0.04</v>
      </c>
      <c r="O67" s="615">
        <f t="shared" si="13"/>
        <v>0.156</v>
      </c>
      <c r="P67" s="622">
        <f t="shared" si="9"/>
        <v>1</v>
      </c>
      <c r="S67" s="621">
        <f t="shared" si="4"/>
        <v>2054</v>
      </c>
      <c r="T67" s="623">
        <v>0</v>
      </c>
      <c r="U67" s="623">
        <v>5</v>
      </c>
      <c r="V67" s="624">
        <f t="shared" si="5"/>
        <v>0</v>
      </c>
      <c r="W67" s="625">
        <v>1</v>
      </c>
      <c r="X67" s="626">
        <f t="shared" si="10"/>
        <v>0</v>
      </c>
    </row>
    <row r="68" spans="2:24">
      <c r="B68" s="621">
        <f t="shared" si="11"/>
        <v>2055</v>
      </c>
      <c r="C68" s="627"/>
      <c r="D68" s="614">
        <v>1</v>
      </c>
      <c r="E68" s="615">
        <f t="shared" si="13"/>
        <v>0.435</v>
      </c>
      <c r="F68" s="615">
        <f t="shared" si="13"/>
        <v>0.129</v>
      </c>
      <c r="G68" s="615">
        <f t="shared" si="12"/>
        <v>0</v>
      </c>
      <c r="H68" s="615">
        <f t="shared" si="13"/>
        <v>0</v>
      </c>
      <c r="I68" s="615">
        <f t="shared" si="12"/>
        <v>9.9000000000000005E-2</v>
      </c>
      <c r="J68" s="615">
        <f t="shared" si="13"/>
        <v>2.7E-2</v>
      </c>
      <c r="K68" s="615">
        <f t="shared" si="13"/>
        <v>8.9999999999999993E-3</v>
      </c>
      <c r="L68" s="615">
        <f t="shared" si="13"/>
        <v>7.1999999999999995E-2</v>
      </c>
      <c r="M68" s="615">
        <f t="shared" si="13"/>
        <v>3.3000000000000002E-2</v>
      </c>
      <c r="N68" s="615">
        <f t="shared" si="13"/>
        <v>0.04</v>
      </c>
      <c r="O68" s="615">
        <f t="shared" si="13"/>
        <v>0.156</v>
      </c>
      <c r="P68" s="622">
        <f t="shared" si="9"/>
        <v>1</v>
      </c>
      <c r="S68" s="621">
        <f t="shared" si="4"/>
        <v>2055</v>
      </c>
      <c r="T68" s="623">
        <v>0</v>
      </c>
      <c r="U68" s="623">
        <v>5</v>
      </c>
      <c r="V68" s="624">
        <f t="shared" si="5"/>
        <v>0</v>
      </c>
      <c r="W68" s="625">
        <v>1</v>
      </c>
      <c r="X68" s="626">
        <f t="shared" si="10"/>
        <v>0</v>
      </c>
    </row>
    <row r="69" spans="2:24">
      <c r="B69" s="621">
        <f t="shared" si="11"/>
        <v>2056</v>
      </c>
      <c r="C69" s="627"/>
      <c r="D69" s="614">
        <v>1</v>
      </c>
      <c r="E69" s="615">
        <f t="shared" si="13"/>
        <v>0.435</v>
      </c>
      <c r="F69" s="615">
        <f t="shared" si="13"/>
        <v>0.129</v>
      </c>
      <c r="G69" s="615">
        <f t="shared" si="13"/>
        <v>0</v>
      </c>
      <c r="H69" s="615">
        <f t="shared" si="13"/>
        <v>0</v>
      </c>
      <c r="I69" s="615">
        <f t="shared" si="13"/>
        <v>9.9000000000000005E-2</v>
      </c>
      <c r="J69" s="615">
        <f t="shared" si="13"/>
        <v>2.7E-2</v>
      </c>
      <c r="K69" s="615">
        <f t="shared" si="13"/>
        <v>8.9999999999999993E-3</v>
      </c>
      <c r="L69" s="615">
        <f t="shared" si="13"/>
        <v>7.1999999999999995E-2</v>
      </c>
      <c r="M69" s="615">
        <f t="shared" si="13"/>
        <v>3.3000000000000002E-2</v>
      </c>
      <c r="N69" s="615">
        <f t="shared" si="13"/>
        <v>0.04</v>
      </c>
      <c r="O69" s="615">
        <f t="shared" si="13"/>
        <v>0.156</v>
      </c>
      <c r="P69" s="622">
        <f t="shared" si="9"/>
        <v>1</v>
      </c>
      <c r="S69" s="621">
        <f t="shared" si="4"/>
        <v>2056</v>
      </c>
      <c r="T69" s="623">
        <v>0</v>
      </c>
      <c r="U69" s="623">
        <v>5</v>
      </c>
      <c r="V69" s="624">
        <f t="shared" si="5"/>
        <v>0</v>
      </c>
      <c r="W69" s="625">
        <v>1</v>
      </c>
      <c r="X69" s="626">
        <f t="shared" si="10"/>
        <v>0</v>
      </c>
    </row>
    <row r="70" spans="2:24">
      <c r="B70" s="621">
        <f t="shared" si="11"/>
        <v>2057</v>
      </c>
      <c r="C70" s="627"/>
      <c r="D70" s="614">
        <v>1</v>
      </c>
      <c r="E70" s="615">
        <f t="shared" si="13"/>
        <v>0.435</v>
      </c>
      <c r="F70" s="615">
        <f t="shared" si="13"/>
        <v>0.129</v>
      </c>
      <c r="G70" s="615">
        <f t="shared" si="13"/>
        <v>0</v>
      </c>
      <c r="H70" s="615">
        <f t="shared" si="13"/>
        <v>0</v>
      </c>
      <c r="I70" s="615">
        <f t="shared" si="13"/>
        <v>9.9000000000000005E-2</v>
      </c>
      <c r="J70" s="615">
        <f t="shared" si="13"/>
        <v>2.7E-2</v>
      </c>
      <c r="K70" s="615">
        <f t="shared" si="13"/>
        <v>8.9999999999999993E-3</v>
      </c>
      <c r="L70" s="615">
        <f t="shared" si="13"/>
        <v>7.1999999999999995E-2</v>
      </c>
      <c r="M70" s="615">
        <f t="shared" si="13"/>
        <v>3.3000000000000002E-2</v>
      </c>
      <c r="N70" s="615">
        <f t="shared" si="13"/>
        <v>0.04</v>
      </c>
      <c r="O70" s="615">
        <f t="shared" si="13"/>
        <v>0.156</v>
      </c>
      <c r="P70" s="622">
        <f t="shared" si="9"/>
        <v>1</v>
      </c>
      <c r="S70" s="621">
        <f t="shared" si="4"/>
        <v>2057</v>
      </c>
      <c r="T70" s="623">
        <v>0</v>
      </c>
      <c r="U70" s="623">
        <v>5</v>
      </c>
      <c r="V70" s="624">
        <f t="shared" si="5"/>
        <v>0</v>
      </c>
      <c r="W70" s="625">
        <v>1</v>
      </c>
      <c r="X70" s="626">
        <f t="shared" si="10"/>
        <v>0</v>
      </c>
    </row>
    <row r="71" spans="2:24">
      <c r="B71" s="621">
        <f t="shared" si="11"/>
        <v>2058</v>
      </c>
      <c r="C71" s="627"/>
      <c r="D71" s="614">
        <v>1</v>
      </c>
      <c r="E71" s="615">
        <f t="shared" si="13"/>
        <v>0.435</v>
      </c>
      <c r="F71" s="615">
        <f t="shared" si="13"/>
        <v>0.129</v>
      </c>
      <c r="G71" s="615">
        <f t="shared" si="13"/>
        <v>0</v>
      </c>
      <c r="H71" s="615">
        <f t="shared" si="13"/>
        <v>0</v>
      </c>
      <c r="I71" s="615">
        <f t="shared" si="13"/>
        <v>9.9000000000000005E-2</v>
      </c>
      <c r="J71" s="615">
        <f t="shared" si="13"/>
        <v>2.7E-2</v>
      </c>
      <c r="K71" s="615">
        <f t="shared" si="13"/>
        <v>8.9999999999999993E-3</v>
      </c>
      <c r="L71" s="615">
        <f t="shared" si="13"/>
        <v>7.1999999999999995E-2</v>
      </c>
      <c r="M71" s="615">
        <f t="shared" si="13"/>
        <v>3.3000000000000002E-2</v>
      </c>
      <c r="N71" s="615">
        <f t="shared" si="13"/>
        <v>0.04</v>
      </c>
      <c r="O71" s="615">
        <f t="shared" si="13"/>
        <v>0.156</v>
      </c>
      <c r="P71" s="622">
        <f t="shared" si="9"/>
        <v>1</v>
      </c>
      <c r="S71" s="621">
        <f t="shared" si="4"/>
        <v>2058</v>
      </c>
      <c r="T71" s="623">
        <v>0</v>
      </c>
      <c r="U71" s="623">
        <v>5</v>
      </c>
      <c r="V71" s="624">
        <f t="shared" si="5"/>
        <v>0</v>
      </c>
      <c r="W71" s="625">
        <v>1</v>
      </c>
      <c r="X71" s="626">
        <f t="shared" si="10"/>
        <v>0</v>
      </c>
    </row>
    <row r="72" spans="2:24">
      <c r="B72" s="621">
        <f t="shared" si="11"/>
        <v>2059</v>
      </c>
      <c r="C72" s="627"/>
      <c r="D72" s="614">
        <v>1</v>
      </c>
      <c r="E72" s="615">
        <f t="shared" si="13"/>
        <v>0.435</v>
      </c>
      <c r="F72" s="615">
        <f t="shared" si="13"/>
        <v>0.129</v>
      </c>
      <c r="G72" s="615">
        <f t="shared" si="13"/>
        <v>0</v>
      </c>
      <c r="H72" s="615">
        <f t="shared" si="13"/>
        <v>0</v>
      </c>
      <c r="I72" s="615">
        <f t="shared" si="13"/>
        <v>9.9000000000000005E-2</v>
      </c>
      <c r="J72" s="615">
        <f t="shared" si="13"/>
        <v>2.7E-2</v>
      </c>
      <c r="K72" s="615">
        <f t="shared" si="13"/>
        <v>8.9999999999999993E-3</v>
      </c>
      <c r="L72" s="615">
        <f t="shared" si="13"/>
        <v>7.1999999999999995E-2</v>
      </c>
      <c r="M72" s="615">
        <f t="shared" si="13"/>
        <v>3.3000000000000002E-2</v>
      </c>
      <c r="N72" s="615">
        <f t="shared" si="13"/>
        <v>0.04</v>
      </c>
      <c r="O72" s="615">
        <f t="shared" si="13"/>
        <v>0.156</v>
      </c>
      <c r="P72" s="622">
        <f t="shared" si="9"/>
        <v>1</v>
      </c>
      <c r="S72" s="621">
        <f t="shared" si="4"/>
        <v>2059</v>
      </c>
      <c r="T72" s="623">
        <v>0</v>
      </c>
      <c r="U72" s="623">
        <v>5</v>
      </c>
      <c r="V72" s="624">
        <f t="shared" si="5"/>
        <v>0</v>
      </c>
      <c r="W72" s="625">
        <v>1</v>
      </c>
      <c r="X72" s="626">
        <f t="shared" si="10"/>
        <v>0</v>
      </c>
    </row>
    <row r="73" spans="2:24">
      <c r="B73" s="621">
        <f t="shared" si="11"/>
        <v>2060</v>
      </c>
      <c r="C73" s="627"/>
      <c r="D73" s="614">
        <v>1</v>
      </c>
      <c r="E73" s="615">
        <f t="shared" ref="E73:O88" si="14">E$8</f>
        <v>0.435</v>
      </c>
      <c r="F73" s="615">
        <f t="shared" si="14"/>
        <v>0.129</v>
      </c>
      <c r="G73" s="615">
        <f t="shared" si="13"/>
        <v>0</v>
      </c>
      <c r="H73" s="615">
        <f t="shared" si="14"/>
        <v>0</v>
      </c>
      <c r="I73" s="615">
        <f t="shared" si="13"/>
        <v>9.9000000000000005E-2</v>
      </c>
      <c r="J73" s="615">
        <f t="shared" si="14"/>
        <v>2.7E-2</v>
      </c>
      <c r="K73" s="615">
        <f t="shared" si="14"/>
        <v>8.9999999999999993E-3</v>
      </c>
      <c r="L73" s="615">
        <f t="shared" si="14"/>
        <v>7.1999999999999995E-2</v>
      </c>
      <c r="M73" s="615">
        <f t="shared" si="14"/>
        <v>3.3000000000000002E-2</v>
      </c>
      <c r="N73" s="615">
        <f t="shared" si="14"/>
        <v>0.04</v>
      </c>
      <c r="O73" s="615">
        <f t="shared" si="14"/>
        <v>0.156</v>
      </c>
      <c r="P73" s="622">
        <f t="shared" si="9"/>
        <v>1</v>
      </c>
      <c r="S73" s="621">
        <f t="shared" si="4"/>
        <v>2060</v>
      </c>
      <c r="T73" s="623">
        <v>0</v>
      </c>
      <c r="U73" s="623">
        <v>5</v>
      </c>
      <c r="V73" s="624">
        <f t="shared" si="5"/>
        <v>0</v>
      </c>
      <c r="W73" s="625">
        <v>1</v>
      </c>
      <c r="X73" s="626">
        <f t="shared" si="10"/>
        <v>0</v>
      </c>
    </row>
    <row r="74" spans="2:24">
      <c r="B74" s="621">
        <f t="shared" si="11"/>
        <v>2061</v>
      </c>
      <c r="C74" s="627"/>
      <c r="D74" s="614">
        <v>1</v>
      </c>
      <c r="E74" s="615">
        <f t="shared" si="14"/>
        <v>0.435</v>
      </c>
      <c r="F74" s="615">
        <f t="shared" si="14"/>
        <v>0.129</v>
      </c>
      <c r="G74" s="615">
        <f t="shared" si="13"/>
        <v>0</v>
      </c>
      <c r="H74" s="615">
        <f t="shared" si="14"/>
        <v>0</v>
      </c>
      <c r="I74" s="615">
        <f t="shared" si="13"/>
        <v>9.9000000000000005E-2</v>
      </c>
      <c r="J74" s="615">
        <f t="shared" si="14"/>
        <v>2.7E-2</v>
      </c>
      <c r="K74" s="615">
        <f t="shared" si="14"/>
        <v>8.9999999999999993E-3</v>
      </c>
      <c r="L74" s="615">
        <f t="shared" si="14"/>
        <v>7.1999999999999995E-2</v>
      </c>
      <c r="M74" s="615">
        <f t="shared" si="14"/>
        <v>3.3000000000000002E-2</v>
      </c>
      <c r="N74" s="615">
        <f t="shared" si="14"/>
        <v>0.04</v>
      </c>
      <c r="O74" s="615">
        <f t="shared" si="14"/>
        <v>0.156</v>
      </c>
      <c r="P74" s="622">
        <f t="shared" si="9"/>
        <v>1</v>
      </c>
      <c r="S74" s="621">
        <f t="shared" si="4"/>
        <v>2061</v>
      </c>
      <c r="T74" s="623">
        <v>0</v>
      </c>
      <c r="U74" s="623">
        <v>5</v>
      </c>
      <c r="V74" s="624">
        <f t="shared" si="5"/>
        <v>0</v>
      </c>
      <c r="W74" s="625">
        <v>1</v>
      </c>
      <c r="X74" s="626">
        <f t="shared" si="10"/>
        <v>0</v>
      </c>
    </row>
    <row r="75" spans="2:24">
      <c r="B75" s="621">
        <f t="shared" si="11"/>
        <v>2062</v>
      </c>
      <c r="C75" s="627"/>
      <c r="D75" s="614">
        <v>1</v>
      </c>
      <c r="E75" s="615">
        <f t="shared" si="14"/>
        <v>0.435</v>
      </c>
      <c r="F75" s="615">
        <f t="shared" si="14"/>
        <v>0.129</v>
      </c>
      <c r="G75" s="615">
        <f t="shared" si="13"/>
        <v>0</v>
      </c>
      <c r="H75" s="615">
        <f t="shared" si="14"/>
        <v>0</v>
      </c>
      <c r="I75" s="615">
        <f t="shared" si="13"/>
        <v>9.9000000000000005E-2</v>
      </c>
      <c r="J75" s="615">
        <f t="shared" si="14"/>
        <v>2.7E-2</v>
      </c>
      <c r="K75" s="615">
        <f t="shared" si="14"/>
        <v>8.9999999999999993E-3</v>
      </c>
      <c r="L75" s="615">
        <f t="shared" si="14"/>
        <v>7.1999999999999995E-2</v>
      </c>
      <c r="M75" s="615">
        <f t="shared" si="14"/>
        <v>3.3000000000000002E-2</v>
      </c>
      <c r="N75" s="615">
        <f t="shared" si="14"/>
        <v>0.04</v>
      </c>
      <c r="O75" s="615">
        <f t="shared" si="14"/>
        <v>0.156</v>
      </c>
      <c r="P75" s="622">
        <f t="shared" si="9"/>
        <v>1</v>
      </c>
      <c r="S75" s="621">
        <f t="shared" si="4"/>
        <v>2062</v>
      </c>
      <c r="T75" s="623">
        <v>0</v>
      </c>
      <c r="U75" s="623">
        <v>5</v>
      </c>
      <c r="V75" s="624">
        <f t="shared" si="5"/>
        <v>0</v>
      </c>
      <c r="W75" s="625">
        <v>1</v>
      </c>
      <c r="X75" s="626">
        <f t="shared" si="10"/>
        <v>0</v>
      </c>
    </row>
    <row r="76" spans="2:24">
      <c r="B76" s="621">
        <f t="shared" si="11"/>
        <v>2063</v>
      </c>
      <c r="C76" s="627"/>
      <c r="D76" s="614">
        <v>1</v>
      </c>
      <c r="E76" s="615">
        <f t="shared" si="14"/>
        <v>0.435</v>
      </c>
      <c r="F76" s="615">
        <f t="shared" si="14"/>
        <v>0.129</v>
      </c>
      <c r="G76" s="615">
        <f t="shared" si="13"/>
        <v>0</v>
      </c>
      <c r="H76" s="615">
        <f t="shared" si="14"/>
        <v>0</v>
      </c>
      <c r="I76" s="615">
        <f t="shared" si="13"/>
        <v>9.9000000000000005E-2</v>
      </c>
      <c r="J76" s="615">
        <f t="shared" si="14"/>
        <v>2.7E-2</v>
      </c>
      <c r="K76" s="615">
        <f t="shared" si="14"/>
        <v>8.9999999999999993E-3</v>
      </c>
      <c r="L76" s="615">
        <f t="shared" si="14"/>
        <v>7.1999999999999995E-2</v>
      </c>
      <c r="M76" s="615">
        <f t="shared" si="14"/>
        <v>3.3000000000000002E-2</v>
      </c>
      <c r="N76" s="615">
        <f t="shared" si="14"/>
        <v>0.04</v>
      </c>
      <c r="O76" s="615">
        <f t="shared" si="14"/>
        <v>0.156</v>
      </c>
      <c r="P76" s="622">
        <f t="shared" si="9"/>
        <v>1</v>
      </c>
      <c r="S76" s="621">
        <f t="shared" si="4"/>
        <v>2063</v>
      </c>
      <c r="T76" s="623">
        <v>0</v>
      </c>
      <c r="U76" s="623">
        <v>5</v>
      </c>
      <c r="V76" s="624">
        <f t="shared" si="5"/>
        <v>0</v>
      </c>
      <c r="W76" s="625">
        <v>1</v>
      </c>
      <c r="X76" s="626">
        <f t="shared" si="10"/>
        <v>0</v>
      </c>
    </row>
    <row r="77" spans="2:24">
      <c r="B77" s="621">
        <f t="shared" si="11"/>
        <v>2064</v>
      </c>
      <c r="C77" s="627"/>
      <c r="D77" s="614">
        <v>1</v>
      </c>
      <c r="E77" s="615">
        <f t="shared" si="14"/>
        <v>0.435</v>
      </c>
      <c r="F77" s="615">
        <f t="shared" si="14"/>
        <v>0.129</v>
      </c>
      <c r="G77" s="615">
        <f t="shared" si="13"/>
        <v>0</v>
      </c>
      <c r="H77" s="615">
        <f t="shared" si="14"/>
        <v>0</v>
      </c>
      <c r="I77" s="615">
        <f t="shared" si="13"/>
        <v>9.9000000000000005E-2</v>
      </c>
      <c r="J77" s="615">
        <f t="shared" si="14"/>
        <v>2.7E-2</v>
      </c>
      <c r="K77" s="615">
        <f t="shared" si="14"/>
        <v>8.9999999999999993E-3</v>
      </c>
      <c r="L77" s="615">
        <f t="shared" si="14"/>
        <v>7.1999999999999995E-2</v>
      </c>
      <c r="M77" s="615">
        <f t="shared" si="14"/>
        <v>3.3000000000000002E-2</v>
      </c>
      <c r="N77" s="615">
        <f t="shared" si="14"/>
        <v>0.04</v>
      </c>
      <c r="O77" s="615">
        <f t="shared" si="14"/>
        <v>0.156</v>
      </c>
      <c r="P77" s="622">
        <f t="shared" ref="P77:P93" si="15">SUM(E77:O77)</f>
        <v>1</v>
      </c>
      <c r="S77" s="621">
        <f t="shared" si="4"/>
        <v>2064</v>
      </c>
      <c r="T77" s="623">
        <v>0</v>
      </c>
      <c r="U77" s="623">
        <v>5</v>
      </c>
      <c r="V77" s="624">
        <f t="shared" si="5"/>
        <v>0</v>
      </c>
      <c r="W77" s="625">
        <v>1</v>
      </c>
      <c r="X77" s="626">
        <f t="shared" ref="X77:X93" si="16">V77*W77</f>
        <v>0</v>
      </c>
    </row>
    <row r="78" spans="2:24">
      <c r="B78" s="621">
        <f t="shared" ref="B78:B93" si="17">B77+1</f>
        <v>2065</v>
      </c>
      <c r="C78" s="627"/>
      <c r="D78" s="614">
        <v>1</v>
      </c>
      <c r="E78" s="615">
        <f t="shared" si="14"/>
        <v>0.435</v>
      </c>
      <c r="F78" s="615">
        <f t="shared" si="14"/>
        <v>0.129</v>
      </c>
      <c r="G78" s="615">
        <f t="shared" si="13"/>
        <v>0</v>
      </c>
      <c r="H78" s="615">
        <f t="shared" si="14"/>
        <v>0</v>
      </c>
      <c r="I78" s="615">
        <f t="shared" si="13"/>
        <v>9.9000000000000005E-2</v>
      </c>
      <c r="J78" s="615">
        <f t="shared" si="14"/>
        <v>2.7E-2</v>
      </c>
      <c r="K78" s="615">
        <f t="shared" si="14"/>
        <v>8.9999999999999993E-3</v>
      </c>
      <c r="L78" s="615">
        <f t="shared" si="14"/>
        <v>7.1999999999999995E-2</v>
      </c>
      <c r="M78" s="615">
        <f t="shared" si="14"/>
        <v>3.3000000000000002E-2</v>
      </c>
      <c r="N78" s="615">
        <f t="shared" si="14"/>
        <v>0.04</v>
      </c>
      <c r="O78" s="615">
        <f t="shared" si="14"/>
        <v>0.156</v>
      </c>
      <c r="P78" s="622">
        <f t="shared" si="15"/>
        <v>1</v>
      </c>
      <c r="S78" s="621">
        <f t="shared" ref="S78:S93" si="18">S77+1</f>
        <v>2065</v>
      </c>
      <c r="T78" s="623">
        <v>0</v>
      </c>
      <c r="U78" s="623">
        <v>5</v>
      </c>
      <c r="V78" s="624">
        <f t="shared" si="5"/>
        <v>0</v>
      </c>
      <c r="W78" s="625">
        <v>1</v>
      </c>
      <c r="X78" s="626">
        <f t="shared" si="16"/>
        <v>0</v>
      </c>
    </row>
    <row r="79" spans="2:24">
      <c r="B79" s="621">
        <f t="shared" si="17"/>
        <v>2066</v>
      </c>
      <c r="C79" s="627"/>
      <c r="D79" s="614">
        <v>1</v>
      </c>
      <c r="E79" s="615">
        <f t="shared" si="14"/>
        <v>0.435</v>
      </c>
      <c r="F79" s="615">
        <f t="shared" si="14"/>
        <v>0.129</v>
      </c>
      <c r="G79" s="615">
        <f t="shared" si="14"/>
        <v>0</v>
      </c>
      <c r="H79" s="615">
        <f t="shared" si="14"/>
        <v>0</v>
      </c>
      <c r="I79" s="615">
        <f t="shared" si="14"/>
        <v>9.9000000000000005E-2</v>
      </c>
      <c r="J79" s="615">
        <f t="shared" si="14"/>
        <v>2.7E-2</v>
      </c>
      <c r="K79" s="615">
        <f t="shared" si="14"/>
        <v>8.9999999999999993E-3</v>
      </c>
      <c r="L79" s="615">
        <f t="shared" si="14"/>
        <v>7.1999999999999995E-2</v>
      </c>
      <c r="M79" s="615">
        <f t="shared" si="14"/>
        <v>3.3000000000000002E-2</v>
      </c>
      <c r="N79" s="615">
        <f t="shared" si="14"/>
        <v>0.04</v>
      </c>
      <c r="O79" s="615">
        <f t="shared" si="14"/>
        <v>0.156</v>
      </c>
      <c r="P79" s="622">
        <f t="shared" si="15"/>
        <v>1</v>
      </c>
      <c r="S79" s="621">
        <f t="shared" si="18"/>
        <v>2066</v>
      </c>
      <c r="T79" s="623">
        <v>0</v>
      </c>
      <c r="U79" s="623">
        <v>5</v>
      </c>
      <c r="V79" s="624">
        <f t="shared" ref="V79:V93" si="19">T79*U79</f>
        <v>0</v>
      </c>
      <c r="W79" s="625">
        <v>1</v>
      </c>
      <c r="X79" s="626">
        <f t="shared" si="16"/>
        <v>0</v>
      </c>
    </row>
    <row r="80" spans="2:24">
      <c r="B80" s="621">
        <f t="shared" si="17"/>
        <v>2067</v>
      </c>
      <c r="C80" s="627"/>
      <c r="D80" s="614">
        <v>1</v>
      </c>
      <c r="E80" s="615">
        <f t="shared" si="14"/>
        <v>0.435</v>
      </c>
      <c r="F80" s="615">
        <f t="shared" si="14"/>
        <v>0.129</v>
      </c>
      <c r="G80" s="615">
        <f t="shared" si="14"/>
        <v>0</v>
      </c>
      <c r="H80" s="615">
        <f t="shared" si="14"/>
        <v>0</v>
      </c>
      <c r="I80" s="615">
        <f t="shared" si="14"/>
        <v>9.9000000000000005E-2</v>
      </c>
      <c r="J80" s="615">
        <f t="shared" si="14"/>
        <v>2.7E-2</v>
      </c>
      <c r="K80" s="615">
        <f t="shared" si="14"/>
        <v>8.9999999999999993E-3</v>
      </c>
      <c r="L80" s="615">
        <f t="shared" si="14"/>
        <v>7.1999999999999995E-2</v>
      </c>
      <c r="M80" s="615">
        <f t="shared" si="14"/>
        <v>3.3000000000000002E-2</v>
      </c>
      <c r="N80" s="615">
        <f t="shared" si="14"/>
        <v>0.04</v>
      </c>
      <c r="O80" s="615">
        <f t="shared" si="14"/>
        <v>0.156</v>
      </c>
      <c r="P80" s="622">
        <f t="shared" si="15"/>
        <v>1</v>
      </c>
      <c r="S80" s="621">
        <f t="shared" si="18"/>
        <v>2067</v>
      </c>
      <c r="T80" s="623">
        <v>0</v>
      </c>
      <c r="U80" s="623">
        <v>5</v>
      </c>
      <c r="V80" s="624">
        <f t="shared" si="19"/>
        <v>0</v>
      </c>
      <c r="W80" s="625">
        <v>1</v>
      </c>
      <c r="X80" s="626">
        <f t="shared" si="16"/>
        <v>0</v>
      </c>
    </row>
    <row r="81" spans="2:24">
      <c r="B81" s="621">
        <f t="shared" si="17"/>
        <v>2068</v>
      </c>
      <c r="C81" s="627"/>
      <c r="D81" s="614">
        <v>1</v>
      </c>
      <c r="E81" s="615">
        <f t="shared" si="14"/>
        <v>0.435</v>
      </c>
      <c r="F81" s="615">
        <f t="shared" si="14"/>
        <v>0.129</v>
      </c>
      <c r="G81" s="615">
        <f t="shared" si="14"/>
        <v>0</v>
      </c>
      <c r="H81" s="615">
        <f t="shared" si="14"/>
        <v>0</v>
      </c>
      <c r="I81" s="615">
        <f t="shared" si="14"/>
        <v>9.9000000000000005E-2</v>
      </c>
      <c r="J81" s="615">
        <f t="shared" si="14"/>
        <v>2.7E-2</v>
      </c>
      <c r="K81" s="615">
        <f t="shared" si="14"/>
        <v>8.9999999999999993E-3</v>
      </c>
      <c r="L81" s="615">
        <f t="shared" si="14"/>
        <v>7.1999999999999995E-2</v>
      </c>
      <c r="M81" s="615">
        <f t="shared" si="14"/>
        <v>3.3000000000000002E-2</v>
      </c>
      <c r="N81" s="615">
        <f t="shared" si="14"/>
        <v>0.04</v>
      </c>
      <c r="O81" s="615">
        <f t="shared" si="14"/>
        <v>0.156</v>
      </c>
      <c r="P81" s="622">
        <f t="shared" si="15"/>
        <v>1</v>
      </c>
      <c r="S81" s="621">
        <f t="shared" si="18"/>
        <v>2068</v>
      </c>
      <c r="T81" s="623">
        <v>0</v>
      </c>
      <c r="U81" s="623">
        <v>5</v>
      </c>
      <c r="V81" s="624">
        <f t="shared" si="19"/>
        <v>0</v>
      </c>
      <c r="W81" s="625">
        <v>1</v>
      </c>
      <c r="X81" s="626">
        <f t="shared" si="16"/>
        <v>0</v>
      </c>
    </row>
    <row r="82" spans="2:24">
      <c r="B82" s="621">
        <f t="shared" si="17"/>
        <v>2069</v>
      </c>
      <c r="C82" s="627"/>
      <c r="D82" s="614">
        <v>1</v>
      </c>
      <c r="E82" s="615">
        <f t="shared" si="14"/>
        <v>0.435</v>
      </c>
      <c r="F82" s="615">
        <f t="shared" si="14"/>
        <v>0.129</v>
      </c>
      <c r="G82" s="615">
        <f t="shared" si="14"/>
        <v>0</v>
      </c>
      <c r="H82" s="615">
        <f t="shared" si="14"/>
        <v>0</v>
      </c>
      <c r="I82" s="615">
        <f t="shared" si="14"/>
        <v>9.9000000000000005E-2</v>
      </c>
      <c r="J82" s="615">
        <f t="shared" si="14"/>
        <v>2.7E-2</v>
      </c>
      <c r="K82" s="615">
        <f t="shared" si="14"/>
        <v>8.9999999999999993E-3</v>
      </c>
      <c r="L82" s="615">
        <f t="shared" si="14"/>
        <v>7.1999999999999995E-2</v>
      </c>
      <c r="M82" s="615">
        <f t="shared" si="14"/>
        <v>3.3000000000000002E-2</v>
      </c>
      <c r="N82" s="615">
        <f t="shared" si="14"/>
        <v>0.04</v>
      </c>
      <c r="O82" s="615">
        <f t="shared" si="14"/>
        <v>0.156</v>
      </c>
      <c r="P82" s="622">
        <f t="shared" si="15"/>
        <v>1</v>
      </c>
      <c r="S82" s="621">
        <f t="shared" si="18"/>
        <v>2069</v>
      </c>
      <c r="T82" s="623">
        <v>0</v>
      </c>
      <c r="U82" s="623">
        <v>5</v>
      </c>
      <c r="V82" s="624">
        <f t="shared" si="19"/>
        <v>0</v>
      </c>
      <c r="W82" s="625">
        <v>1</v>
      </c>
      <c r="X82" s="626">
        <f t="shared" si="16"/>
        <v>0</v>
      </c>
    </row>
    <row r="83" spans="2:24">
      <c r="B83" s="621">
        <f t="shared" si="17"/>
        <v>2070</v>
      </c>
      <c r="C83" s="627"/>
      <c r="D83" s="614">
        <v>1</v>
      </c>
      <c r="E83" s="615">
        <f t="shared" ref="E83:O93" si="20">E$8</f>
        <v>0.435</v>
      </c>
      <c r="F83" s="615">
        <f t="shared" si="20"/>
        <v>0.129</v>
      </c>
      <c r="G83" s="615">
        <f t="shared" si="14"/>
        <v>0</v>
      </c>
      <c r="H83" s="615">
        <f t="shared" si="20"/>
        <v>0</v>
      </c>
      <c r="I83" s="615">
        <f t="shared" si="14"/>
        <v>9.9000000000000005E-2</v>
      </c>
      <c r="J83" s="615">
        <f t="shared" si="20"/>
        <v>2.7E-2</v>
      </c>
      <c r="K83" s="615">
        <f t="shared" si="20"/>
        <v>8.9999999999999993E-3</v>
      </c>
      <c r="L83" s="615">
        <f t="shared" si="20"/>
        <v>7.1999999999999995E-2</v>
      </c>
      <c r="M83" s="615">
        <f t="shared" si="20"/>
        <v>3.3000000000000002E-2</v>
      </c>
      <c r="N83" s="615">
        <f t="shared" si="20"/>
        <v>0.04</v>
      </c>
      <c r="O83" s="615">
        <f t="shared" si="20"/>
        <v>0.156</v>
      </c>
      <c r="P83" s="622">
        <f t="shared" si="15"/>
        <v>1</v>
      </c>
      <c r="S83" s="621">
        <f t="shared" si="18"/>
        <v>2070</v>
      </c>
      <c r="T83" s="623">
        <v>0</v>
      </c>
      <c r="U83" s="623">
        <v>5</v>
      </c>
      <c r="V83" s="624">
        <f t="shared" si="19"/>
        <v>0</v>
      </c>
      <c r="W83" s="625">
        <v>1</v>
      </c>
      <c r="X83" s="626">
        <f t="shared" si="16"/>
        <v>0</v>
      </c>
    </row>
    <row r="84" spans="2:24">
      <c r="B84" s="621">
        <f t="shared" si="17"/>
        <v>2071</v>
      </c>
      <c r="C84" s="627"/>
      <c r="D84" s="614">
        <v>1</v>
      </c>
      <c r="E84" s="615">
        <f t="shared" si="20"/>
        <v>0.435</v>
      </c>
      <c r="F84" s="615">
        <f t="shared" si="20"/>
        <v>0.129</v>
      </c>
      <c r="G84" s="615">
        <f t="shared" si="14"/>
        <v>0</v>
      </c>
      <c r="H84" s="615">
        <f t="shared" si="20"/>
        <v>0</v>
      </c>
      <c r="I84" s="615">
        <f t="shared" si="14"/>
        <v>9.9000000000000005E-2</v>
      </c>
      <c r="J84" s="615">
        <f t="shared" si="20"/>
        <v>2.7E-2</v>
      </c>
      <c r="K84" s="615">
        <f t="shared" si="20"/>
        <v>8.9999999999999993E-3</v>
      </c>
      <c r="L84" s="615">
        <f t="shared" si="20"/>
        <v>7.1999999999999995E-2</v>
      </c>
      <c r="M84" s="615">
        <f t="shared" si="20"/>
        <v>3.3000000000000002E-2</v>
      </c>
      <c r="N84" s="615">
        <f t="shared" si="20"/>
        <v>0.04</v>
      </c>
      <c r="O84" s="615">
        <f t="shared" si="20"/>
        <v>0.156</v>
      </c>
      <c r="P84" s="622">
        <f t="shared" si="15"/>
        <v>1</v>
      </c>
      <c r="S84" s="621">
        <f t="shared" si="18"/>
        <v>2071</v>
      </c>
      <c r="T84" s="623">
        <v>0</v>
      </c>
      <c r="U84" s="623">
        <v>5</v>
      </c>
      <c r="V84" s="624">
        <f t="shared" si="19"/>
        <v>0</v>
      </c>
      <c r="W84" s="625">
        <v>1</v>
      </c>
      <c r="X84" s="626">
        <f t="shared" si="16"/>
        <v>0</v>
      </c>
    </row>
    <row r="85" spans="2:24">
      <c r="B85" s="621">
        <f t="shared" si="17"/>
        <v>2072</v>
      </c>
      <c r="C85" s="627"/>
      <c r="D85" s="614">
        <v>1</v>
      </c>
      <c r="E85" s="615">
        <f t="shared" si="20"/>
        <v>0.435</v>
      </c>
      <c r="F85" s="615">
        <f t="shared" si="20"/>
        <v>0.129</v>
      </c>
      <c r="G85" s="615">
        <f t="shared" si="14"/>
        <v>0</v>
      </c>
      <c r="H85" s="615">
        <f t="shared" si="20"/>
        <v>0</v>
      </c>
      <c r="I85" s="615">
        <f t="shared" si="14"/>
        <v>9.9000000000000005E-2</v>
      </c>
      <c r="J85" s="615">
        <f t="shared" si="20"/>
        <v>2.7E-2</v>
      </c>
      <c r="K85" s="615">
        <f t="shared" si="20"/>
        <v>8.9999999999999993E-3</v>
      </c>
      <c r="L85" s="615">
        <f t="shared" si="20"/>
        <v>7.1999999999999995E-2</v>
      </c>
      <c r="M85" s="615">
        <f t="shared" si="20"/>
        <v>3.3000000000000002E-2</v>
      </c>
      <c r="N85" s="615">
        <f t="shared" si="20"/>
        <v>0.04</v>
      </c>
      <c r="O85" s="615">
        <f t="shared" si="20"/>
        <v>0.156</v>
      </c>
      <c r="P85" s="622">
        <f t="shared" si="15"/>
        <v>1</v>
      </c>
      <c r="S85" s="621">
        <f t="shared" si="18"/>
        <v>2072</v>
      </c>
      <c r="T85" s="623">
        <v>0</v>
      </c>
      <c r="U85" s="623">
        <v>5</v>
      </c>
      <c r="V85" s="624">
        <f t="shared" si="19"/>
        <v>0</v>
      </c>
      <c r="W85" s="625">
        <v>1</v>
      </c>
      <c r="X85" s="626">
        <f t="shared" si="16"/>
        <v>0</v>
      </c>
    </row>
    <row r="86" spans="2:24">
      <c r="B86" s="621">
        <f t="shared" si="17"/>
        <v>2073</v>
      </c>
      <c r="C86" s="627"/>
      <c r="D86" s="614">
        <v>1</v>
      </c>
      <c r="E86" s="615">
        <f t="shared" si="20"/>
        <v>0.435</v>
      </c>
      <c r="F86" s="615">
        <f t="shared" si="20"/>
        <v>0.129</v>
      </c>
      <c r="G86" s="615">
        <f t="shared" si="14"/>
        <v>0</v>
      </c>
      <c r="H86" s="615">
        <f t="shared" si="20"/>
        <v>0</v>
      </c>
      <c r="I86" s="615">
        <f t="shared" si="14"/>
        <v>9.9000000000000005E-2</v>
      </c>
      <c r="J86" s="615">
        <f t="shared" si="20"/>
        <v>2.7E-2</v>
      </c>
      <c r="K86" s="615">
        <f t="shared" si="20"/>
        <v>8.9999999999999993E-3</v>
      </c>
      <c r="L86" s="615">
        <f t="shared" si="20"/>
        <v>7.1999999999999995E-2</v>
      </c>
      <c r="M86" s="615">
        <f t="shared" si="20"/>
        <v>3.3000000000000002E-2</v>
      </c>
      <c r="N86" s="615">
        <f t="shared" si="20"/>
        <v>0.04</v>
      </c>
      <c r="O86" s="615">
        <f t="shared" si="20"/>
        <v>0.156</v>
      </c>
      <c r="P86" s="622">
        <f t="shared" si="15"/>
        <v>1</v>
      </c>
      <c r="S86" s="621">
        <f t="shared" si="18"/>
        <v>2073</v>
      </c>
      <c r="T86" s="623">
        <v>0</v>
      </c>
      <c r="U86" s="623">
        <v>5</v>
      </c>
      <c r="V86" s="624">
        <f t="shared" si="19"/>
        <v>0</v>
      </c>
      <c r="W86" s="625">
        <v>1</v>
      </c>
      <c r="X86" s="626">
        <f t="shared" si="16"/>
        <v>0</v>
      </c>
    </row>
    <row r="87" spans="2:24">
      <c r="B87" s="621">
        <f t="shared" si="17"/>
        <v>2074</v>
      </c>
      <c r="C87" s="627"/>
      <c r="D87" s="614">
        <v>1</v>
      </c>
      <c r="E87" s="615">
        <f t="shared" si="20"/>
        <v>0.435</v>
      </c>
      <c r="F87" s="615">
        <f t="shared" si="20"/>
        <v>0.129</v>
      </c>
      <c r="G87" s="615">
        <f t="shared" si="14"/>
        <v>0</v>
      </c>
      <c r="H87" s="615">
        <f t="shared" si="20"/>
        <v>0</v>
      </c>
      <c r="I87" s="615">
        <f t="shared" si="14"/>
        <v>9.9000000000000005E-2</v>
      </c>
      <c r="J87" s="615">
        <f t="shared" si="20"/>
        <v>2.7E-2</v>
      </c>
      <c r="K87" s="615">
        <f t="shared" si="20"/>
        <v>8.9999999999999993E-3</v>
      </c>
      <c r="L87" s="615">
        <f t="shared" si="20"/>
        <v>7.1999999999999995E-2</v>
      </c>
      <c r="M87" s="615">
        <f t="shared" si="20"/>
        <v>3.3000000000000002E-2</v>
      </c>
      <c r="N87" s="615">
        <f t="shared" si="20"/>
        <v>0.04</v>
      </c>
      <c r="O87" s="615">
        <f t="shared" si="20"/>
        <v>0.156</v>
      </c>
      <c r="P87" s="622">
        <f t="shared" si="15"/>
        <v>1</v>
      </c>
      <c r="S87" s="621">
        <f t="shared" si="18"/>
        <v>2074</v>
      </c>
      <c r="T87" s="623">
        <v>0</v>
      </c>
      <c r="U87" s="623">
        <v>5</v>
      </c>
      <c r="V87" s="624">
        <f t="shared" si="19"/>
        <v>0</v>
      </c>
      <c r="W87" s="625">
        <v>1</v>
      </c>
      <c r="X87" s="626">
        <f t="shared" si="16"/>
        <v>0</v>
      </c>
    </row>
    <row r="88" spans="2:24">
      <c r="B88" s="621">
        <f t="shared" si="17"/>
        <v>2075</v>
      </c>
      <c r="C88" s="627"/>
      <c r="D88" s="614">
        <v>1</v>
      </c>
      <c r="E88" s="615">
        <f t="shared" si="20"/>
        <v>0.435</v>
      </c>
      <c r="F88" s="615">
        <f t="shared" si="20"/>
        <v>0.129</v>
      </c>
      <c r="G88" s="615">
        <f t="shared" si="14"/>
        <v>0</v>
      </c>
      <c r="H88" s="615">
        <f t="shared" si="20"/>
        <v>0</v>
      </c>
      <c r="I88" s="615">
        <f t="shared" si="14"/>
        <v>9.9000000000000005E-2</v>
      </c>
      <c r="J88" s="615">
        <f t="shared" si="20"/>
        <v>2.7E-2</v>
      </c>
      <c r="K88" s="615">
        <f t="shared" si="20"/>
        <v>8.9999999999999993E-3</v>
      </c>
      <c r="L88" s="615">
        <f t="shared" si="20"/>
        <v>7.1999999999999995E-2</v>
      </c>
      <c r="M88" s="615">
        <f t="shared" si="20"/>
        <v>3.3000000000000002E-2</v>
      </c>
      <c r="N88" s="615">
        <f t="shared" si="20"/>
        <v>0.04</v>
      </c>
      <c r="O88" s="615">
        <f t="shared" si="20"/>
        <v>0.156</v>
      </c>
      <c r="P88" s="622">
        <f t="shared" si="15"/>
        <v>1</v>
      </c>
      <c r="S88" s="621">
        <f t="shared" si="18"/>
        <v>2075</v>
      </c>
      <c r="T88" s="623">
        <v>0</v>
      </c>
      <c r="U88" s="623">
        <v>5</v>
      </c>
      <c r="V88" s="624">
        <f t="shared" si="19"/>
        <v>0</v>
      </c>
      <c r="W88" s="625">
        <v>1</v>
      </c>
      <c r="X88" s="626">
        <f t="shared" si="16"/>
        <v>0</v>
      </c>
    </row>
    <row r="89" spans="2:24">
      <c r="B89" s="621">
        <f t="shared" si="17"/>
        <v>2076</v>
      </c>
      <c r="C89" s="627"/>
      <c r="D89" s="614">
        <v>1</v>
      </c>
      <c r="E89" s="615">
        <f t="shared" si="20"/>
        <v>0.435</v>
      </c>
      <c r="F89" s="615">
        <f t="shared" si="20"/>
        <v>0.129</v>
      </c>
      <c r="G89" s="615">
        <f t="shared" si="20"/>
        <v>0</v>
      </c>
      <c r="H89" s="615">
        <f t="shared" si="20"/>
        <v>0</v>
      </c>
      <c r="I89" s="615">
        <f t="shared" si="20"/>
        <v>9.9000000000000005E-2</v>
      </c>
      <c r="J89" s="615">
        <f t="shared" si="20"/>
        <v>2.7E-2</v>
      </c>
      <c r="K89" s="615">
        <f t="shared" si="20"/>
        <v>8.9999999999999993E-3</v>
      </c>
      <c r="L89" s="615">
        <f t="shared" si="20"/>
        <v>7.1999999999999995E-2</v>
      </c>
      <c r="M89" s="615">
        <f t="shared" si="20"/>
        <v>3.3000000000000002E-2</v>
      </c>
      <c r="N89" s="615">
        <f t="shared" si="20"/>
        <v>0.04</v>
      </c>
      <c r="O89" s="615">
        <f t="shared" si="20"/>
        <v>0.156</v>
      </c>
      <c r="P89" s="622">
        <f t="shared" si="15"/>
        <v>1</v>
      </c>
      <c r="S89" s="621">
        <f t="shared" si="18"/>
        <v>2076</v>
      </c>
      <c r="T89" s="623">
        <v>0</v>
      </c>
      <c r="U89" s="623">
        <v>5</v>
      </c>
      <c r="V89" s="624">
        <f t="shared" si="19"/>
        <v>0</v>
      </c>
      <c r="W89" s="625">
        <v>1</v>
      </c>
      <c r="X89" s="626">
        <f t="shared" si="16"/>
        <v>0</v>
      </c>
    </row>
    <row r="90" spans="2:24">
      <c r="B90" s="621">
        <f t="shared" si="17"/>
        <v>2077</v>
      </c>
      <c r="C90" s="627"/>
      <c r="D90" s="614">
        <v>1</v>
      </c>
      <c r="E90" s="615">
        <f t="shared" si="20"/>
        <v>0.435</v>
      </c>
      <c r="F90" s="615">
        <f t="shared" si="20"/>
        <v>0.129</v>
      </c>
      <c r="G90" s="615">
        <f t="shared" si="20"/>
        <v>0</v>
      </c>
      <c r="H90" s="615">
        <f t="shared" si="20"/>
        <v>0</v>
      </c>
      <c r="I90" s="615">
        <f t="shared" si="20"/>
        <v>9.9000000000000005E-2</v>
      </c>
      <c r="J90" s="615">
        <f t="shared" si="20"/>
        <v>2.7E-2</v>
      </c>
      <c r="K90" s="615">
        <f t="shared" si="20"/>
        <v>8.9999999999999993E-3</v>
      </c>
      <c r="L90" s="615">
        <f t="shared" si="20"/>
        <v>7.1999999999999995E-2</v>
      </c>
      <c r="M90" s="615">
        <f t="shared" si="20"/>
        <v>3.3000000000000002E-2</v>
      </c>
      <c r="N90" s="615">
        <f t="shared" si="20"/>
        <v>0.04</v>
      </c>
      <c r="O90" s="615">
        <f t="shared" si="20"/>
        <v>0.156</v>
      </c>
      <c r="P90" s="622">
        <f t="shared" si="15"/>
        <v>1</v>
      </c>
      <c r="S90" s="621">
        <f t="shared" si="18"/>
        <v>2077</v>
      </c>
      <c r="T90" s="623">
        <v>0</v>
      </c>
      <c r="U90" s="623">
        <v>5</v>
      </c>
      <c r="V90" s="624">
        <f t="shared" si="19"/>
        <v>0</v>
      </c>
      <c r="W90" s="625">
        <v>1</v>
      </c>
      <c r="X90" s="626">
        <f t="shared" si="16"/>
        <v>0</v>
      </c>
    </row>
    <row r="91" spans="2:24">
      <c r="B91" s="621">
        <f t="shared" si="17"/>
        <v>2078</v>
      </c>
      <c r="C91" s="627"/>
      <c r="D91" s="614">
        <v>1</v>
      </c>
      <c r="E91" s="615">
        <f t="shared" si="20"/>
        <v>0.435</v>
      </c>
      <c r="F91" s="615">
        <f t="shared" si="20"/>
        <v>0.129</v>
      </c>
      <c r="G91" s="615">
        <f t="shared" si="20"/>
        <v>0</v>
      </c>
      <c r="H91" s="615">
        <f t="shared" si="20"/>
        <v>0</v>
      </c>
      <c r="I91" s="615">
        <f t="shared" si="20"/>
        <v>9.9000000000000005E-2</v>
      </c>
      <c r="J91" s="615">
        <f t="shared" si="20"/>
        <v>2.7E-2</v>
      </c>
      <c r="K91" s="615">
        <f t="shared" si="20"/>
        <v>8.9999999999999993E-3</v>
      </c>
      <c r="L91" s="615">
        <f t="shared" si="20"/>
        <v>7.1999999999999995E-2</v>
      </c>
      <c r="M91" s="615">
        <f t="shared" si="20"/>
        <v>3.3000000000000002E-2</v>
      </c>
      <c r="N91" s="615">
        <f t="shared" si="20"/>
        <v>0.04</v>
      </c>
      <c r="O91" s="615">
        <f t="shared" si="20"/>
        <v>0.156</v>
      </c>
      <c r="P91" s="622">
        <f t="shared" si="15"/>
        <v>1</v>
      </c>
      <c r="S91" s="621">
        <f t="shared" si="18"/>
        <v>2078</v>
      </c>
      <c r="T91" s="623">
        <v>0</v>
      </c>
      <c r="U91" s="623">
        <v>5</v>
      </c>
      <c r="V91" s="624">
        <f t="shared" si="19"/>
        <v>0</v>
      </c>
      <c r="W91" s="625">
        <v>1</v>
      </c>
      <c r="X91" s="626">
        <f t="shared" si="16"/>
        <v>0</v>
      </c>
    </row>
    <row r="92" spans="2:24">
      <c r="B92" s="621">
        <f t="shared" si="17"/>
        <v>2079</v>
      </c>
      <c r="C92" s="627"/>
      <c r="D92" s="614">
        <v>1</v>
      </c>
      <c r="E92" s="615">
        <f t="shared" si="20"/>
        <v>0.435</v>
      </c>
      <c r="F92" s="615">
        <f t="shared" si="20"/>
        <v>0.129</v>
      </c>
      <c r="G92" s="615">
        <f t="shared" si="20"/>
        <v>0</v>
      </c>
      <c r="H92" s="615">
        <f t="shared" si="20"/>
        <v>0</v>
      </c>
      <c r="I92" s="615">
        <f t="shared" si="20"/>
        <v>9.9000000000000005E-2</v>
      </c>
      <c r="J92" s="615">
        <f t="shared" si="20"/>
        <v>2.7E-2</v>
      </c>
      <c r="K92" s="615">
        <f t="shared" si="20"/>
        <v>8.9999999999999993E-3</v>
      </c>
      <c r="L92" s="615">
        <f t="shared" si="20"/>
        <v>7.1999999999999995E-2</v>
      </c>
      <c r="M92" s="615">
        <f t="shared" si="20"/>
        <v>3.3000000000000002E-2</v>
      </c>
      <c r="N92" s="615">
        <f t="shared" si="20"/>
        <v>0.04</v>
      </c>
      <c r="O92" s="615">
        <f t="shared" si="20"/>
        <v>0.156</v>
      </c>
      <c r="P92" s="622">
        <f t="shared" si="15"/>
        <v>1</v>
      </c>
      <c r="S92" s="621">
        <f t="shared" si="18"/>
        <v>2079</v>
      </c>
      <c r="T92" s="623">
        <v>0</v>
      </c>
      <c r="U92" s="623">
        <v>5</v>
      </c>
      <c r="V92" s="624">
        <f t="shared" si="19"/>
        <v>0</v>
      </c>
      <c r="W92" s="625">
        <v>1</v>
      </c>
      <c r="X92" s="626">
        <f t="shared" si="16"/>
        <v>0</v>
      </c>
    </row>
    <row r="93" spans="2:24" ht="13.5" thickBot="1">
      <c r="B93" s="628">
        <f t="shared" si="17"/>
        <v>2080</v>
      </c>
      <c r="C93" s="629"/>
      <c r="D93" s="614">
        <v>1</v>
      </c>
      <c r="E93" s="630">
        <f t="shared" si="20"/>
        <v>0.435</v>
      </c>
      <c r="F93" s="630">
        <f t="shared" si="20"/>
        <v>0.129</v>
      </c>
      <c r="G93" s="630">
        <f t="shared" si="20"/>
        <v>0</v>
      </c>
      <c r="H93" s="630">
        <f t="shared" si="20"/>
        <v>0</v>
      </c>
      <c r="I93" s="630">
        <f t="shared" si="20"/>
        <v>9.9000000000000005E-2</v>
      </c>
      <c r="J93" s="630">
        <f t="shared" si="20"/>
        <v>2.7E-2</v>
      </c>
      <c r="K93" s="630">
        <f t="shared" si="20"/>
        <v>8.9999999999999993E-3</v>
      </c>
      <c r="L93" s="630">
        <f t="shared" si="20"/>
        <v>7.1999999999999995E-2</v>
      </c>
      <c r="M93" s="630">
        <f t="shared" si="20"/>
        <v>3.3000000000000002E-2</v>
      </c>
      <c r="N93" s="630">
        <f t="shared" si="20"/>
        <v>0.04</v>
      </c>
      <c r="O93" s="631">
        <f t="shared" si="20"/>
        <v>0.156</v>
      </c>
      <c r="P93" s="632">
        <f t="shared" si="15"/>
        <v>1</v>
      </c>
      <c r="S93" s="628">
        <f t="shared" si="18"/>
        <v>2080</v>
      </c>
      <c r="T93" s="633">
        <v>0</v>
      </c>
      <c r="U93" s="634">
        <v>5</v>
      </c>
      <c r="V93" s="635">
        <f t="shared" si="19"/>
        <v>0</v>
      </c>
      <c r="W93" s="636">
        <v>1</v>
      </c>
      <c r="X93" s="637">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5" t="str">
        <f>city</f>
        <v>Balikpapan</v>
      </c>
      <c r="J2" s="826"/>
      <c r="K2" s="826"/>
      <c r="L2" s="826"/>
      <c r="M2" s="826"/>
      <c r="N2" s="826"/>
      <c r="O2" s="826"/>
    </row>
    <row r="3" spans="2:16" ht="16.5" thickBot="1">
      <c r="C3" s="4"/>
      <c r="H3" s="5" t="s">
        <v>276</v>
      </c>
      <c r="I3" s="825" t="str">
        <f>province</f>
        <v>Kalimantan Timur</v>
      </c>
      <c r="J3" s="826"/>
      <c r="K3" s="826"/>
      <c r="L3" s="826"/>
      <c r="M3" s="826"/>
      <c r="N3" s="826"/>
      <c r="O3" s="826"/>
    </row>
    <row r="4" spans="2:16" ht="16.5" thickBot="1">
      <c r="D4" s="4"/>
      <c r="E4" s="4"/>
      <c r="H4" s="5" t="s">
        <v>30</v>
      </c>
      <c r="I4" s="825" t="str">
        <f>country</f>
        <v>Indonesia</v>
      </c>
      <c r="J4" s="826"/>
      <c r="K4" s="826"/>
      <c r="L4" s="826"/>
      <c r="M4" s="826"/>
      <c r="N4" s="826"/>
      <c r="O4" s="826"/>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31" t="s">
        <v>32</v>
      </c>
      <c r="D10" s="832"/>
      <c r="E10" s="832"/>
      <c r="F10" s="832"/>
      <c r="G10" s="832"/>
      <c r="H10" s="832"/>
      <c r="I10" s="832"/>
      <c r="J10" s="832"/>
      <c r="K10" s="832"/>
      <c r="L10" s="832"/>
      <c r="M10" s="832"/>
      <c r="N10" s="832"/>
      <c r="O10" s="832"/>
      <c r="P10" s="833"/>
    </row>
    <row r="11" spans="2:16" ht="13.5" customHeight="1" thickBot="1">
      <c r="C11" s="814" t="s">
        <v>228</v>
      </c>
      <c r="D11" s="814" t="s">
        <v>262</v>
      </c>
      <c r="E11" s="814" t="s">
        <v>267</v>
      </c>
      <c r="F11" s="814" t="s">
        <v>261</v>
      </c>
      <c r="G11" s="814" t="s">
        <v>2</v>
      </c>
      <c r="H11" s="814" t="s">
        <v>16</v>
      </c>
      <c r="I11" s="814" t="s">
        <v>229</v>
      </c>
      <c r="J11" s="827" t="s">
        <v>273</v>
      </c>
      <c r="K11" s="828"/>
      <c r="L11" s="828"/>
      <c r="M11" s="829"/>
      <c r="N11" s="814" t="s">
        <v>146</v>
      </c>
      <c r="O11" s="814" t="s">
        <v>210</v>
      </c>
      <c r="P11" s="813" t="s">
        <v>308</v>
      </c>
    </row>
    <row r="12" spans="2:16" s="1" customFormat="1">
      <c r="B12" s="365" t="s">
        <v>1</v>
      </c>
      <c r="C12" s="830"/>
      <c r="D12" s="830"/>
      <c r="E12" s="830"/>
      <c r="F12" s="830"/>
      <c r="G12" s="830"/>
      <c r="H12" s="830"/>
      <c r="I12" s="830"/>
      <c r="J12" s="369" t="s">
        <v>230</v>
      </c>
      <c r="K12" s="369" t="s">
        <v>231</v>
      </c>
      <c r="L12" s="369" t="s">
        <v>232</v>
      </c>
      <c r="M12" s="365" t="s">
        <v>233</v>
      </c>
      <c r="N12" s="830"/>
      <c r="O12" s="830"/>
      <c r="P12" s="830"/>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10.90928385162</v>
      </c>
      <c r="D14" s="549">
        <f>Activity!$C13*Activity!$D13*Activity!F13</f>
        <v>3.2351669353079999</v>
      </c>
      <c r="E14" s="549">
        <f>Activity!$C13*Activity!$D13*Activity!G13</f>
        <v>0</v>
      </c>
      <c r="F14" s="549">
        <f>Activity!$C13*Activity!$D13*Activity!H13</f>
        <v>0</v>
      </c>
      <c r="G14" s="549">
        <f>Activity!$C13*Activity!$D13*Activity!I13</f>
        <v>2.4828025317479998</v>
      </c>
      <c r="H14" s="549">
        <f>Activity!$C13*Activity!$D13*Activity!J13</f>
        <v>0.67712796320399993</v>
      </c>
      <c r="I14" s="549">
        <f>Activity!$C13*Activity!$D13*Activity!K13</f>
        <v>0.22570932106799996</v>
      </c>
      <c r="J14" s="549">
        <f>Activity!$C13*Activity!$D13*Activity!L13</f>
        <v>1.8056745685439997</v>
      </c>
      <c r="K14" s="550">
        <f>Activity!$C13*Activity!$D13*Activity!M13</f>
        <v>0.82760084391599997</v>
      </c>
      <c r="L14" s="550">
        <f>Activity!$C13*Activity!$D13*Activity!N13</f>
        <v>1.0031525380799999</v>
      </c>
      <c r="M14" s="549">
        <f>Activity!$C13*Activity!$D13*Activity!O13</f>
        <v>3.9122948985119996</v>
      </c>
      <c r="N14" s="412">
        <v>0</v>
      </c>
      <c r="O14" s="557">
        <f>Activity!C13*Activity!D13</f>
        <v>25.078813451999999</v>
      </c>
      <c r="P14" s="558">
        <f>Activity!X13</f>
        <v>0</v>
      </c>
    </row>
    <row r="15" spans="2:16">
      <c r="B15" s="34">
        <f>B14+1</f>
        <v>2001</v>
      </c>
      <c r="C15" s="551">
        <f>Activity!$C14*Activity!$D14*Activity!E14</f>
        <v>11.0490443613</v>
      </c>
      <c r="D15" s="552">
        <f>Activity!$C14*Activity!$D14*Activity!F14</f>
        <v>3.2766131554199998</v>
      </c>
      <c r="E15" s="550">
        <f>Activity!$C14*Activity!$D14*Activity!G14</f>
        <v>0</v>
      </c>
      <c r="F15" s="552">
        <f>Activity!$C14*Activity!$D14*Activity!H14</f>
        <v>0</v>
      </c>
      <c r="G15" s="552">
        <f>Activity!$C14*Activity!$D14*Activity!I14</f>
        <v>2.5146100960200002</v>
      </c>
      <c r="H15" s="552">
        <f>Activity!$C14*Activity!$D14*Activity!J14</f>
        <v>0.68580275345999997</v>
      </c>
      <c r="I15" s="552">
        <f>Activity!$C14*Activity!$D14*Activity!K14</f>
        <v>0.22860091781999997</v>
      </c>
      <c r="J15" s="553">
        <f>Activity!$C14*Activity!$D14*Activity!L14</f>
        <v>1.8288073425599998</v>
      </c>
      <c r="K15" s="552">
        <f>Activity!$C14*Activity!$D14*Activity!M14</f>
        <v>0.83820336533999995</v>
      </c>
      <c r="L15" s="552">
        <f>Activity!$C14*Activity!$D14*Activity!N14</f>
        <v>1.0160040792</v>
      </c>
      <c r="M15" s="550">
        <f>Activity!$C14*Activity!$D14*Activity!O14</f>
        <v>3.9624159088799997</v>
      </c>
      <c r="N15" s="413">
        <v>0</v>
      </c>
      <c r="O15" s="552">
        <f>Activity!C14*Activity!D14</f>
        <v>25.400101979999999</v>
      </c>
      <c r="P15" s="559">
        <f>Activity!X14</f>
        <v>0</v>
      </c>
    </row>
    <row r="16" spans="2:16">
      <c r="B16" s="7">
        <f t="shared" ref="B16:B21" si="0">B15+1</f>
        <v>2002</v>
      </c>
      <c r="C16" s="551">
        <f>Activity!$C15*Activity!$D15*Activity!E15</f>
        <v>11.298022936200001</v>
      </c>
      <c r="D16" s="552">
        <f>Activity!$C15*Activity!$D15*Activity!F15</f>
        <v>3.3504481810800004</v>
      </c>
      <c r="E16" s="550">
        <f>Activity!$C15*Activity!$D15*Activity!G15</f>
        <v>0</v>
      </c>
      <c r="F16" s="552">
        <f>Activity!$C15*Activity!$D15*Activity!H15</f>
        <v>0</v>
      </c>
      <c r="G16" s="552">
        <f>Activity!$C15*Activity!$D15*Activity!I15</f>
        <v>2.5712741854800001</v>
      </c>
      <c r="H16" s="552">
        <f>Activity!$C15*Activity!$D15*Activity!J15</f>
        <v>0.70125659604000001</v>
      </c>
      <c r="I16" s="552">
        <f>Activity!$C15*Activity!$D15*Activity!K15</f>
        <v>0.23375219868</v>
      </c>
      <c r="J16" s="553">
        <f>Activity!$C15*Activity!$D15*Activity!L15</f>
        <v>1.87001758944</v>
      </c>
      <c r="K16" s="552">
        <f>Activity!$C15*Activity!$D15*Activity!M15</f>
        <v>0.8570913951600001</v>
      </c>
      <c r="L16" s="552">
        <f>Activity!$C15*Activity!$D15*Activity!N15</f>
        <v>1.0388986608000002</v>
      </c>
      <c r="M16" s="550">
        <f>Activity!$C15*Activity!$D15*Activity!O15</f>
        <v>4.0517047771200003</v>
      </c>
      <c r="N16" s="413">
        <v>0</v>
      </c>
      <c r="O16" s="552">
        <f>Activity!C15*Activity!D15</f>
        <v>25.972466520000001</v>
      </c>
      <c r="P16" s="559">
        <f>Activity!X15</f>
        <v>0</v>
      </c>
    </row>
    <row r="17" spans="2:16">
      <c r="B17" s="7">
        <f t="shared" si="0"/>
        <v>2003</v>
      </c>
      <c r="C17" s="551">
        <f>Activity!$C16*Activity!$D16*Activity!E16</f>
        <v>11.498841519660001</v>
      </c>
      <c r="D17" s="552">
        <f>Activity!$C16*Activity!$D16*Activity!F16</f>
        <v>3.4100012782440006</v>
      </c>
      <c r="E17" s="550">
        <f>Activity!$C16*Activity!$D16*Activity!G16</f>
        <v>0</v>
      </c>
      <c r="F17" s="552">
        <f>Activity!$C16*Activity!$D16*Activity!H16</f>
        <v>0</v>
      </c>
      <c r="G17" s="552">
        <f>Activity!$C16*Activity!$D16*Activity!I16</f>
        <v>2.6169777251640003</v>
      </c>
      <c r="H17" s="552">
        <f>Activity!$C16*Activity!$D16*Activity!J16</f>
        <v>0.71372119777200005</v>
      </c>
      <c r="I17" s="552">
        <f>Activity!$C16*Activity!$D16*Activity!K16</f>
        <v>0.23790706592399999</v>
      </c>
      <c r="J17" s="553">
        <f>Activity!$C16*Activity!$D16*Activity!L16</f>
        <v>1.9032565273919999</v>
      </c>
      <c r="K17" s="552">
        <f>Activity!$C16*Activity!$D16*Activity!M16</f>
        <v>0.87232590838800006</v>
      </c>
      <c r="L17" s="552">
        <f>Activity!$C16*Activity!$D16*Activity!N16</f>
        <v>1.0573647374400001</v>
      </c>
      <c r="M17" s="550">
        <f>Activity!$C16*Activity!$D16*Activity!O16</f>
        <v>4.1237224760160007</v>
      </c>
      <c r="N17" s="413">
        <v>0</v>
      </c>
      <c r="O17" s="552">
        <f>Activity!C16*Activity!D16</f>
        <v>26.434118436000002</v>
      </c>
      <c r="P17" s="559">
        <f>Activity!X16</f>
        <v>0</v>
      </c>
    </row>
    <row r="18" spans="2:16">
      <c r="B18" s="7">
        <f t="shared" si="0"/>
        <v>2004</v>
      </c>
      <c r="C18" s="551">
        <f>Activity!$C17*Activity!$D17*Activity!E17</f>
        <v>11.560355450819999</v>
      </c>
      <c r="D18" s="552">
        <f>Activity!$C17*Activity!$D17*Activity!F17</f>
        <v>3.4282433405880002</v>
      </c>
      <c r="E18" s="550">
        <f>Activity!$C17*Activity!$D17*Activity!G17</f>
        <v>0</v>
      </c>
      <c r="F18" s="552">
        <f>Activity!$C17*Activity!$D17*Activity!H17</f>
        <v>0</v>
      </c>
      <c r="G18" s="552">
        <f>Activity!$C17*Activity!$D17*Activity!I17</f>
        <v>2.6309774474280001</v>
      </c>
      <c r="H18" s="552">
        <f>Activity!$C17*Activity!$D17*Activity!J17</f>
        <v>0.717539303844</v>
      </c>
      <c r="I18" s="552">
        <f>Activity!$C17*Activity!$D17*Activity!K17</f>
        <v>0.23917976794799997</v>
      </c>
      <c r="J18" s="553">
        <f>Activity!$C17*Activity!$D17*Activity!L17</f>
        <v>1.9134381435839998</v>
      </c>
      <c r="K18" s="552">
        <f>Activity!$C17*Activity!$D17*Activity!M17</f>
        <v>0.87699248247600003</v>
      </c>
      <c r="L18" s="552">
        <f>Activity!$C17*Activity!$D17*Activity!N17</f>
        <v>1.06302119088</v>
      </c>
      <c r="M18" s="550">
        <f>Activity!$C17*Activity!$D17*Activity!O17</f>
        <v>4.1457826444319998</v>
      </c>
      <c r="N18" s="413">
        <v>0</v>
      </c>
      <c r="O18" s="552">
        <f>Activity!C17*Activity!D17</f>
        <v>26.575529771999999</v>
      </c>
      <c r="P18" s="559">
        <f>Activity!X17</f>
        <v>0</v>
      </c>
    </row>
    <row r="19" spans="2:16">
      <c r="B19" s="7">
        <f t="shared" si="0"/>
        <v>2005</v>
      </c>
      <c r="C19" s="551">
        <f>Activity!$C18*Activity!$D18*Activity!E18</f>
        <v>12.805033804200001</v>
      </c>
      <c r="D19" s="552">
        <f>Activity!$C18*Activity!$D18*Activity!F18</f>
        <v>3.7973548522800002</v>
      </c>
      <c r="E19" s="550">
        <f>Activity!$C18*Activity!$D18*Activity!G18</f>
        <v>0</v>
      </c>
      <c r="F19" s="552">
        <f>Activity!$C18*Activity!$D18*Activity!H18</f>
        <v>0</v>
      </c>
      <c r="G19" s="552">
        <f>Activity!$C18*Activity!$D18*Activity!I18</f>
        <v>2.9142490726800001</v>
      </c>
      <c r="H19" s="552">
        <f>Activity!$C18*Activity!$D18*Activity!J18</f>
        <v>0.79479520163999995</v>
      </c>
      <c r="I19" s="552">
        <f>Activity!$C18*Activity!$D18*Activity!K18</f>
        <v>0.26493173387999996</v>
      </c>
      <c r="J19" s="553">
        <f>Activity!$C18*Activity!$D18*Activity!L18</f>
        <v>2.1194538710399997</v>
      </c>
      <c r="K19" s="552">
        <f>Activity!$C18*Activity!$D18*Activity!M18</f>
        <v>0.97141635756</v>
      </c>
      <c r="L19" s="552">
        <f>Activity!$C18*Activity!$D18*Activity!N18</f>
        <v>1.1774743728000001</v>
      </c>
      <c r="M19" s="550">
        <f>Activity!$C18*Activity!$D18*Activity!O18</f>
        <v>4.5921500539200002</v>
      </c>
      <c r="N19" s="413">
        <v>0</v>
      </c>
      <c r="O19" s="552">
        <f>Activity!C18*Activity!D18</f>
        <v>29.43685932</v>
      </c>
      <c r="P19" s="559">
        <f>Activity!X18</f>
        <v>0</v>
      </c>
    </row>
    <row r="20" spans="2:16">
      <c r="B20" s="7">
        <f t="shared" si="0"/>
        <v>2006</v>
      </c>
      <c r="C20" s="551">
        <f>Activity!$C19*Activity!$D19*Activity!E19</f>
        <v>13.068438924420001</v>
      </c>
      <c r="D20" s="552">
        <f>Activity!$C19*Activity!$D19*Activity!F19</f>
        <v>3.8754680948280003</v>
      </c>
      <c r="E20" s="550">
        <f>Activity!$C19*Activity!$D19*Activity!G19</f>
        <v>0</v>
      </c>
      <c r="F20" s="552">
        <f>Activity!$C19*Activity!$D19*Activity!H19</f>
        <v>0</v>
      </c>
      <c r="G20" s="552">
        <f>Activity!$C19*Activity!$D19*Activity!I19</f>
        <v>2.9741964448680003</v>
      </c>
      <c r="H20" s="552">
        <f>Activity!$C19*Activity!$D19*Activity!J19</f>
        <v>0.81114448496400005</v>
      </c>
      <c r="I20" s="552">
        <f>Activity!$C19*Activity!$D19*Activity!K19</f>
        <v>0.27038149498800002</v>
      </c>
      <c r="J20" s="553">
        <f>Activity!$C19*Activity!$D19*Activity!L19</f>
        <v>2.1630519599040001</v>
      </c>
      <c r="K20" s="552">
        <f>Activity!$C19*Activity!$D19*Activity!M19</f>
        <v>0.99139881495600013</v>
      </c>
      <c r="L20" s="552">
        <f>Activity!$C19*Activity!$D19*Activity!N19</f>
        <v>1.2016955332800001</v>
      </c>
      <c r="M20" s="550">
        <f>Activity!$C19*Activity!$D19*Activity!O19</f>
        <v>4.6866125797920004</v>
      </c>
      <c r="N20" s="413">
        <v>0</v>
      </c>
      <c r="O20" s="552">
        <f>Activity!C19*Activity!D19</f>
        <v>30.042388332000002</v>
      </c>
      <c r="P20" s="559">
        <f>Activity!X19</f>
        <v>0</v>
      </c>
    </row>
    <row r="21" spans="2:16">
      <c r="B21" s="7">
        <f t="shared" si="0"/>
        <v>2007</v>
      </c>
      <c r="C21" s="551">
        <f>Activity!$C20*Activity!$D20*Activity!E20</f>
        <v>13.33162952352</v>
      </c>
      <c r="D21" s="552">
        <f>Activity!$C20*Activity!$D20*Activity!F20</f>
        <v>3.9535177207680006</v>
      </c>
      <c r="E21" s="550">
        <f>Activity!$C20*Activity!$D20*Activity!G20</f>
        <v>0</v>
      </c>
      <c r="F21" s="552">
        <f>Activity!$C20*Activity!$D20*Activity!H20</f>
        <v>0</v>
      </c>
      <c r="G21" s="552">
        <f>Activity!$C20*Activity!$D20*Activity!I20</f>
        <v>3.0340949950080005</v>
      </c>
      <c r="H21" s="552">
        <f>Activity!$C20*Activity!$D20*Activity!J20</f>
        <v>0.8274804531840001</v>
      </c>
      <c r="I21" s="552">
        <f>Activity!$C20*Activity!$D20*Activity!K20</f>
        <v>0.275826817728</v>
      </c>
      <c r="J21" s="553">
        <f>Activity!$C20*Activity!$D20*Activity!L20</f>
        <v>2.206614541824</v>
      </c>
      <c r="K21" s="552">
        <f>Activity!$C20*Activity!$D20*Activity!M20</f>
        <v>1.0113649983360002</v>
      </c>
      <c r="L21" s="552">
        <f>Activity!$C20*Activity!$D20*Activity!N20</f>
        <v>1.2258969676800002</v>
      </c>
      <c r="M21" s="550">
        <f>Activity!$C20*Activity!$D20*Activity!O20</f>
        <v>4.7809981739520007</v>
      </c>
      <c r="N21" s="413">
        <v>0</v>
      </c>
      <c r="O21" s="552">
        <f>Activity!C20*Activity!D20</f>
        <v>30.647424192000003</v>
      </c>
      <c r="P21" s="559">
        <f>Activity!X20</f>
        <v>0</v>
      </c>
    </row>
    <row r="22" spans="2:16">
      <c r="B22" s="7">
        <f t="shared" ref="B22:B85" si="1">B21+1</f>
        <v>2008</v>
      </c>
      <c r="C22" s="551">
        <f>Activity!$C21*Activity!$D21*Activity!E21</f>
        <v>13.5929966931</v>
      </c>
      <c r="D22" s="552">
        <f>Activity!$C21*Activity!$D21*Activity!F21</f>
        <v>4.0310266055400001</v>
      </c>
      <c r="E22" s="550">
        <f>Activity!$C21*Activity!$D21*Activity!G21</f>
        <v>0</v>
      </c>
      <c r="F22" s="552">
        <f>Activity!$C21*Activity!$D21*Activity!H21</f>
        <v>0</v>
      </c>
      <c r="G22" s="552">
        <f>Activity!$C21*Activity!$D21*Activity!I21</f>
        <v>3.0935785577399999</v>
      </c>
      <c r="H22" s="552">
        <f>Activity!$C21*Activity!$D21*Activity!J21</f>
        <v>0.84370324301999999</v>
      </c>
      <c r="I22" s="552">
        <f>Activity!$C21*Activity!$D21*Activity!K21</f>
        <v>0.28123441433999996</v>
      </c>
      <c r="J22" s="553">
        <f>Activity!$C21*Activity!$D21*Activity!L21</f>
        <v>2.2498753147199997</v>
      </c>
      <c r="K22" s="552">
        <f>Activity!$C21*Activity!$D21*Activity!M21</f>
        <v>1.03119285258</v>
      </c>
      <c r="L22" s="552">
        <f>Activity!$C21*Activity!$D21*Activity!N21</f>
        <v>1.2499307304</v>
      </c>
      <c r="M22" s="550">
        <f>Activity!$C21*Activity!$D21*Activity!O21</f>
        <v>4.8747298485600004</v>
      </c>
      <c r="N22" s="413">
        <v>0</v>
      </c>
      <c r="O22" s="552">
        <f>Activity!C21*Activity!D21</f>
        <v>31.24826826</v>
      </c>
      <c r="P22" s="559">
        <f>Activity!X21</f>
        <v>0</v>
      </c>
    </row>
    <row r="23" spans="2:16">
      <c r="B23" s="7">
        <f t="shared" si="1"/>
        <v>2009</v>
      </c>
      <c r="C23" s="551">
        <f>Activity!$C22*Activity!$D22*Activity!E22</f>
        <v>13.85060974308</v>
      </c>
      <c r="D23" s="552">
        <f>Activity!$C22*Activity!$D22*Activity!F22</f>
        <v>4.1074221996720004</v>
      </c>
      <c r="E23" s="550">
        <f>Activity!$C22*Activity!$D22*Activity!G22</f>
        <v>0</v>
      </c>
      <c r="F23" s="552">
        <f>Activity!$C22*Activity!$D22*Activity!H22</f>
        <v>0</v>
      </c>
      <c r="G23" s="552">
        <f>Activity!$C22*Activity!$D22*Activity!I22</f>
        <v>3.1522077346320003</v>
      </c>
      <c r="H23" s="552">
        <f>Activity!$C22*Activity!$D22*Activity!J22</f>
        <v>0.859693018536</v>
      </c>
      <c r="I23" s="552">
        <f>Activity!$C22*Activity!$D22*Activity!K22</f>
        <v>0.286564339512</v>
      </c>
      <c r="J23" s="553">
        <f>Activity!$C22*Activity!$D22*Activity!L22</f>
        <v>2.292514716096</v>
      </c>
      <c r="K23" s="552">
        <f>Activity!$C22*Activity!$D22*Activity!M22</f>
        <v>1.050735911544</v>
      </c>
      <c r="L23" s="552">
        <f>Activity!$C22*Activity!$D22*Activity!N22</f>
        <v>1.27361928672</v>
      </c>
      <c r="M23" s="550">
        <f>Activity!$C22*Activity!$D22*Activity!O22</f>
        <v>4.9671152182079998</v>
      </c>
      <c r="N23" s="413">
        <v>0</v>
      </c>
      <c r="O23" s="552">
        <f>Activity!C22*Activity!D22</f>
        <v>31.840482168000001</v>
      </c>
      <c r="P23" s="559">
        <f>Activity!X22</f>
        <v>0</v>
      </c>
    </row>
    <row r="24" spans="2:16">
      <c r="B24" s="7">
        <f t="shared" si="1"/>
        <v>2010</v>
      </c>
      <c r="C24" s="551">
        <f>Activity!$C23*Activity!$D23*Activity!E23</f>
        <v>14.951558946060002</v>
      </c>
      <c r="D24" s="552">
        <f>Activity!$C23*Activity!$D23*Activity!F23</f>
        <v>4.4339105840040007</v>
      </c>
      <c r="E24" s="550">
        <f>Activity!$C23*Activity!$D23*Activity!G23</f>
        <v>0</v>
      </c>
      <c r="F24" s="552">
        <f>Activity!$C23*Activity!$D23*Activity!H23</f>
        <v>0</v>
      </c>
      <c r="G24" s="552">
        <f>Activity!$C23*Activity!$D23*Activity!I23</f>
        <v>3.4027685877240006</v>
      </c>
      <c r="H24" s="552">
        <f>Activity!$C23*Activity!$D23*Activity!J23</f>
        <v>0.92802779665200008</v>
      </c>
      <c r="I24" s="552">
        <f>Activity!$C23*Activity!$D23*Activity!K23</f>
        <v>0.30934259888400001</v>
      </c>
      <c r="J24" s="553">
        <f>Activity!$C23*Activity!$D23*Activity!L23</f>
        <v>2.4747407910720001</v>
      </c>
      <c r="K24" s="552">
        <f>Activity!$C23*Activity!$D23*Activity!M23</f>
        <v>1.1342561959080002</v>
      </c>
      <c r="L24" s="552">
        <f>Activity!$C23*Activity!$D23*Activity!N23</f>
        <v>1.3748559950400003</v>
      </c>
      <c r="M24" s="550">
        <f>Activity!$C23*Activity!$D23*Activity!O23</f>
        <v>5.3619383806560004</v>
      </c>
      <c r="N24" s="413">
        <v>0</v>
      </c>
      <c r="O24" s="552">
        <f>Activity!C23*Activity!D23</f>
        <v>34.371399876000005</v>
      </c>
      <c r="P24" s="559">
        <f>Activity!X23</f>
        <v>0</v>
      </c>
    </row>
    <row r="25" spans="2:16">
      <c r="B25" s="7">
        <f t="shared" si="1"/>
        <v>2011</v>
      </c>
      <c r="C25" s="551">
        <f>Activity!$C24*Activity!$D24*Activity!E24</f>
        <v>15.343194065759999</v>
      </c>
      <c r="D25" s="552">
        <f>Activity!$C24*Activity!$D24*Activity!F24</f>
        <v>4.550050653984</v>
      </c>
      <c r="E25" s="550">
        <f>Activity!$C24*Activity!$D24*Activity!G24</f>
        <v>0</v>
      </c>
      <c r="F25" s="552">
        <f>Activity!$C24*Activity!$D24*Activity!H24</f>
        <v>0</v>
      </c>
      <c r="G25" s="552">
        <f>Activity!$C24*Activity!$D24*Activity!I24</f>
        <v>3.4918993391040001</v>
      </c>
      <c r="H25" s="552">
        <f>Activity!$C24*Activity!$D24*Activity!J24</f>
        <v>0.95233618339199988</v>
      </c>
      <c r="I25" s="552">
        <f>Activity!$C24*Activity!$D24*Activity!K24</f>
        <v>0.31744539446399994</v>
      </c>
      <c r="J25" s="553">
        <f>Activity!$C24*Activity!$D24*Activity!L24</f>
        <v>2.5395631557119995</v>
      </c>
      <c r="K25" s="552">
        <f>Activity!$C24*Activity!$D24*Activity!M24</f>
        <v>1.163966446368</v>
      </c>
      <c r="L25" s="552">
        <f>Activity!$C24*Activity!$D24*Activity!N24</f>
        <v>1.4108684198399999</v>
      </c>
      <c r="M25" s="550">
        <f>Activity!$C24*Activity!$D24*Activity!O24</f>
        <v>5.5023868373759992</v>
      </c>
      <c r="N25" s="413">
        <v>0</v>
      </c>
      <c r="O25" s="552">
        <f>Activity!C24*Activity!D24</f>
        <v>35.271710495999997</v>
      </c>
      <c r="P25" s="559">
        <f>Activity!X24</f>
        <v>0</v>
      </c>
    </row>
    <row r="26" spans="2:16">
      <c r="B26" s="7">
        <f t="shared" si="1"/>
        <v>2012</v>
      </c>
      <c r="C26" s="551">
        <f>Activity!$C25*Activity!$D25*Activity!E25</f>
        <v>15.64052033808</v>
      </c>
      <c r="D26" s="552">
        <f>Activity!$C25*Activity!$D25*Activity!F25</f>
        <v>4.6382232726719996</v>
      </c>
      <c r="E26" s="550">
        <f>Activity!$C25*Activity!$D25*Activity!G25</f>
        <v>0</v>
      </c>
      <c r="F26" s="552">
        <f>Activity!$C25*Activity!$D25*Activity!H25</f>
        <v>0</v>
      </c>
      <c r="G26" s="552">
        <f>Activity!$C25*Activity!$D25*Activity!I25</f>
        <v>3.559566697632</v>
      </c>
      <c r="H26" s="552">
        <f>Activity!$C25*Activity!$D25*Activity!J25</f>
        <v>0.970790917536</v>
      </c>
      <c r="I26" s="552">
        <f>Activity!$C25*Activity!$D25*Activity!K25</f>
        <v>0.32359697251199998</v>
      </c>
      <c r="J26" s="553">
        <f>Activity!$C25*Activity!$D25*Activity!L25</f>
        <v>2.5887757800959998</v>
      </c>
      <c r="K26" s="552">
        <f>Activity!$C25*Activity!$D25*Activity!M25</f>
        <v>1.1865222325440001</v>
      </c>
      <c r="L26" s="552">
        <f>Activity!$C25*Activity!$D25*Activity!N25</f>
        <v>1.4382087667200001</v>
      </c>
      <c r="M26" s="550">
        <f>Activity!$C25*Activity!$D25*Activity!O25</f>
        <v>5.6090141902079997</v>
      </c>
      <c r="N26" s="413">
        <v>0</v>
      </c>
      <c r="O26" s="552">
        <f>Activity!C25*Activity!D25</f>
        <v>35.955219167999999</v>
      </c>
      <c r="P26" s="559">
        <f>Activity!X25</f>
        <v>0</v>
      </c>
    </row>
    <row r="27" spans="2:16">
      <c r="B27" s="7">
        <f t="shared" si="1"/>
        <v>2013</v>
      </c>
      <c r="C27" s="551">
        <f>Activity!$C26*Activity!$D26*Activity!E26</f>
        <v>15.93682763508</v>
      </c>
      <c r="D27" s="552">
        <f>Activity!$C26*Activity!$D26*Activity!F26</f>
        <v>4.7260937124720002</v>
      </c>
      <c r="E27" s="550">
        <f>Activity!$C26*Activity!$D26*Activity!G26</f>
        <v>0</v>
      </c>
      <c r="F27" s="552">
        <f>Activity!$C26*Activity!$D26*Activity!H26</f>
        <v>0</v>
      </c>
      <c r="G27" s="552">
        <f>Activity!$C26*Activity!$D26*Activity!I26</f>
        <v>3.6270021514319999</v>
      </c>
      <c r="H27" s="552">
        <f>Activity!$C26*Activity!$D26*Activity!J26</f>
        <v>0.98918240493599996</v>
      </c>
      <c r="I27" s="552">
        <f>Activity!$C26*Activity!$D26*Activity!K26</f>
        <v>0.32972746831199995</v>
      </c>
      <c r="J27" s="553">
        <f>Activity!$C26*Activity!$D26*Activity!L26</f>
        <v>2.6378197464959996</v>
      </c>
      <c r="K27" s="552">
        <f>Activity!$C26*Activity!$D26*Activity!M26</f>
        <v>1.209000717144</v>
      </c>
      <c r="L27" s="552">
        <f>Activity!$C26*Activity!$D26*Activity!N26</f>
        <v>1.4654554147200001</v>
      </c>
      <c r="M27" s="550">
        <f>Activity!$C26*Activity!$D26*Activity!O26</f>
        <v>5.715276117408</v>
      </c>
      <c r="N27" s="413">
        <v>0</v>
      </c>
      <c r="O27" s="552">
        <f>Activity!C26*Activity!D26</f>
        <v>36.636385367999999</v>
      </c>
      <c r="P27" s="559">
        <f>Activity!X26</f>
        <v>0</v>
      </c>
    </row>
    <row r="28" spans="2:16">
      <c r="B28" s="7">
        <f t="shared" si="1"/>
        <v>2014</v>
      </c>
      <c r="C28" s="551">
        <f>Activity!$C27*Activity!$D27*Activity!E27</f>
        <v>16.225733953439999</v>
      </c>
      <c r="D28" s="552">
        <f>Activity!$C27*Activity!$D27*Activity!F27</f>
        <v>4.8117693792959999</v>
      </c>
      <c r="E28" s="550">
        <f>Activity!$C27*Activity!$D27*Activity!G27</f>
        <v>0</v>
      </c>
      <c r="F28" s="552">
        <f>Activity!$C27*Activity!$D27*Activity!H27</f>
        <v>0</v>
      </c>
      <c r="G28" s="552">
        <f>Activity!$C27*Activity!$D27*Activity!I27</f>
        <v>3.6927532445759996</v>
      </c>
      <c r="H28" s="552">
        <f>Activity!$C27*Activity!$D27*Activity!J27</f>
        <v>1.0071145212479999</v>
      </c>
      <c r="I28" s="552">
        <f>Activity!$C27*Activity!$D27*Activity!K27</f>
        <v>0.33570484041599996</v>
      </c>
      <c r="J28" s="553">
        <f>Activity!$C27*Activity!$D27*Activity!L27</f>
        <v>2.6856387233279997</v>
      </c>
      <c r="K28" s="552">
        <f>Activity!$C27*Activity!$D27*Activity!M27</f>
        <v>1.2309177481919999</v>
      </c>
      <c r="L28" s="552">
        <f>Activity!$C27*Activity!$D27*Activity!N27</f>
        <v>1.4920215129599999</v>
      </c>
      <c r="M28" s="550">
        <f>Activity!$C27*Activity!$D27*Activity!O27</f>
        <v>5.818883900543999</v>
      </c>
      <c r="N28" s="413">
        <v>0</v>
      </c>
      <c r="O28" s="552">
        <f>Activity!C27*Activity!D27</f>
        <v>37.300537823999996</v>
      </c>
      <c r="P28" s="559">
        <f>Activity!X27</f>
        <v>0</v>
      </c>
    </row>
    <row r="29" spans="2:16">
      <c r="B29" s="7">
        <f t="shared" si="1"/>
        <v>2015</v>
      </c>
      <c r="C29" s="551">
        <f>Activity!$C28*Activity!$D28*Activity!E28</f>
        <v>16.506702990360001</v>
      </c>
      <c r="D29" s="552">
        <f>Activity!$C28*Activity!$D28*Activity!F28</f>
        <v>4.8950912316239998</v>
      </c>
      <c r="E29" s="550">
        <f>Activity!$C28*Activity!$D28*Activity!G28</f>
        <v>0</v>
      </c>
      <c r="F29" s="552">
        <f>Activity!$C28*Activity!$D28*Activity!H28</f>
        <v>0</v>
      </c>
      <c r="G29" s="552">
        <f>Activity!$C28*Activity!$D28*Activity!I28</f>
        <v>3.7566979219440002</v>
      </c>
      <c r="H29" s="552">
        <f>Activity!$C28*Activity!$D28*Activity!J28</f>
        <v>1.0245539787119999</v>
      </c>
      <c r="I29" s="552">
        <f>Activity!$C28*Activity!$D28*Activity!K28</f>
        <v>0.34151799290399998</v>
      </c>
      <c r="J29" s="553">
        <f>Activity!$C28*Activity!$D28*Activity!L28</f>
        <v>2.7321439432319998</v>
      </c>
      <c r="K29" s="552">
        <f>Activity!$C28*Activity!$D28*Activity!M28</f>
        <v>1.252232640648</v>
      </c>
      <c r="L29" s="552">
        <f>Activity!$C28*Activity!$D28*Activity!N28</f>
        <v>1.51785774624</v>
      </c>
      <c r="M29" s="550">
        <f>Activity!$C28*Activity!$D28*Activity!O28</f>
        <v>5.9196452103360002</v>
      </c>
      <c r="N29" s="413">
        <v>0</v>
      </c>
      <c r="O29" s="552">
        <f>Activity!C28*Activity!D28</f>
        <v>37.946443656</v>
      </c>
      <c r="P29" s="559">
        <f>Activity!X28</f>
        <v>0</v>
      </c>
    </row>
    <row r="30" spans="2:16">
      <c r="B30" s="7">
        <f t="shared" si="1"/>
        <v>2016</v>
      </c>
      <c r="C30" s="551">
        <f>Activity!$C29*Activity!$D29*Activity!E29</f>
        <v>16.785419555519997</v>
      </c>
      <c r="D30" s="552">
        <f>Activity!$C29*Activity!$D29*Activity!F29</f>
        <v>4.9777451095679996</v>
      </c>
      <c r="E30" s="550">
        <f>Activity!$C29*Activity!$D29*Activity!G29</f>
        <v>0</v>
      </c>
      <c r="F30" s="552">
        <f>Activity!$C29*Activity!$D29*Activity!H29</f>
        <v>0</v>
      </c>
      <c r="G30" s="552">
        <f>Activity!$C29*Activity!$D29*Activity!I29</f>
        <v>3.8201299678079996</v>
      </c>
      <c r="H30" s="552">
        <f>Activity!$C29*Activity!$D29*Activity!J29</f>
        <v>1.0418536275839998</v>
      </c>
      <c r="I30" s="552">
        <f>Activity!$C29*Activity!$D29*Activity!K29</f>
        <v>0.34728454252799995</v>
      </c>
      <c r="J30" s="553">
        <f>Activity!$C29*Activity!$D29*Activity!L29</f>
        <v>2.7782763402239996</v>
      </c>
      <c r="K30" s="552">
        <f>Activity!$C29*Activity!$D29*Activity!M29</f>
        <v>1.2733766559359998</v>
      </c>
      <c r="L30" s="552">
        <f>Activity!$C29*Activity!$D29*Activity!N29</f>
        <v>1.5434868556799999</v>
      </c>
      <c r="M30" s="550">
        <f>Activity!$C29*Activity!$D29*Activity!O29</f>
        <v>6.0195987371519992</v>
      </c>
      <c r="N30" s="413">
        <v>0</v>
      </c>
      <c r="O30" s="552">
        <f>Activity!C29*Activity!D29</f>
        <v>38.587171391999995</v>
      </c>
      <c r="P30" s="559">
        <f>Activity!X29</f>
        <v>0</v>
      </c>
    </row>
    <row r="31" spans="2:16">
      <c r="B31" s="7">
        <f t="shared" si="1"/>
        <v>2017</v>
      </c>
      <c r="C31" s="551">
        <f>Activity!$C30*Activity!$D30*Activity!E30</f>
        <v>17.429546033460003</v>
      </c>
      <c r="D31" s="552">
        <f>Activity!$C30*Activity!$D30*Activity!F30</f>
        <v>5.1687619271640006</v>
      </c>
      <c r="E31" s="550">
        <f>Activity!$C30*Activity!$D30*Activity!G30</f>
        <v>0</v>
      </c>
      <c r="F31" s="552">
        <f>Activity!$C30*Activity!$D30*Activity!H30</f>
        <v>0</v>
      </c>
      <c r="G31" s="552">
        <f>Activity!$C30*Activity!$D30*Activity!I30</f>
        <v>3.9667242696840006</v>
      </c>
      <c r="H31" s="552">
        <f>Activity!$C30*Activity!$D30*Activity!J30</f>
        <v>1.0818338917320001</v>
      </c>
      <c r="I31" s="552">
        <f>Activity!$C30*Activity!$D30*Activity!K30</f>
        <v>0.36061129724399998</v>
      </c>
      <c r="J31" s="553">
        <f>Activity!$C30*Activity!$D30*Activity!L30</f>
        <v>2.8848903779519999</v>
      </c>
      <c r="K31" s="552">
        <f>Activity!$C30*Activity!$D30*Activity!M30</f>
        <v>1.3222414232280002</v>
      </c>
      <c r="L31" s="552">
        <f>Activity!$C30*Activity!$D30*Activity!N30</f>
        <v>1.6027168766400002</v>
      </c>
      <c r="M31" s="550">
        <f>Activity!$C30*Activity!$D30*Activity!O30</f>
        <v>6.2505958188960005</v>
      </c>
      <c r="N31" s="413">
        <v>0</v>
      </c>
      <c r="O31" s="552">
        <f>Activity!C30*Activity!D30</f>
        <v>40.067921916000003</v>
      </c>
      <c r="P31" s="559">
        <f>Activity!X30</f>
        <v>0</v>
      </c>
    </row>
    <row r="32" spans="2:16">
      <c r="B32" s="7">
        <f t="shared" si="1"/>
        <v>2018</v>
      </c>
      <c r="C32" s="551">
        <f>Activity!$C31*Activity!$D31*Activity!E31</f>
        <v>17.834427832320003</v>
      </c>
      <c r="D32" s="552">
        <f>Activity!$C31*Activity!$D31*Activity!F31</f>
        <v>5.2888303226880007</v>
      </c>
      <c r="E32" s="550">
        <f>Activity!$C31*Activity!$D31*Activity!G31</f>
        <v>0</v>
      </c>
      <c r="F32" s="552">
        <f>Activity!$C31*Activity!$D31*Activity!H31</f>
        <v>0</v>
      </c>
      <c r="G32" s="552">
        <f>Activity!$C31*Activity!$D31*Activity!I31</f>
        <v>4.0588697825280002</v>
      </c>
      <c r="H32" s="552">
        <f>Activity!$C31*Activity!$D31*Activity!J31</f>
        <v>1.106964486144</v>
      </c>
      <c r="I32" s="552">
        <f>Activity!$C31*Activity!$D31*Activity!K31</f>
        <v>0.368988162048</v>
      </c>
      <c r="J32" s="553">
        <f>Activity!$C31*Activity!$D31*Activity!L31</f>
        <v>2.951905296384</v>
      </c>
      <c r="K32" s="552">
        <f>Activity!$C31*Activity!$D31*Activity!M31</f>
        <v>1.3529565941760002</v>
      </c>
      <c r="L32" s="552">
        <f>Activity!$C31*Activity!$D31*Activity!N31</f>
        <v>1.6399473868800001</v>
      </c>
      <c r="M32" s="550">
        <f>Activity!$C31*Activity!$D31*Activity!O31</f>
        <v>6.3957948088320009</v>
      </c>
      <c r="N32" s="413">
        <v>0</v>
      </c>
      <c r="O32" s="552">
        <f>Activity!C31*Activity!D31</f>
        <v>40.998684672000003</v>
      </c>
      <c r="P32" s="559">
        <f>Activity!X31</f>
        <v>0</v>
      </c>
    </row>
    <row r="33" spans="2:16">
      <c r="B33" s="7">
        <f t="shared" si="1"/>
        <v>2019</v>
      </c>
      <c r="C33" s="551">
        <f>Activity!$C32*Activity!$D32*Activity!E32</f>
        <v>18.239309631180003</v>
      </c>
      <c r="D33" s="552">
        <f>Activity!$C32*Activity!$D32*Activity!F32</f>
        <v>5.4088987182120007</v>
      </c>
      <c r="E33" s="550">
        <f>Activity!$C32*Activity!$D32*Activity!G32</f>
        <v>0</v>
      </c>
      <c r="F33" s="552">
        <f>Activity!$C32*Activity!$D32*Activity!H32</f>
        <v>0</v>
      </c>
      <c r="G33" s="552">
        <f>Activity!$C32*Activity!$D32*Activity!I32</f>
        <v>4.1510152953720008</v>
      </c>
      <c r="H33" s="552">
        <f>Activity!$C32*Activity!$D32*Activity!J32</f>
        <v>1.1320950805560002</v>
      </c>
      <c r="I33" s="552">
        <f>Activity!$C32*Activity!$D32*Activity!K32</f>
        <v>0.37736502685200002</v>
      </c>
      <c r="J33" s="553">
        <f>Activity!$C32*Activity!$D32*Activity!L32</f>
        <v>3.0189202148160001</v>
      </c>
      <c r="K33" s="552">
        <f>Activity!$C32*Activity!$D32*Activity!M32</f>
        <v>1.3836717651240003</v>
      </c>
      <c r="L33" s="552">
        <f>Activity!$C32*Activity!$D32*Activity!N32</f>
        <v>1.6771778971200002</v>
      </c>
      <c r="M33" s="550">
        <f>Activity!$C32*Activity!$D32*Activity!O32</f>
        <v>6.5409937987680005</v>
      </c>
      <c r="N33" s="413">
        <v>0</v>
      </c>
      <c r="O33" s="552">
        <f>Activity!C32*Activity!D32</f>
        <v>41.929447428000003</v>
      </c>
      <c r="P33" s="559">
        <f>Activity!X32</f>
        <v>0</v>
      </c>
    </row>
    <row r="34" spans="2:16">
      <c r="B34" s="7">
        <f t="shared" si="1"/>
        <v>2020</v>
      </c>
      <c r="C34" s="551">
        <f>Activity!$C33*Activity!$D33*Activity!E33</f>
        <v>18.644191430040003</v>
      </c>
      <c r="D34" s="552">
        <f>Activity!$C33*Activity!$D33*Activity!F33</f>
        <v>5.5289671137360017</v>
      </c>
      <c r="E34" s="550">
        <f>Activity!$C33*Activity!$D33*Activity!G33</f>
        <v>0</v>
      </c>
      <c r="F34" s="552">
        <f>Activity!$C33*Activity!$D33*Activity!H33</f>
        <v>0</v>
      </c>
      <c r="G34" s="552">
        <f>Activity!$C33*Activity!$D33*Activity!I33</f>
        <v>4.2431608082160013</v>
      </c>
      <c r="H34" s="552">
        <f>Activity!$C33*Activity!$D33*Activity!J33</f>
        <v>1.1572256749680003</v>
      </c>
      <c r="I34" s="552">
        <f>Activity!$C33*Activity!$D33*Activity!K33</f>
        <v>0.38574189165600004</v>
      </c>
      <c r="J34" s="553">
        <f>Activity!$C33*Activity!$D33*Activity!L33</f>
        <v>3.0859351332480003</v>
      </c>
      <c r="K34" s="552">
        <f>Activity!$C33*Activity!$D33*Activity!M33</f>
        <v>1.4143869360720005</v>
      </c>
      <c r="L34" s="552">
        <f>Activity!$C33*Activity!$D33*Activity!N33</f>
        <v>1.7144084073600006</v>
      </c>
      <c r="M34" s="550">
        <f>Activity!$C33*Activity!$D33*Activity!O33</f>
        <v>6.6861927887040018</v>
      </c>
      <c r="N34" s="413">
        <v>0</v>
      </c>
      <c r="O34" s="552">
        <f>Activity!C33*Activity!D33</f>
        <v>42.86021018400001</v>
      </c>
      <c r="P34" s="559">
        <f>Activity!X33</f>
        <v>0</v>
      </c>
    </row>
    <row r="35" spans="2:16">
      <c r="B35" s="7">
        <f t="shared" si="1"/>
        <v>2021</v>
      </c>
      <c r="C35" s="551">
        <f>Activity!$C34*Activity!$D34*Activity!E34</f>
        <v>19.049073228900003</v>
      </c>
      <c r="D35" s="552">
        <f>Activity!$C34*Activity!$D34*Activity!F34</f>
        <v>5.6490355092600009</v>
      </c>
      <c r="E35" s="550">
        <f>Activity!$C34*Activity!$D34*Activity!G34</f>
        <v>0</v>
      </c>
      <c r="F35" s="552">
        <f>Activity!$C34*Activity!$D34*Activity!H34</f>
        <v>0</v>
      </c>
      <c r="G35" s="552">
        <f>Activity!$C34*Activity!$D34*Activity!I34</f>
        <v>4.3353063210600009</v>
      </c>
      <c r="H35" s="552">
        <f>Activity!$C34*Activity!$D34*Activity!J34</f>
        <v>1.18235626938</v>
      </c>
      <c r="I35" s="552">
        <f>Activity!$C34*Activity!$D34*Activity!K34</f>
        <v>0.39411875646</v>
      </c>
      <c r="J35" s="553">
        <f>Activity!$C34*Activity!$D34*Activity!L34</f>
        <v>3.15295005168</v>
      </c>
      <c r="K35" s="552">
        <f>Activity!$C34*Activity!$D34*Activity!M34</f>
        <v>1.4451021070200001</v>
      </c>
      <c r="L35" s="552">
        <f>Activity!$C34*Activity!$D34*Activity!N34</f>
        <v>1.7516389176000002</v>
      </c>
      <c r="M35" s="550">
        <f>Activity!$C34*Activity!$D34*Activity!O34</f>
        <v>6.8313917786400005</v>
      </c>
      <c r="N35" s="413">
        <v>0</v>
      </c>
      <c r="O35" s="552">
        <f>Activity!C34*Activity!D34</f>
        <v>43.790972940000003</v>
      </c>
      <c r="P35" s="559">
        <f>Activity!X34</f>
        <v>0</v>
      </c>
    </row>
    <row r="36" spans="2:16">
      <c r="B36" s="7">
        <f t="shared" si="1"/>
        <v>2022</v>
      </c>
      <c r="C36" s="551">
        <f>Activity!$C35*Activity!$D35*Activity!E35</f>
        <v>19.453955027760003</v>
      </c>
      <c r="D36" s="552">
        <f>Activity!$C35*Activity!$D35*Activity!F35</f>
        <v>5.7691039047840009</v>
      </c>
      <c r="E36" s="550">
        <f>Activity!$C35*Activity!$D35*Activity!G35</f>
        <v>0</v>
      </c>
      <c r="F36" s="552">
        <f>Activity!$C35*Activity!$D35*Activity!H35</f>
        <v>0</v>
      </c>
      <c r="G36" s="552">
        <f>Activity!$C35*Activity!$D35*Activity!I35</f>
        <v>4.4274518339040005</v>
      </c>
      <c r="H36" s="552">
        <f>Activity!$C35*Activity!$D35*Activity!J35</f>
        <v>1.207486863792</v>
      </c>
      <c r="I36" s="552">
        <f>Activity!$C35*Activity!$D35*Activity!K35</f>
        <v>0.40249562126400001</v>
      </c>
      <c r="J36" s="553">
        <f>Activity!$C35*Activity!$D35*Activity!L35</f>
        <v>3.2199649701120001</v>
      </c>
      <c r="K36" s="552">
        <f>Activity!$C35*Activity!$D35*Activity!M35</f>
        <v>1.4758172779680001</v>
      </c>
      <c r="L36" s="552">
        <f>Activity!$C35*Activity!$D35*Activity!N35</f>
        <v>1.7888694278400001</v>
      </c>
      <c r="M36" s="550">
        <f>Activity!$C35*Activity!$D35*Activity!O35</f>
        <v>6.9765907685760009</v>
      </c>
      <c r="N36" s="413">
        <v>0</v>
      </c>
      <c r="O36" s="552">
        <f>Activity!C35*Activity!D35</f>
        <v>44.721735696000003</v>
      </c>
      <c r="P36" s="559">
        <f>Activity!X35</f>
        <v>0</v>
      </c>
    </row>
    <row r="37" spans="2:16">
      <c r="B37" s="7">
        <f t="shared" si="1"/>
        <v>2023</v>
      </c>
      <c r="C37" s="551">
        <f>Activity!$C36*Activity!$D36*Activity!E36</f>
        <v>19.858836826620003</v>
      </c>
      <c r="D37" s="552">
        <f>Activity!$C36*Activity!$D36*Activity!F36</f>
        <v>5.8891723003080019</v>
      </c>
      <c r="E37" s="550">
        <f>Activity!$C36*Activity!$D36*Activity!G36</f>
        <v>0</v>
      </c>
      <c r="F37" s="552">
        <f>Activity!$C36*Activity!$D36*Activity!H36</f>
        <v>0</v>
      </c>
      <c r="G37" s="552">
        <f>Activity!$C36*Activity!$D36*Activity!I36</f>
        <v>4.5195973467480011</v>
      </c>
      <c r="H37" s="552">
        <f>Activity!$C36*Activity!$D36*Activity!J36</f>
        <v>1.2326174582040004</v>
      </c>
      <c r="I37" s="552">
        <f>Activity!$C36*Activity!$D36*Activity!K36</f>
        <v>0.41087248606800009</v>
      </c>
      <c r="J37" s="553">
        <f>Activity!$C36*Activity!$D36*Activity!L36</f>
        <v>3.2869798885440007</v>
      </c>
      <c r="K37" s="552">
        <f>Activity!$C36*Activity!$D36*Activity!M36</f>
        <v>1.5065324489160004</v>
      </c>
      <c r="L37" s="552">
        <f>Activity!$C36*Activity!$D36*Activity!N36</f>
        <v>1.8260999380800005</v>
      </c>
      <c r="M37" s="550">
        <f>Activity!$C36*Activity!$D36*Activity!O36</f>
        <v>7.1217897585120014</v>
      </c>
      <c r="N37" s="413">
        <v>0</v>
      </c>
      <c r="O37" s="552">
        <f>Activity!C36*Activity!D36</f>
        <v>45.65249845200001</v>
      </c>
      <c r="P37" s="559">
        <f>Activity!X36</f>
        <v>0</v>
      </c>
    </row>
    <row r="38" spans="2:16">
      <c r="B38" s="7">
        <f t="shared" si="1"/>
        <v>2024</v>
      </c>
      <c r="C38" s="551">
        <f>Activity!$C37*Activity!$D37*Activity!E37</f>
        <v>20.263718625480003</v>
      </c>
      <c r="D38" s="552">
        <f>Activity!$C37*Activity!$D37*Activity!F37</f>
        <v>6.0092406958320002</v>
      </c>
      <c r="E38" s="550">
        <f>Activity!$C37*Activity!$D37*Activity!G37</f>
        <v>0</v>
      </c>
      <c r="F38" s="552">
        <f>Activity!$C37*Activity!$D37*Activity!H37</f>
        <v>0</v>
      </c>
      <c r="G38" s="552">
        <f>Activity!$C37*Activity!$D37*Activity!I37</f>
        <v>4.6117428595920007</v>
      </c>
      <c r="H38" s="552">
        <f>Activity!$C37*Activity!$D37*Activity!J37</f>
        <v>1.2577480526160001</v>
      </c>
      <c r="I38" s="552">
        <f>Activity!$C37*Activity!$D37*Activity!K37</f>
        <v>0.41924935087199999</v>
      </c>
      <c r="J38" s="553">
        <f>Activity!$C37*Activity!$D37*Activity!L37</f>
        <v>3.3539948069759999</v>
      </c>
      <c r="K38" s="552">
        <f>Activity!$C37*Activity!$D37*Activity!M37</f>
        <v>1.5372476198640002</v>
      </c>
      <c r="L38" s="552">
        <f>Activity!$C37*Activity!$D37*Activity!N37</f>
        <v>1.8633304483200002</v>
      </c>
      <c r="M38" s="550">
        <f>Activity!$C37*Activity!$D37*Activity!O37</f>
        <v>7.2669887484480009</v>
      </c>
      <c r="N38" s="413">
        <v>0</v>
      </c>
      <c r="O38" s="552">
        <f>Activity!C37*Activity!D37</f>
        <v>46.583261208000003</v>
      </c>
      <c r="P38" s="559">
        <f>Activity!X37</f>
        <v>0</v>
      </c>
    </row>
    <row r="39" spans="2:16">
      <c r="B39" s="7">
        <f t="shared" si="1"/>
        <v>2025</v>
      </c>
      <c r="C39" s="551">
        <f>Activity!$C38*Activity!$D38*Activity!E38</f>
        <v>20.668600424340003</v>
      </c>
      <c r="D39" s="552">
        <f>Activity!$C38*Activity!$D38*Activity!F38</f>
        <v>6.1293090913560002</v>
      </c>
      <c r="E39" s="550">
        <f>Activity!$C38*Activity!$D38*Activity!G38</f>
        <v>0</v>
      </c>
      <c r="F39" s="552">
        <f>Activity!$C38*Activity!$D38*Activity!H38</f>
        <v>0</v>
      </c>
      <c r="G39" s="552">
        <f>Activity!$C38*Activity!$D38*Activity!I38</f>
        <v>4.7038883724360003</v>
      </c>
      <c r="H39" s="552">
        <f>Activity!$C38*Activity!$D38*Activity!J38</f>
        <v>1.282878647028</v>
      </c>
      <c r="I39" s="552">
        <f>Activity!$C38*Activity!$D38*Activity!K38</f>
        <v>0.42762621567600001</v>
      </c>
      <c r="J39" s="553">
        <f>Activity!$C38*Activity!$D38*Activity!L38</f>
        <v>3.4210097254080001</v>
      </c>
      <c r="K39" s="552">
        <f>Activity!$C38*Activity!$D38*Activity!M38</f>
        <v>1.5679627908120002</v>
      </c>
      <c r="L39" s="552">
        <f>Activity!$C38*Activity!$D38*Activity!N38</f>
        <v>1.9005609585600001</v>
      </c>
      <c r="M39" s="550">
        <f>Activity!$C38*Activity!$D38*Activity!O38</f>
        <v>7.4121877383840005</v>
      </c>
      <c r="N39" s="413">
        <v>0</v>
      </c>
      <c r="O39" s="552">
        <f>Activity!C38*Activity!D38</f>
        <v>47.514023964000003</v>
      </c>
      <c r="P39" s="559">
        <f>Activity!X38</f>
        <v>0</v>
      </c>
    </row>
    <row r="40" spans="2:16">
      <c r="B40" s="7">
        <f t="shared" si="1"/>
        <v>2026</v>
      </c>
      <c r="C40" s="551">
        <f>Activity!$C39*Activity!$D39*Activity!E39</f>
        <v>21.073482223199999</v>
      </c>
      <c r="D40" s="552">
        <f>Activity!$C39*Activity!$D39*Activity!F39</f>
        <v>6.2493774868799994</v>
      </c>
      <c r="E40" s="550">
        <f>Activity!$C39*Activity!$D39*Activity!G39</f>
        <v>0</v>
      </c>
      <c r="F40" s="552">
        <f>Activity!$C39*Activity!$D39*Activity!H39</f>
        <v>0</v>
      </c>
      <c r="G40" s="552">
        <f>Activity!$C39*Activity!$D39*Activity!I39</f>
        <v>4.79603388528</v>
      </c>
      <c r="H40" s="552">
        <f>Activity!$C39*Activity!$D39*Activity!J39</f>
        <v>1.30800924144</v>
      </c>
      <c r="I40" s="552">
        <f>Activity!$C39*Activity!$D39*Activity!K39</f>
        <v>0.43600308047999992</v>
      </c>
      <c r="J40" s="553">
        <f>Activity!$C39*Activity!$D39*Activity!L39</f>
        <v>3.4880246438399993</v>
      </c>
      <c r="K40" s="552">
        <f>Activity!$C39*Activity!$D39*Activity!M39</f>
        <v>1.59867796176</v>
      </c>
      <c r="L40" s="552">
        <f>Activity!$C39*Activity!$D39*Activity!N39</f>
        <v>1.9377914688</v>
      </c>
      <c r="M40" s="550">
        <f>Activity!$C39*Activity!$D39*Activity!O39</f>
        <v>7.5573867283199991</v>
      </c>
      <c r="N40" s="413">
        <v>0</v>
      </c>
      <c r="O40" s="552">
        <f>Activity!C39*Activity!D39</f>
        <v>48.444786719999996</v>
      </c>
      <c r="P40" s="559">
        <f>Activity!X39</f>
        <v>0</v>
      </c>
    </row>
    <row r="41" spans="2:16">
      <c r="B41" s="7">
        <f t="shared" si="1"/>
        <v>2027</v>
      </c>
      <c r="C41" s="551">
        <f>Activity!$C40*Activity!$D40*Activity!E40</f>
        <v>21.478364022060003</v>
      </c>
      <c r="D41" s="552">
        <f>Activity!$C40*Activity!$D40*Activity!F40</f>
        <v>6.3694458824040003</v>
      </c>
      <c r="E41" s="550">
        <f>Activity!$C40*Activity!$D40*Activity!G40</f>
        <v>0</v>
      </c>
      <c r="F41" s="552">
        <f>Activity!$C40*Activity!$D40*Activity!H40</f>
        <v>0</v>
      </c>
      <c r="G41" s="552">
        <f>Activity!$C40*Activity!$D40*Activity!I40</f>
        <v>4.8881793981240005</v>
      </c>
      <c r="H41" s="552">
        <f>Activity!$C40*Activity!$D40*Activity!J40</f>
        <v>1.3331398358520001</v>
      </c>
      <c r="I41" s="552">
        <f>Activity!$C40*Activity!$D40*Activity!K40</f>
        <v>0.44437994528399999</v>
      </c>
      <c r="J41" s="553">
        <f>Activity!$C40*Activity!$D40*Activity!L40</f>
        <v>3.5550395622719999</v>
      </c>
      <c r="K41" s="552">
        <f>Activity!$C40*Activity!$D40*Activity!M40</f>
        <v>1.6293931327080002</v>
      </c>
      <c r="L41" s="552">
        <f>Activity!$C40*Activity!$D40*Activity!N40</f>
        <v>1.9750219790400001</v>
      </c>
      <c r="M41" s="550">
        <f>Activity!$C40*Activity!$D40*Activity!O40</f>
        <v>7.7025857182560005</v>
      </c>
      <c r="N41" s="413">
        <v>0</v>
      </c>
      <c r="O41" s="552">
        <f>Activity!C40*Activity!D40</f>
        <v>49.375549476000003</v>
      </c>
      <c r="P41" s="559">
        <f>Activity!X40</f>
        <v>0</v>
      </c>
    </row>
    <row r="42" spans="2:16">
      <c r="B42" s="7">
        <f t="shared" si="1"/>
        <v>2028</v>
      </c>
      <c r="C42" s="551">
        <f>Activity!$C41*Activity!$D41*Activity!E41</f>
        <v>21.883245820920003</v>
      </c>
      <c r="D42" s="552">
        <f>Activity!$C41*Activity!$D41*Activity!F41</f>
        <v>6.4895142779280004</v>
      </c>
      <c r="E42" s="550">
        <f>Activity!$C41*Activity!$D41*Activity!G41</f>
        <v>0</v>
      </c>
      <c r="F42" s="552">
        <f>Activity!$C41*Activity!$D41*Activity!H41</f>
        <v>0</v>
      </c>
      <c r="G42" s="552">
        <f>Activity!$C41*Activity!$D41*Activity!I41</f>
        <v>4.980324910968001</v>
      </c>
      <c r="H42" s="552">
        <f>Activity!$C41*Activity!$D41*Activity!J41</f>
        <v>1.3582704302640001</v>
      </c>
      <c r="I42" s="552">
        <f>Activity!$C41*Activity!$D41*Activity!K41</f>
        <v>0.45275681008800001</v>
      </c>
      <c r="J42" s="553">
        <f>Activity!$C41*Activity!$D41*Activity!L41</f>
        <v>3.622054480704</v>
      </c>
      <c r="K42" s="552">
        <f>Activity!$C41*Activity!$D41*Activity!M41</f>
        <v>1.6601083036560003</v>
      </c>
      <c r="L42" s="552">
        <f>Activity!$C41*Activity!$D41*Activity!N41</f>
        <v>2.0122524892800002</v>
      </c>
      <c r="M42" s="550">
        <f>Activity!$C41*Activity!$D41*Activity!O41</f>
        <v>7.8477847081920009</v>
      </c>
      <c r="N42" s="413">
        <v>0</v>
      </c>
      <c r="O42" s="552">
        <f>Activity!C41*Activity!D41</f>
        <v>50.306312232000003</v>
      </c>
      <c r="P42" s="559">
        <f>Activity!X41</f>
        <v>0</v>
      </c>
    </row>
    <row r="43" spans="2:16">
      <c r="B43" s="7">
        <f t="shared" si="1"/>
        <v>2029</v>
      </c>
      <c r="C43" s="551">
        <f>Activity!$C42*Activity!$D42*Activity!E42</f>
        <v>22.288127619779999</v>
      </c>
      <c r="D43" s="552">
        <f>Activity!$C42*Activity!$D42*Activity!F42</f>
        <v>6.6095826734519996</v>
      </c>
      <c r="E43" s="550">
        <f>Activity!$C42*Activity!$D42*Activity!G42</f>
        <v>0</v>
      </c>
      <c r="F43" s="552">
        <f>Activity!$C42*Activity!$D42*Activity!H42</f>
        <v>0</v>
      </c>
      <c r="G43" s="552">
        <f>Activity!$C42*Activity!$D42*Activity!I42</f>
        <v>5.0724704238119998</v>
      </c>
      <c r="H43" s="552">
        <f>Activity!$C42*Activity!$D42*Activity!J42</f>
        <v>1.3834010246759998</v>
      </c>
      <c r="I43" s="552">
        <f>Activity!$C42*Activity!$D42*Activity!K42</f>
        <v>0.46113367489199991</v>
      </c>
      <c r="J43" s="553">
        <f>Activity!$C42*Activity!$D42*Activity!L42</f>
        <v>3.6890693991359993</v>
      </c>
      <c r="K43" s="552">
        <f>Activity!$C42*Activity!$D42*Activity!M42</f>
        <v>1.6908234746040001</v>
      </c>
      <c r="L43" s="552">
        <f>Activity!$C42*Activity!$D42*Activity!N42</f>
        <v>2.0494829995199999</v>
      </c>
      <c r="M43" s="550">
        <f>Activity!$C42*Activity!$D42*Activity!O42</f>
        <v>7.9929836981279996</v>
      </c>
      <c r="N43" s="413">
        <v>0</v>
      </c>
      <c r="O43" s="552">
        <f>Activity!C42*Activity!D42</f>
        <v>51.237074987999996</v>
      </c>
      <c r="P43" s="559">
        <f>Activity!X42</f>
        <v>0</v>
      </c>
    </row>
    <row r="44" spans="2:16">
      <c r="B44" s="7">
        <f t="shared" si="1"/>
        <v>2030</v>
      </c>
      <c r="C44" s="551">
        <f>Activity!$C43*Activity!$D43*Activity!E43</f>
        <v>22.693009418640003</v>
      </c>
      <c r="D44" s="552">
        <f>Activity!$C43*Activity!$D43*Activity!F43</f>
        <v>6.7296510689760005</v>
      </c>
      <c r="E44" s="550">
        <f>Activity!$C43*Activity!$D43*Activity!G43</f>
        <v>0</v>
      </c>
      <c r="F44" s="552">
        <f>Activity!$C43*Activity!$D43*Activity!H43</f>
        <v>0</v>
      </c>
      <c r="G44" s="552">
        <f>Activity!$C43*Activity!$D43*Activity!I43</f>
        <v>5.1646159366560003</v>
      </c>
      <c r="H44" s="552">
        <f>Activity!$C43*Activity!$D43*Activity!J43</f>
        <v>1.4085316190880002</v>
      </c>
      <c r="I44" s="552">
        <f>Activity!$C43*Activity!$D43*Activity!K43</f>
        <v>0.46951053969599998</v>
      </c>
      <c r="J44" s="553">
        <f>Activity!$C43*Activity!$D43*Activity!L43</f>
        <v>3.7560843175679999</v>
      </c>
      <c r="K44" s="552">
        <f>Activity!$C43*Activity!$D43*Activity!M43</f>
        <v>1.7215386455520001</v>
      </c>
      <c r="L44" s="552">
        <f>Activity!$C43*Activity!$D43*Activity!N43</f>
        <v>2.08671350976</v>
      </c>
      <c r="M44" s="550">
        <f>Activity!$C43*Activity!$D43*Activity!O43</f>
        <v>8.1381826880640009</v>
      </c>
      <c r="N44" s="413">
        <v>0</v>
      </c>
      <c r="O44" s="552">
        <f>Activity!C43*Activity!D43</f>
        <v>52.167837744000003</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7" zoomScale="70" zoomScaleNormal="70" workbookViewId="0">
      <selection activeCell="O17" sqref="O17:O47"/>
    </sheetView>
  </sheetViews>
  <sheetFormatPr defaultColWidth="8.85546875" defaultRowHeight="12.75"/>
  <cols>
    <col min="1" max="1" width="8.85546875" style="643"/>
    <col min="2" max="2" width="7" style="639" customWidth="1"/>
    <col min="3" max="3" width="8.85546875" style="639"/>
    <col min="4" max="4" width="13" style="639" bestFit="1" customWidth="1"/>
    <col min="5" max="5" width="12" style="639" customWidth="1"/>
    <col min="6" max="6" width="9.140625" style="639" bestFit="1" customWidth="1"/>
    <col min="7" max="10" width="8.85546875" style="639"/>
    <col min="11" max="11" width="11.42578125" style="639" bestFit="1" customWidth="1"/>
    <col min="12" max="12" width="8.85546875" style="639"/>
    <col min="13" max="13" width="10.7109375" style="639" bestFit="1" customWidth="1"/>
    <col min="14" max="14" width="3" style="639" customWidth="1"/>
    <col min="15" max="15" width="17.140625" style="640" customWidth="1"/>
    <col min="16" max="16" width="4.7109375" style="639" customWidth="1"/>
    <col min="17" max="17" width="2" style="642" customWidth="1"/>
    <col min="18" max="20" width="8.85546875" style="643"/>
    <col min="21" max="21" width="10.7109375" style="643" customWidth="1"/>
    <col min="22" max="27" width="8.85546875" style="643"/>
    <col min="28" max="28" width="8.85546875" style="639"/>
    <col min="29" max="30" width="8.85546875" style="643"/>
    <col min="31" max="31" width="2.7109375" style="643" customWidth="1"/>
    <col min="32" max="32" width="11.7109375" style="643" bestFit="1" customWidth="1"/>
    <col min="33" max="16384" width="8.85546875" style="643"/>
  </cols>
  <sheetData>
    <row r="1" spans="1:32">
      <c r="A1" s="638"/>
      <c r="P1" s="641"/>
    </row>
    <row r="2" spans="1:32">
      <c r="A2" s="638"/>
      <c r="B2" s="644" t="s">
        <v>94</v>
      </c>
      <c r="D2" s="644"/>
      <c r="E2" s="644"/>
    </row>
    <row r="3" spans="1:32">
      <c r="A3" s="638"/>
      <c r="B3" s="644"/>
      <c r="D3" s="644"/>
      <c r="E3" s="644"/>
      <c r="I3" s="644"/>
      <c r="J3" s="645"/>
      <c r="K3" s="645"/>
      <c r="L3" s="645"/>
      <c r="M3" s="645"/>
      <c r="N3" s="645"/>
      <c r="O3" s="646"/>
      <c r="AB3" s="645"/>
    </row>
    <row r="4" spans="1:32" ht="13.5" thickBot="1">
      <c r="A4" s="638"/>
      <c r="B4" s="644" t="s">
        <v>265</v>
      </c>
      <c r="D4" s="644"/>
      <c r="E4" s="644" t="s">
        <v>276</v>
      </c>
      <c r="H4" s="644" t="s">
        <v>30</v>
      </c>
      <c r="I4" s="644"/>
      <c r="J4" s="645"/>
      <c r="K4" s="645"/>
      <c r="L4" s="645"/>
      <c r="M4" s="645"/>
      <c r="N4" s="645"/>
      <c r="O4" s="646"/>
      <c r="AB4" s="645"/>
    </row>
    <row r="5" spans="1:32" ht="13.5" thickBot="1">
      <c r="A5" s="638"/>
      <c r="B5" s="647" t="str">
        <f>city</f>
        <v>Balikpapan</v>
      </c>
      <c r="C5" s="648"/>
      <c r="D5" s="648"/>
      <c r="E5" s="647" t="str">
        <f>province</f>
        <v>Kalimantan Timur</v>
      </c>
      <c r="F5" s="648"/>
      <c r="G5" s="648"/>
      <c r="H5" s="647" t="str">
        <f>country</f>
        <v>Indonesia</v>
      </c>
      <c r="I5" s="648"/>
      <c r="J5" s="649"/>
      <c r="K5" s="645"/>
      <c r="L5" s="645"/>
      <c r="M5" s="645"/>
      <c r="N5" s="645"/>
      <c r="O5" s="646"/>
      <c r="AB5" s="645"/>
    </row>
    <row r="6" spans="1:32">
      <c r="A6" s="638"/>
      <c r="C6" s="644"/>
      <c r="D6" s="644"/>
      <c r="E6" s="644"/>
    </row>
    <row r="7" spans="1:32">
      <c r="A7" s="638"/>
      <c r="B7" s="639" t="s">
        <v>35</v>
      </c>
      <c r="P7" s="641"/>
    </row>
    <row r="8" spans="1:32">
      <c r="A8" s="638"/>
      <c r="B8" s="639" t="s">
        <v>37</v>
      </c>
      <c r="P8" s="641"/>
    </row>
    <row r="9" spans="1:32">
      <c r="B9" s="650"/>
      <c r="P9" s="641"/>
    </row>
    <row r="10" spans="1:32">
      <c r="P10" s="651"/>
    </row>
    <row r="11" spans="1:32" ht="13.5" thickBot="1">
      <c r="A11" s="652"/>
      <c r="P11" s="652"/>
      <c r="Q11" s="653"/>
    </row>
    <row r="12" spans="1:32" ht="13.5" thickBot="1">
      <c r="A12" s="654"/>
      <c r="B12" s="655"/>
      <c r="C12" s="834" t="s">
        <v>91</v>
      </c>
      <c r="D12" s="835"/>
      <c r="E12" s="835"/>
      <c r="F12" s="835"/>
      <c r="G12" s="835"/>
      <c r="H12" s="835"/>
      <c r="I12" s="835"/>
      <c r="J12" s="835"/>
      <c r="K12" s="835"/>
      <c r="L12" s="835"/>
      <c r="M12" s="836"/>
      <c r="N12" s="656"/>
      <c r="O12" s="657"/>
      <c r="P12" s="654"/>
      <c r="Q12" s="653"/>
      <c r="S12" s="655"/>
      <c r="T12" s="834" t="s">
        <v>91</v>
      </c>
      <c r="U12" s="835"/>
      <c r="V12" s="835"/>
      <c r="W12" s="835"/>
      <c r="X12" s="835"/>
      <c r="Y12" s="835"/>
      <c r="Z12" s="835"/>
      <c r="AA12" s="835"/>
      <c r="AB12" s="835"/>
      <c r="AC12" s="835"/>
      <c r="AD12" s="836"/>
      <c r="AE12" s="656"/>
      <c r="AF12" s="658"/>
    </row>
    <row r="13" spans="1:32" ht="39" thickBot="1">
      <c r="A13" s="654"/>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4"/>
      <c r="Q13" s="653"/>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4"/>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4"/>
      <c r="Q14" s="653"/>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65"/>
      <c r="O15" s="666" t="s">
        <v>15</v>
      </c>
      <c r="P15" s="643"/>
      <c r="Q15" s="653"/>
      <c r="S15" s="668"/>
      <c r="T15" s="669" t="s">
        <v>15</v>
      </c>
      <c r="U15" s="670" t="s">
        <v>15</v>
      </c>
      <c r="V15" s="670" t="s">
        <v>15</v>
      </c>
      <c r="W15" s="670" t="s">
        <v>15</v>
      </c>
      <c r="X15" s="670" t="s">
        <v>15</v>
      </c>
      <c r="Y15" s="670" t="s">
        <v>15</v>
      </c>
      <c r="Z15" s="671" t="s">
        <v>15</v>
      </c>
      <c r="AA15" s="671" t="s">
        <v>15</v>
      </c>
      <c r="AB15" s="671" t="s">
        <v>15</v>
      </c>
      <c r="AC15" s="672" t="s">
        <v>15</v>
      </c>
      <c r="AD15" s="671" t="s">
        <v>15</v>
      </c>
      <c r="AE15" s="665"/>
      <c r="AF15" s="667" t="s">
        <v>15</v>
      </c>
    </row>
    <row r="16" spans="1:32" ht="13.5" thickBot="1">
      <c r="B16" s="673"/>
      <c r="C16" s="674"/>
      <c r="D16" s="675"/>
      <c r="E16" s="675"/>
      <c r="F16" s="675"/>
      <c r="G16" s="675"/>
      <c r="H16" s="675"/>
      <c r="I16" s="676"/>
      <c r="J16" s="676"/>
      <c r="K16" s="677"/>
      <c r="L16" s="678"/>
      <c r="M16" s="677"/>
      <c r="N16" s="679"/>
      <c r="O16" s="680"/>
      <c r="P16" s="643"/>
      <c r="Q16" s="653"/>
      <c r="S16" s="673"/>
      <c r="T16" s="674"/>
      <c r="U16" s="675"/>
      <c r="V16" s="675"/>
      <c r="W16" s="675"/>
      <c r="X16" s="675"/>
      <c r="Y16" s="675"/>
      <c r="Z16" s="676"/>
      <c r="AA16" s="676"/>
      <c r="AB16" s="677"/>
      <c r="AC16" s="678"/>
      <c r="AD16" s="677"/>
      <c r="AE16" s="679"/>
      <c r="AF16" s="681"/>
    </row>
    <row r="17" spans="2:32">
      <c r="B17" s="682">
        <f>year</f>
        <v>2000</v>
      </c>
      <c r="C17" s="767">
        <f>IF(Select2=1,Food!$K19,"")</f>
        <v>0</v>
      </c>
      <c r="D17" s="768">
        <f>IF(Select2=1,Paper!$K19,"")</f>
        <v>0</v>
      </c>
      <c r="E17" s="768">
        <f>IF(Select2=1,Nappies!$K19,"")</f>
        <v>0</v>
      </c>
      <c r="F17" s="768">
        <f>IF(Select2=1,Garden!$K19,"")</f>
        <v>0</v>
      </c>
      <c r="G17" s="768">
        <f>IF(Select2=1,Wood!$K19,"")</f>
        <v>0</v>
      </c>
      <c r="H17" s="768">
        <f>IF(Select2=1,Textiles!$K19,"")</f>
        <v>0</v>
      </c>
      <c r="I17" s="769">
        <f>Sludge!K19</f>
        <v>0</v>
      </c>
      <c r="J17" s="770" t="str">
        <f>IF(Select2=2,MSW!$K19,"")</f>
        <v/>
      </c>
      <c r="K17" s="769">
        <f>Industry!$K19</f>
        <v>0</v>
      </c>
      <c r="L17" s="771">
        <f>SUM(C17:K17)</f>
        <v>0</v>
      </c>
      <c r="M17" s="772">
        <f>Recovery_OX!C12</f>
        <v>0</v>
      </c>
      <c r="N17" s="651"/>
      <c r="O17" s="778">
        <f>(L17-M17)*(1-Recovery_OX!F12)</f>
        <v>0</v>
      </c>
      <c r="P17" s="643"/>
      <c r="Q17" s="653"/>
      <c r="S17" s="682">
        <f>year</f>
        <v>2000</v>
      </c>
      <c r="T17" s="683">
        <f>IF(Select2=1,Food!$W19,"")</f>
        <v>0</v>
      </c>
      <c r="U17" s="684">
        <f>IF(Select2=1,Paper!$W19,"")</f>
        <v>0</v>
      </c>
      <c r="V17" s="684">
        <f>IF(Select2=1,Nappies!$W19,"")</f>
        <v>0</v>
      </c>
      <c r="W17" s="684">
        <f>IF(Select2=1,Garden!$W19,"")</f>
        <v>0</v>
      </c>
      <c r="X17" s="684">
        <f>IF(Select2=1,Wood!$W19,"")</f>
        <v>0</v>
      </c>
      <c r="Y17" s="684">
        <f>IF(Select2=1,Textiles!$W19,"")</f>
        <v>0</v>
      </c>
      <c r="Z17" s="685">
        <f>Sludge!W19</f>
        <v>0</v>
      </c>
      <c r="AA17" s="686" t="str">
        <f>IF(Select2=2,MSW!$W19,"")</f>
        <v/>
      </c>
      <c r="AB17" s="685">
        <f>Industry!$W19</f>
        <v>0</v>
      </c>
      <c r="AC17" s="687">
        <f t="shared" ref="AC17:AC48" si="0">SUM(T17:AA17)</f>
        <v>0</v>
      </c>
      <c r="AD17" s="688">
        <f>Recovery_OX!R12</f>
        <v>0</v>
      </c>
      <c r="AE17" s="651"/>
      <c r="AF17" s="689">
        <f>(AC17-AD17)*(1-Recovery_OX!U12)</f>
        <v>0</v>
      </c>
    </row>
    <row r="18" spans="2:32">
      <c r="B18" s="690">
        <f t="shared" ref="B18:B81" si="1">B17+1</f>
        <v>2001</v>
      </c>
      <c r="C18" s="773">
        <f>IF(Select2=1,Food!$K20,"")</f>
        <v>0.21502706314360309</v>
      </c>
      <c r="D18" s="774">
        <f>IF(Select2=1,Paper!$K20,"")</f>
        <v>1.1291644029437118E-2</v>
      </c>
      <c r="E18" s="768">
        <f>IF(Select2=1,Nappies!$K20,"")</f>
        <v>3.5606237298557483E-2</v>
      </c>
      <c r="F18" s="774">
        <f>IF(Select2=1,Garden!$K20,"")</f>
        <v>0</v>
      </c>
      <c r="G18" s="768">
        <f>IF(Select2=1,Wood!$K20,"")</f>
        <v>0</v>
      </c>
      <c r="H18" s="774">
        <f>IF(Select2=1,Textiles!$K20,"")</f>
        <v>2.6734372455819418E-3</v>
      </c>
      <c r="I18" s="775">
        <f>Sludge!K20</f>
        <v>0</v>
      </c>
      <c r="J18" s="775" t="str">
        <f>IF(Select2=2,MSW!$K20,"")</f>
        <v/>
      </c>
      <c r="K18" s="775">
        <f>Industry!$K20</f>
        <v>0</v>
      </c>
      <c r="L18" s="776">
        <f>SUM(C18:K18)</f>
        <v>0.26459838171717964</v>
      </c>
      <c r="M18" s="777">
        <f>Recovery_OX!C13</f>
        <v>0</v>
      </c>
      <c r="N18" s="651"/>
      <c r="O18" s="779">
        <f>(L18-M18)*(1-Recovery_OX!F13)</f>
        <v>0.26459838171717964</v>
      </c>
      <c r="P18" s="643"/>
      <c r="Q18" s="653"/>
      <c r="S18" s="690">
        <f t="shared" ref="S18:S81" si="2">S17+1</f>
        <v>2001</v>
      </c>
      <c r="T18" s="691">
        <f>IF(Select2=1,Food!$W20,"")</f>
        <v>0.14386288791944898</v>
      </c>
      <c r="U18" s="692">
        <f>IF(Select2=1,Paper!$W20,"")</f>
        <v>2.3329843036027101E-2</v>
      </c>
      <c r="V18" s="684">
        <f>IF(Select2=1,Nappies!$W20,"")</f>
        <v>0</v>
      </c>
      <c r="W18" s="692">
        <f>IF(Select2=1,Garden!$W20,"")</f>
        <v>0</v>
      </c>
      <c r="X18" s="684">
        <f>IF(Select2=1,Wood!$W20,"")</f>
        <v>9.7919553667938693E-3</v>
      </c>
      <c r="Y18" s="692">
        <f>IF(Select2=1,Textiles!$W20,"")</f>
        <v>2.9297942417336352E-3</v>
      </c>
      <c r="Z18" s="686">
        <f>Sludge!W20</f>
        <v>0</v>
      </c>
      <c r="AA18" s="686" t="str">
        <f>IF(Select2=2,MSW!$W20,"")</f>
        <v/>
      </c>
      <c r="AB18" s="693">
        <f>Industry!$W20</f>
        <v>0</v>
      </c>
      <c r="AC18" s="694">
        <f t="shared" si="0"/>
        <v>0.17991448056400361</v>
      </c>
      <c r="AD18" s="695">
        <f>Recovery_OX!R13</f>
        <v>0</v>
      </c>
      <c r="AE18" s="651"/>
      <c r="AF18" s="697">
        <f>(AC18-AD18)*(1-Recovery_OX!U13)</f>
        <v>0.17991448056400361</v>
      </c>
    </row>
    <row r="19" spans="2:32">
      <c r="B19" s="690">
        <f t="shared" si="1"/>
        <v>2002</v>
      </c>
      <c r="C19" s="773">
        <f>IF(Select2=1,Food!$K21,"")</f>
        <v>0.36191875871524692</v>
      </c>
      <c r="D19" s="774">
        <f>IF(Select2=1,Paper!$K21,"")</f>
        <v>2.1964562123661328E-2</v>
      </c>
      <c r="E19" s="768">
        <f>IF(Select2=1,Nappies!$K21,"")</f>
        <v>6.6102123929283052E-2</v>
      </c>
      <c r="F19" s="774">
        <f>IF(Select2=1,Garden!$K21,"")</f>
        <v>0</v>
      </c>
      <c r="G19" s="768">
        <f>IF(Select2=1,Wood!$K21,"")</f>
        <v>0</v>
      </c>
      <c r="H19" s="774">
        <f>IF(Select2=1,Textiles!$K21,"")</f>
        <v>5.2003834261167212E-3</v>
      </c>
      <c r="I19" s="775">
        <f>Sludge!K21</f>
        <v>0</v>
      </c>
      <c r="J19" s="775" t="str">
        <f>IF(Select2=2,MSW!$K21,"")</f>
        <v/>
      </c>
      <c r="K19" s="775">
        <f>Industry!$K21</f>
        <v>0</v>
      </c>
      <c r="L19" s="776">
        <f t="shared" ref="L19:L82" si="3">SUM(C19:K19)</f>
        <v>0.45518582819430803</v>
      </c>
      <c r="M19" s="777">
        <f>Recovery_OX!C14</f>
        <v>0</v>
      </c>
      <c r="N19" s="651"/>
      <c r="O19" s="779">
        <f>(L19-M19)*(1-Recovery_OX!F14)</f>
        <v>0.45518582819430803</v>
      </c>
      <c r="P19" s="643"/>
      <c r="Q19" s="653"/>
      <c r="S19" s="690">
        <f t="shared" si="2"/>
        <v>2002</v>
      </c>
      <c r="T19" s="691">
        <f>IF(Select2=1,Food!$W21,"")</f>
        <v>0.24214011510832759</v>
      </c>
      <c r="U19" s="692">
        <f>IF(Select2=1,Paper!$W21,"")</f>
        <v>4.5381326701779606E-2</v>
      </c>
      <c r="V19" s="684">
        <f>IF(Select2=1,Nappies!$W21,"")</f>
        <v>0</v>
      </c>
      <c r="W19" s="692">
        <f>IF(Select2=1,Garden!$W21,"")</f>
        <v>0</v>
      </c>
      <c r="X19" s="684">
        <f>IF(Select2=1,Wood!$W21,"")</f>
        <v>1.9372566747705936E-2</v>
      </c>
      <c r="Y19" s="692">
        <f>IF(Select2=1,Textiles!$W21,"")</f>
        <v>5.6990503299909285E-3</v>
      </c>
      <c r="Z19" s="686">
        <f>Sludge!W21</f>
        <v>0</v>
      </c>
      <c r="AA19" s="686" t="str">
        <f>IF(Select2=2,MSW!$W21,"")</f>
        <v/>
      </c>
      <c r="AB19" s="693">
        <f>Industry!$W21</f>
        <v>0</v>
      </c>
      <c r="AC19" s="694">
        <f t="shared" si="0"/>
        <v>0.31259305888780403</v>
      </c>
      <c r="AD19" s="695">
        <f>Recovery_OX!R14</f>
        <v>0</v>
      </c>
      <c r="AE19" s="651"/>
      <c r="AF19" s="697">
        <f>(AC19-AD19)*(1-Recovery_OX!U14)</f>
        <v>0.31259305888780403</v>
      </c>
    </row>
    <row r="20" spans="2:32">
      <c r="B20" s="690">
        <f t="shared" si="1"/>
        <v>2003</v>
      </c>
      <c r="C20" s="773">
        <f>IF(Select2=1,Food!$K22,"")</f>
        <v>0.46529069046746263</v>
      </c>
      <c r="D20" s="774">
        <f>IF(Select2=1,Paper!$K22,"")</f>
        <v>3.2173630035754325E-2</v>
      </c>
      <c r="E20" s="768">
        <f>IF(Select2=1,Nappies!$K22,"")</f>
        <v>9.2643058594921196E-2</v>
      </c>
      <c r="F20" s="774">
        <f>IF(Select2=1,Garden!$K22,"")</f>
        <v>0</v>
      </c>
      <c r="G20" s="768">
        <f>IF(Select2=1,Wood!$K22,"")</f>
        <v>0</v>
      </c>
      <c r="H20" s="774">
        <f>IF(Select2=1,Textiles!$K22,"")</f>
        <v>7.617507303535432E-3</v>
      </c>
      <c r="I20" s="775">
        <f>Sludge!K22</f>
        <v>0</v>
      </c>
      <c r="J20" s="775" t="str">
        <f>IF(Select2=2,MSW!$K22,"")</f>
        <v/>
      </c>
      <c r="K20" s="775">
        <f>Industry!$K22</f>
        <v>0</v>
      </c>
      <c r="L20" s="776">
        <f t="shared" si="3"/>
        <v>0.59772488640167354</v>
      </c>
      <c r="M20" s="777">
        <f>Recovery_OX!C15</f>
        <v>0</v>
      </c>
      <c r="N20" s="651"/>
      <c r="O20" s="779">
        <f>(L20-M20)*(1-Recovery_OX!F15)</f>
        <v>0.59772488640167354</v>
      </c>
      <c r="P20" s="643"/>
      <c r="Q20" s="653"/>
      <c r="S20" s="690">
        <f t="shared" si="2"/>
        <v>2003</v>
      </c>
      <c r="T20" s="691">
        <f>IF(Select2=1,Food!$W22,"")</f>
        <v>0.31130064036627747</v>
      </c>
      <c r="U20" s="692">
        <f>IF(Select2=1,Paper!$W22,"")</f>
        <v>6.6474442222632907E-2</v>
      </c>
      <c r="V20" s="684">
        <f>IF(Select2=1,Nappies!$W22,"")</f>
        <v>0</v>
      </c>
      <c r="W20" s="692">
        <f>IF(Select2=1,Garden!$W22,"")</f>
        <v>0</v>
      </c>
      <c r="X20" s="684">
        <f>IF(Select2=1,Wood!$W22,"")</f>
        <v>2.884713518581402E-2</v>
      </c>
      <c r="Y20" s="692">
        <f>IF(Select2=1,Textiles!$W22,"")</f>
        <v>8.3479532093539005E-3</v>
      </c>
      <c r="Z20" s="686">
        <f>Sludge!W22</f>
        <v>0</v>
      </c>
      <c r="AA20" s="686" t="str">
        <f>IF(Select2=2,MSW!$W22,"")</f>
        <v/>
      </c>
      <c r="AB20" s="693">
        <f>Industry!$W22</f>
        <v>0</v>
      </c>
      <c r="AC20" s="694">
        <f t="shared" si="0"/>
        <v>0.41497017098407823</v>
      </c>
      <c r="AD20" s="695">
        <f>Recovery_OX!R15</f>
        <v>0</v>
      </c>
      <c r="AE20" s="651"/>
      <c r="AF20" s="697">
        <f>(AC20-AD20)*(1-Recovery_OX!U15)</f>
        <v>0.41497017098407823</v>
      </c>
    </row>
    <row r="21" spans="2:32">
      <c r="B21" s="690">
        <f t="shared" si="1"/>
        <v>2004</v>
      </c>
      <c r="C21" s="773">
        <f>IF(Select2=1,Food!$K23,"")</f>
        <v>0.53854119628232966</v>
      </c>
      <c r="D21" s="774">
        <f>IF(Select2=1,Paper!$K23,"")</f>
        <v>4.1900358950648253E-2</v>
      </c>
      <c r="E21" s="768">
        <f>IF(Select2=1,Nappies!$K23,"")</f>
        <v>0.11569015257536749</v>
      </c>
      <c r="F21" s="774">
        <f>IF(Select2=1,Garden!$K23,"")</f>
        <v>0</v>
      </c>
      <c r="G21" s="768">
        <f>IF(Select2=1,Wood!$K23,"")</f>
        <v>0</v>
      </c>
      <c r="H21" s="774">
        <f>IF(Select2=1,Textiles!$K23,"")</f>
        <v>9.9204314207822046E-3</v>
      </c>
      <c r="I21" s="775">
        <f>Sludge!K23</f>
        <v>0</v>
      </c>
      <c r="J21" s="775" t="str">
        <f>IF(Select2=2,MSW!$K23,"")</f>
        <v/>
      </c>
      <c r="K21" s="775">
        <f>Industry!$K23</f>
        <v>0</v>
      </c>
      <c r="L21" s="776">
        <f t="shared" si="3"/>
        <v>0.70605213922912768</v>
      </c>
      <c r="M21" s="777">
        <f>Recovery_OX!C16</f>
        <v>0</v>
      </c>
      <c r="N21" s="651"/>
      <c r="O21" s="779">
        <f>(L21-M21)*(1-Recovery_OX!F16)</f>
        <v>0.70605213922912768</v>
      </c>
      <c r="P21" s="643"/>
      <c r="Q21" s="653"/>
      <c r="S21" s="690">
        <f t="shared" si="2"/>
        <v>2004</v>
      </c>
      <c r="T21" s="691">
        <f>IF(Select2=1,Food!$W23,"")</f>
        <v>0.36030856129504663</v>
      </c>
      <c r="U21" s="692">
        <f>IF(Select2=1,Paper!$W23,"")</f>
        <v>8.657098956745507E-2</v>
      </c>
      <c r="V21" s="684">
        <f>IF(Select2=1,Nappies!$W23,"")</f>
        <v>0</v>
      </c>
      <c r="W21" s="692">
        <f>IF(Select2=1,Garden!$W23,"")</f>
        <v>0</v>
      </c>
      <c r="X21" s="684">
        <f>IF(Select2=1,Wood!$W23,"")</f>
        <v>3.8176080537256671E-2</v>
      </c>
      <c r="Y21" s="692">
        <f>IF(Select2=1,Textiles!$W23,"")</f>
        <v>1.0871705666610634E-2</v>
      </c>
      <c r="Z21" s="686">
        <f>Sludge!W23</f>
        <v>0</v>
      </c>
      <c r="AA21" s="686" t="str">
        <f>IF(Select2=2,MSW!$W23,"")</f>
        <v/>
      </c>
      <c r="AB21" s="693">
        <f>Industry!$W23</f>
        <v>0</v>
      </c>
      <c r="AC21" s="694">
        <f t="shared" si="0"/>
        <v>0.49592733706636899</v>
      </c>
      <c r="AD21" s="695">
        <f>Recovery_OX!R16</f>
        <v>0</v>
      </c>
      <c r="AE21" s="651"/>
      <c r="AF21" s="697">
        <f>(AC21-AD21)*(1-Recovery_OX!U16)</f>
        <v>0.49592733706636899</v>
      </c>
    </row>
    <row r="22" spans="2:32">
      <c r="B22" s="690">
        <f t="shared" si="1"/>
        <v>2005</v>
      </c>
      <c r="C22" s="773">
        <f>IF(Select2=1,Food!$K24,"")</f>
        <v>0.58885494693106633</v>
      </c>
      <c r="D22" s="774">
        <f>IF(Select2=1,Paper!$K24,"")</f>
        <v>5.1033170815609048E-2</v>
      </c>
      <c r="E22" s="768">
        <f>IF(Select2=1,Nappies!$K24,"")</f>
        <v>0.13533494697327986</v>
      </c>
      <c r="F22" s="774">
        <f>IF(Select2=1,Garden!$K24,"")</f>
        <v>0</v>
      </c>
      <c r="G22" s="768">
        <f>IF(Select2=1,Wood!$K24,"")</f>
        <v>0</v>
      </c>
      <c r="H22" s="774">
        <f>IF(Select2=1,Textiles!$K24,"")</f>
        <v>1.2082738285312009E-2</v>
      </c>
      <c r="I22" s="775">
        <f>Sludge!K24</f>
        <v>0</v>
      </c>
      <c r="J22" s="775" t="str">
        <f>IF(Select2=2,MSW!$K24,"")</f>
        <v/>
      </c>
      <c r="K22" s="775">
        <f>Industry!$K24</f>
        <v>0</v>
      </c>
      <c r="L22" s="776">
        <f t="shared" si="3"/>
        <v>0.78730580300526731</v>
      </c>
      <c r="M22" s="777">
        <f>Recovery_OX!C17</f>
        <v>0</v>
      </c>
      <c r="N22" s="651"/>
      <c r="O22" s="779">
        <f>(L22-M22)*(1-Recovery_OX!F17)</f>
        <v>0.78730580300526731</v>
      </c>
      <c r="P22" s="643"/>
      <c r="Q22" s="653"/>
      <c r="S22" s="690">
        <f t="shared" si="2"/>
        <v>2005</v>
      </c>
      <c r="T22" s="691">
        <f>IF(Select2=1,Food!$W24,"")</f>
        <v>0.39397074950784999</v>
      </c>
      <c r="U22" s="692">
        <f>IF(Select2=1,Paper!$W24,"")</f>
        <v>0.10544043556944017</v>
      </c>
      <c r="V22" s="684">
        <f>IF(Select2=1,Nappies!$W24,"")</f>
        <v>0</v>
      </c>
      <c r="W22" s="692">
        <f>IF(Select2=1,Garden!$W24,"")</f>
        <v>0</v>
      </c>
      <c r="X22" s="684">
        <f>IF(Select2=1,Wood!$W24,"")</f>
        <v>4.7239374372981993E-2</v>
      </c>
      <c r="Y22" s="692">
        <f>IF(Select2=1,Textiles!$W24,"")</f>
        <v>1.3241357024999463E-2</v>
      </c>
      <c r="Z22" s="686">
        <f>Sludge!W24</f>
        <v>0</v>
      </c>
      <c r="AA22" s="686" t="str">
        <f>IF(Select2=2,MSW!$W24,"")</f>
        <v/>
      </c>
      <c r="AB22" s="693">
        <f>Industry!$W24</f>
        <v>0</v>
      </c>
      <c r="AC22" s="694">
        <f t="shared" si="0"/>
        <v>0.5598919164752717</v>
      </c>
      <c r="AD22" s="695">
        <f>Recovery_OX!R17</f>
        <v>0</v>
      </c>
      <c r="AE22" s="651"/>
      <c r="AF22" s="697">
        <f>(AC22-AD22)*(1-Recovery_OX!U17)</f>
        <v>0.5598919164752717</v>
      </c>
    </row>
    <row r="23" spans="2:32">
      <c r="B23" s="690">
        <f t="shared" si="1"/>
        <v>2006</v>
      </c>
      <c r="C23" s="773">
        <f>IF(Select2=1,Food!$K25,"")</f>
        <v>0.64711445234290677</v>
      </c>
      <c r="D23" s="774">
        <f>IF(Select2=1,Paper!$K25,"")</f>
        <v>6.0836851320357752E-2</v>
      </c>
      <c r="E23" s="768">
        <f>IF(Select2=1,Nappies!$K25,"")</f>
        <v>0.15597100899379179</v>
      </c>
      <c r="F23" s="774">
        <f>IF(Select2=1,Garden!$K25,"")</f>
        <v>0</v>
      </c>
      <c r="G23" s="768">
        <f>IF(Select2=1,Wood!$K25,"")</f>
        <v>0</v>
      </c>
      <c r="H23" s="774">
        <f>IF(Select2=1,Textiles!$K25,"")</f>
        <v>1.4403881649099693E-2</v>
      </c>
      <c r="I23" s="775">
        <f>Sludge!K25</f>
        <v>0</v>
      </c>
      <c r="J23" s="775" t="str">
        <f>IF(Select2=2,MSW!$K25,"")</f>
        <v/>
      </c>
      <c r="K23" s="775">
        <f>Industry!$K25</f>
        <v>0</v>
      </c>
      <c r="L23" s="776">
        <f t="shared" si="3"/>
        <v>0.87832619430615599</v>
      </c>
      <c r="M23" s="777">
        <f>Recovery_OX!C18</f>
        <v>0</v>
      </c>
      <c r="N23" s="651"/>
      <c r="O23" s="779">
        <f>(L23-M23)*(1-Recovery_OX!F18)</f>
        <v>0.87832619430615599</v>
      </c>
      <c r="P23" s="643"/>
      <c r="Q23" s="653"/>
      <c r="S23" s="690">
        <f t="shared" si="2"/>
        <v>2006</v>
      </c>
      <c r="T23" s="691">
        <f>IF(Select2=1,Food!$W25,"")</f>
        <v>0.43294900915002688</v>
      </c>
      <c r="U23" s="692">
        <f>IF(Select2=1,Paper!$W25,"")</f>
        <v>0.12569597380239206</v>
      </c>
      <c r="V23" s="684">
        <f>IF(Select2=1,Nappies!$W25,"")</f>
        <v>0</v>
      </c>
      <c r="W23" s="692">
        <f>IF(Select2=1,Garden!$W25,"")</f>
        <v>0</v>
      </c>
      <c r="X23" s="684">
        <f>IF(Select2=1,Wood!$W25,"")</f>
        <v>5.7108138428220608E-2</v>
      </c>
      <c r="Y23" s="692">
        <f>IF(Select2=1,Textiles!$W25,"")</f>
        <v>1.5785075779835279E-2</v>
      </c>
      <c r="Z23" s="686">
        <f>Sludge!W25</f>
        <v>0</v>
      </c>
      <c r="AA23" s="686" t="str">
        <f>IF(Select2=2,MSW!$W25,"")</f>
        <v/>
      </c>
      <c r="AB23" s="693">
        <f>Industry!$W25</f>
        <v>0</v>
      </c>
      <c r="AC23" s="694">
        <f t="shared" si="0"/>
        <v>0.63153819716047477</v>
      </c>
      <c r="AD23" s="695">
        <f>Recovery_OX!R18</f>
        <v>0</v>
      </c>
      <c r="AE23" s="651"/>
      <c r="AF23" s="697">
        <f>(AC23-AD23)*(1-Recovery_OX!U18)</f>
        <v>0.63153819716047477</v>
      </c>
    </row>
    <row r="24" spans="2:32">
      <c r="B24" s="690">
        <f t="shared" si="1"/>
        <v>2007</v>
      </c>
      <c r="C24" s="773">
        <f>IF(Select2=1,Food!$K26,"")</f>
        <v>0.69135880423098461</v>
      </c>
      <c r="D24" s="774">
        <f>IF(Select2=1,Paper!$K26,"")</f>
        <v>7.025037965821071E-2</v>
      </c>
      <c r="E24" s="768">
        <f>IF(Select2=1,Nappies!$K26,"")</f>
        <v>0.1742406425798381</v>
      </c>
      <c r="F24" s="774">
        <f>IF(Select2=1,Garden!$K26,"")</f>
        <v>0</v>
      </c>
      <c r="G24" s="768">
        <f>IF(Select2=1,Wood!$K26,"")</f>
        <v>0</v>
      </c>
      <c r="H24" s="774">
        <f>IF(Select2=1,Textiles!$K26,"")</f>
        <v>1.6632651632031197E-2</v>
      </c>
      <c r="I24" s="775">
        <f>Sludge!K26</f>
        <v>0</v>
      </c>
      <c r="J24" s="775" t="str">
        <f>IF(Select2=2,MSW!$K26,"")</f>
        <v/>
      </c>
      <c r="K24" s="775">
        <f>Industry!$K26</f>
        <v>0</v>
      </c>
      <c r="L24" s="776">
        <f t="shared" si="3"/>
        <v>0.95248247810106457</v>
      </c>
      <c r="M24" s="777">
        <f>Recovery_OX!C19</f>
        <v>0</v>
      </c>
      <c r="N24" s="651"/>
      <c r="O24" s="779">
        <f>(L24-M24)*(1-Recovery_OX!F19)</f>
        <v>0.95248247810106457</v>
      </c>
      <c r="P24" s="643"/>
      <c r="Q24" s="653"/>
      <c r="S24" s="690">
        <f t="shared" si="2"/>
        <v>2007</v>
      </c>
      <c r="T24" s="691">
        <f>IF(Select2=1,Food!$W26,"")</f>
        <v>0.46255049346408417</v>
      </c>
      <c r="U24" s="692">
        <f>IF(Select2=1,Paper!$W26,"")</f>
        <v>0.14514541251696431</v>
      </c>
      <c r="V24" s="684">
        <f>IF(Select2=1,Nappies!$W26,"")</f>
        <v>0</v>
      </c>
      <c r="W24" s="692">
        <f>IF(Select2=1,Garden!$W26,"")</f>
        <v>0</v>
      </c>
      <c r="X24" s="684">
        <f>IF(Select2=1,Wood!$W26,"")</f>
        <v>6.6873897628401499E-2</v>
      </c>
      <c r="Y24" s="692">
        <f>IF(Select2=1,Textiles!$W26,"")</f>
        <v>1.8227563432362953E-2</v>
      </c>
      <c r="Z24" s="686">
        <f>Sludge!W26</f>
        <v>0</v>
      </c>
      <c r="AA24" s="686" t="str">
        <f>IF(Select2=2,MSW!$W26,"")</f>
        <v/>
      </c>
      <c r="AB24" s="693">
        <f>Industry!$W26</f>
        <v>0</v>
      </c>
      <c r="AC24" s="694">
        <f t="shared" si="0"/>
        <v>0.69279736704181294</v>
      </c>
      <c r="AD24" s="695">
        <f>Recovery_OX!R19</f>
        <v>0</v>
      </c>
      <c r="AE24" s="651"/>
      <c r="AF24" s="697">
        <f>(AC24-AD24)*(1-Recovery_OX!U19)</f>
        <v>0.69279736704181294</v>
      </c>
    </row>
    <row r="25" spans="2:32">
      <c r="B25" s="690">
        <f t="shared" si="1"/>
        <v>2008</v>
      </c>
      <c r="C25" s="773">
        <f>IF(Select2=1,Food!$K27,"")</f>
        <v>0.72620428945267934</v>
      </c>
      <c r="D25" s="774">
        <f>IF(Select2=1,Paper!$K27,"")</f>
        <v>7.929991048694289E-2</v>
      </c>
      <c r="E25" s="768">
        <f>IF(Select2=1,Nappies!$K27,"")</f>
        <v>0.19051310359054133</v>
      </c>
      <c r="F25" s="774">
        <f>IF(Select2=1,Garden!$K27,"")</f>
        <v>0</v>
      </c>
      <c r="G25" s="768">
        <f>IF(Select2=1,Wood!$K27,"")</f>
        <v>0</v>
      </c>
      <c r="H25" s="774">
        <f>IF(Select2=1,Textiles!$K27,"")</f>
        <v>1.8775240674822752E-2</v>
      </c>
      <c r="I25" s="775">
        <f>Sludge!K27</f>
        <v>0</v>
      </c>
      <c r="J25" s="775" t="str">
        <f>IF(Select2=2,MSW!$K27,"")</f>
        <v/>
      </c>
      <c r="K25" s="775">
        <f>Industry!$K27</f>
        <v>0</v>
      </c>
      <c r="L25" s="776">
        <f t="shared" si="3"/>
        <v>1.0147925442049863</v>
      </c>
      <c r="M25" s="777">
        <f>Recovery_OX!C20</f>
        <v>0</v>
      </c>
      <c r="N25" s="651"/>
      <c r="O25" s="779">
        <f>(L25-M25)*(1-Recovery_OX!F20)</f>
        <v>1.0147925442049863</v>
      </c>
      <c r="P25" s="643"/>
      <c r="Q25" s="653"/>
      <c r="S25" s="690">
        <f t="shared" si="2"/>
        <v>2008</v>
      </c>
      <c r="T25" s="691">
        <f>IF(Select2=1,Food!$W27,"")</f>
        <v>0.48586370837601206</v>
      </c>
      <c r="U25" s="692">
        <f>IF(Select2=1,Paper!$W27,"")</f>
        <v>0.16384279026227874</v>
      </c>
      <c r="V25" s="684">
        <f>IF(Select2=1,Nappies!$W27,"")</f>
        <v>0</v>
      </c>
      <c r="W25" s="692">
        <f>IF(Select2=1,Garden!$W27,"")</f>
        <v>0</v>
      </c>
      <c r="X25" s="684">
        <f>IF(Select2=1,Wood!$W27,"")</f>
        <v>7.6540002232763721E-2</v>
      </c>
      <c r="Y25" s="692">
        <f>IF(Select2=1,Textiles!$W27,"")</f>
        <v>2.0575606218983838E-2</v>
      </c>
      <c r="Z25" s="686">
        <f>Sludge!W27</f>
        <v>0</v>
      </c>
      <c r="AA25" s="686" t="str">
        <f>IF(Select2=2,MSW!$W27,"")</f>
        <v/>
      </c>
      <c r="AB25" s="693">
        <f>Industry!$W27</f>
        <v>0</v>
      </c>
      <c r="AC25" s="694">
        <f t="shared" si="0"/>
        <v>0.74682210709003827</v>
      </c>
      <c r="AD25" s="695">
        <f>Recovery_OX!R20</f>
        <v>0</v>
      </c>
      <c r="AE25" s="651"/>
      <c r="AF25" s="697">
        <f>(AC25-AD25)*(1-Recovery_OX!U20)</f>
        <v>0.74682210709003827</v>
      </c>
    </row>
    <row r="26" spans="2:32">
      <c r="B26" s="690">
        <f t="shared" si="1"/>
        <v>2009</v>
      </c>
      <c r="C26" s="773">
        <f>IF(Select2=1,Food!$K28,"")</f>
        <v>0.75471358529320975</v>
      </c>
      <c r="D26" s="774">
        <f>IF(Select2=1,Paper!$K28,"")</f>
        <v>8.8008164948693429E-2</v>
      </c>
      <c r="E26" s="768">
        <f>IF(Select2=1,Nappies!$K28,"")</f>
        <v>0.20509466897113138</v>
      </c>
      <c r="F26" s="774">
        <f>IF(Select2=1,Garden!$K28,"")</f>
        <v>0</v>
      </c>
      <c r="G26" s="768">
        <f>IF(Select2=1,Wood!$K28,"")</f>
        <v>0</v>
      </c>
      <c r="H26" s="774">
        <f>IF(Select2=1,Textiles!$K28,"")</f>
        <v>2.0837028290634579E-2</v>
      </c>
      <c r="I26" s="775">
        <f>Sludge!K28</f>
        <v>0</v>
      </c>
      <c r="J26" s="775" t="str">
        <f>IF(Select2=2,MSW!$K28,"")</f>
        <v/>
      </c>
      <c r="K26" s="775">
        <f>Industry!$K28</f>
        <v>0</v>
      </c>
      <c r="L26" s="776">
        <f t="shared" si="3"/>
        <v>1.0686534475036691</v>
      </c>
      <c r="M26" s="777">
        <f>Recovery_OX!C21</f>
        <v>0</v>
      </c>
      <c r="N26" s="651"/>
      <c r="O26" s="779">
        <f>(L26-M26)*(1-Recovery_OX!F21)</f>
        <v>1.0686534475036691</v>
      </c>
      <c r="P26" s="643"/>
      <c r="Q26" s="653"/>
      <c r="S26" s="690">
        <f t="shared" si="2"/>
        <v>2009</v>
      </c>
      <c r="T26" s="691">
        <f>IF(Select2=1,Food!$W28,"")</f>
        <v>0.50493772432641137</v>
      </c>
      <c r="U26" s="692">
        <f>IF(Select2=1,Paper!$W28,"")</f>
        <v>0.18183505154688731</v>
      </c>
      <c r="V26" s="684">
        <f>IF(Select2=1,Nappies!$W28,"")</f>
        <v>0</v>
      </c>
      <c r="W26" s="692">
        <f>IF(Select2=1,Garden!$W28,"")</f>
        <v>0</v>
      </c>
      <c r="X26" s="684">
        <f>IF(Select2=1,Wood!$W28,"")</f>
        <v>8.6108243145718522E-2</v>
      </c>
      <c r="Y26" s="692">
        <f>IF(Select2=1,Textiles!$W28,"")</f>
        <v>2.2835099496585846E-2</v>
      </c>
      <c r="Z26" s="686">
        <f>Sludge!W28</f>
        <v>0</v>
      </c>
      <c r="AA26" s="686" t="str">
        <f>IF(Select2=2,MSW!$W28,"")</f>
        <v/>
      </c>
      <c r="AB26" s="693">
        <f>Industry!$W28</f>
        <v>0</v>
      </c>
      <c r="AC26" s="694">
        <f t="shared" si="0"/>
        <v>0.79571611851560298</v>
      </c>
      <c r="AD26" s="695">
        <f>Recovery_OX!R21</f>
        <v>0</v>
      </c>
      <c r="AE26" s="651"/>
      <c r="AF26" s="697">
        <f>(AC26-AD26)*(1-Recovery_OX!U21)</f>
        <v>0.79571611851560298</v>
      </c>
    </row>
    <row r="27" spans="2:32">
      <c r="B27" s="690">
        <f t="shared" si="1"/>
        <v>2010</v>
      </c>
      <c r="C27" s="773">
        <f>IF(Select2=1,Food!$K29,"")</f>
        <v>0.77890161093115462</v>
      </c>
      <c r="D27" s="774">
        <f>IF(Select2=1,Paper!$K29,"")</f>
        <v>9.6394329737015727E-2</v>
      </c>
      <c r="E27" s="768">
        <f>IF(Select2=1,Nappies!$K29,"")</f>
        <v>0.2182374323267128</v>
      </c>
      <c r="F27" s="774">
        <f>IF(Select2=1,Garden!$K29,"")</f>
        <v>0</v>
      </c>
      <c r="G27" s="768">
        <f>IF(Select2=1,Wood!$K29,"")</f>
        <v>0</v>
      </c>
      <c r="H27" s="774">
        <f>IF(Select2=1,Textiles!$K29,"")</f>
        <v>2.2822557167938923E-2</v>
      </c>
      <c r="I27" s="775">
        <f>Sludge!K29</f>
        <v>0</v>
      </c>
      <c r="J27" s="775" t="str">
        <f>IF(Select2=2,MSW!$K29,"")</f>
        <v/>
      </c>
      <c r="K27" s="775">
        <f>Industry!$K29</f>
        <v>0</v>
      </c>
      <c r="L27" s="776">
        <f t="shared" si="3"/>
        <v>1.1163559301628223</v>
      </c>
      <c r="M27" s="777">
        <f>Recovery_OX!C22</f>
        <v>0</v>
      </c>
      <c r="N27" s="651"/>
      <c r="O27" s="779">
        <f>(L27-M27)*(1-Recovery_OX!F22)</f>
        <v>1.1163559301628223</v>
      </c>
      <c r="P27" s="643"/>
      <c r="Q27" s="653"/>
      <c r="S27" s="690">
        <f t="shared" si="2"/>
        <v>2010</v>
      </c>
      <c r="T27" s="691">
        <f>IF(Select2=1,Food!$W29,"")</f>
        <v>0.52112061391468867</v>
      </c>
      <c r="U27" s="692">
        <f>IF(Select2=1,Paper!$W29,"")</f>
        <v>0.19916183829961925</v>
      </c>
      <c r="V27" s="684">
        <f>IF(Select2=1,Nappies!$W29,"")</f>
        <v>0</v>
      </c>
      <c r="W27" s="692">
        <f>IF(Select2=1,Garden!$W29,"")</f>
        <v>0</v>
      </c>
      <c r="X27" s="684">
        <f>IF(Select2=1,Wood!$W29,"")</f>
        <v>9.5578616725398385E-2</v>
      </c>
      <c r="Y27" s="692">
        <f>IF(Select2=1,Textiles!$W29,"")</f>
        <v>2.5011021553905673E-2</v>
      </c>
      <c r="Z27" s="686">
        <f>Sludge!W29</f>
        <v>0</v>
      </c>
      <c r="AA27" s="686" t="str">
        <f>IF(Select2=2,MSW!$W29,"")</f>
        <v/>
      </c>
      <c r="AB27" s="693">
        <f>Industry!$W29</f>
        <v>0</v>
      </c>
      <c r="AC27" s="694">
        <f t="shared" si="0"/>
        <v>0.84087209049361189</v>
      </c>
      <c r="AD27" s="695">
        <f>Recovery_OX!R22</f>
        <v>0</v>
      </c>
      <c r="AE27" s="651"/>
      <c r="AF27" s="697">
        <f>(AC27-AD27)*(1-Recovery_OX!U22)</f>
        <v>0.84087209049361189</v>
      </c>
    </row>
    <row r="28" spans="2:32">
      <c r="B28" s="690">
        <f t="shared" si="1"/>
        <v>2011</v>
      </c>
      <c r="C28" s="773">
        <f>IF(Select2=1,Food!$K30,"")</f>
        <v>0.81681555068868072</v>
      </c>
      <c r="D28" s="774">
        <f>IF(Select2=1,Paper!$K30,"")</f>
        <v>0.10535307439939778</v>
      </c>
      <c r="E28" s="768">
        <f>IF(Select2=1,Nappies!$K30,"")</f>
        <v>0.23291884951230513</v>
      </c>
      <c r="F28" s="774">
        <f>IF(Select2=1,Garden!$K30,"")</f>
        <v>0</v>
      </c>
      <c r="G28" s="768">
        <f>IF(Select2=1,Wood!$K30,"")</f>
        <v>0</v>
      </c>
      <c r="H28" s="774">
        <f>IF(Select2=1,Textiles!$K30,"")</f>
        <v>2.4943651456036532E-2</v>
      </c>
      <c r="I28" s="775">
        <f>Sludge!K30</f>
        <v>0</v>
      </c>
      <c r="J28" s="775" t="str">
        <f>IF(Select2=2,MSW!$K30,"")</f>
        <v/>
      </c>
      <c r="K28" s="775">
        <f>Industry!$K30</f>
        <v>0</v>
      </c>
      <c r="L28" s="776">
        <f t="shared" si="3"/>
        <v>1.1800311260564202</v>
      </c>
      <c r="M28" s="777">
        <f>Recovery_OX!C23</f>
        <v>0</v>
      </c>
      <c r="N28" s="651"/>
      <c r="O28" s="779">
        <f>(L28-M28)*(1-Recovery_OX!F23)</f>
        <v>1.1800311260564202</v>
      </c>
      <c r="P28" s="643"/>
      <c r="Q28" s="653"/>
      <c r="S28" s="690">
        <f t="shared" si="2"/>
        <v>2011</v>
      </c>
      <c r="T28" s="691">
        <f>IF(Select2=1,Food!$W30,"")</f>
        <v>0.54648676451071421</v>
      </c>
      <c r="U28" s="692">
        <f>IF(Select2=1,Paper!$W30,"")</f>
        <v>0.21767164132106975</v>
      </c>
      <c r="V28" s="684">
        <f>IF(Select2=1,Nappies!$W30,"")</f>
        <v>0</v>
      </c>
      <c r="W28" s="692">
        <f>IF(Select2=1,Garden!$W30,"")</f>
        <v>0</v>
      </c>
      <c r="X28" s="684">
        <f>IF(Select2=1,Wood!$W30,"")</f>
        <v>0.10571145077059368</v>
      </c>
      <c r="Y28" s="692">
        <f>IF(Select2=1,Textiles!$W30,"")</f>
        <v>2.7335508444971554E-2</v>
      </c>
      <c r="Z28" s="686">
        <f>Sludge!W30</f>
        <v>0</v>
      </c>
      <c r="AA28" s="686" t="str">
        <f>IF(Select2=2,MSW!$W30,"")</f>
        <v/>
      </c>
      <c r="AB28" s="693">
        <f>Industry!$W30</f>
        <v>0</v>
      </c>
      <c r="AC28" s="694">
        <f t="shared" si="0"/>
        <v>0.89720536504734927</v>
      </c>
      <c r="AD28" s="695">
        <f>Recovery_OX!R23</f>
        <v>0</v>
      </c>
      <c r="AE28" s="651"/>
      <c r="AF28" s="697">
        <f>(AC28-AD28)*(1-Recovery_OX!U23)</f>
        <v>0.89720536504734927</v>
      </c>
    </row>
    <row r="29" spans="2:32">
      <c r="B29" s="690">
        <f t="shared" si="1"/>
        <v>2012</v>
      </c>
      <c r="C29" s="773">
        <f>IF(Select2=1,Food!$K31,"")</f>
        <v>0.84994933505339287</v>
      </c>
      <c r="D29" s="774">
        <f>IF(Select2=1,Paper!$K31,"")</f>
        <v>0.11411151412043088</v>
      </c>
      <c r="E29" s="768">
        <f>IF(Select2=1,Nappies!$K31,"")</f>
        <v>0.24658328190107739</v>
      </c>
      <c r="F29" s="774">
        <f>IF(Select2=1,Garden!$K31,"")</f>
        <v>0</v>
      </c>
      <c r="G29" s="768">
        <f>IF(Select2=1,Wood!$K31,"")</f>
        <v>0</v>
      </c>
      <c r="H29" s="774">
        <f>IF(Select2=1,Textiles!$K31,"")</f>
        <v>2.7017321056526187E-2</v>
      </c>
      <c r="I29" s="775">
        <f>Sludge!K31</f>
        <v>0</v>
      </c>
      <c r="J29" s="775" t="str">
        <f>IF(Select2=2,MSW!$K31,"")</f>
        <v/>
      </c>
      <c r="K29" s="775">
        <f>Industry!$K31</f>
        <v>0</v>
      </c>
      <c r="L29" s="776">
        <f>SUM(C29:K29)</f>
        <v>1.2376614521314273</v>
      </c>
      <c r="M29" s="777">
        <f>Recovery_OX!C24</f>
        <v>0</v>
      </c>
      <c r="N29" s="651"/>
      <c r="O29" s="779">
        <f>(L29-M29)*(1-Recovery_OX!F24)</f>
        <v>1.2376614521314273</v>
      </c>
      <c r="P29" s="643"/>
      <c r="Q29" s="653"/>
      <c r="S29" s="690">
        <f t="shared" si="2"/>
        <v>2012</v>
      </c>
      <c r="T29" s="691">
        <f>IF(Select2=1,Food!$W31,"")</f>
        <v>0.56865477367532979</v>
      </c>
      <c r="U29" s="692">
        <f>IF(Select2=1,Paper!$W31,"")</f>
        <v>0.23576759115791504</v>
      </c>
      <c r="V29" s="684">
        <f>IF(Select2=1,Nappies!$W31,"")</f>
        <v>0</v>
      </c>
      <c r="W29" s="692">
        <f>IF(Select2=1,Garden!$W31,"")</f>
        <v>0</v>
      </c>
      <c r="X29" s="684">
        <f>IF(Select2=1,Wood!$W31,"")</f>
        <v>0.11584729407059785</v>
      </c>
      <c r="Y29" s="692">
        <f>IF(Select2=1,Textiles!$W31,"")</f>
        <v>2.9608023075645144E-2</v>
      </c>
      <c r="Z29" s="686">
        <f>Sludge!W31</f>
        <v>0</v>
      </c>
      <c r="AA29" s="686" t="str">
        <f>IF(Select2=2,MSW!$W31,"")</f>
        <v/>
      </c>
      <c r="AB29" s="693">
        <f>Industry!$W31</f>
        <v>0</v>
      </c>
      <c r="AC29" s="694">
        <f t="shared" si="0"/>
        <v>0.94987768197948774</v>
      </c>
      <c r="AD29" s="695">
        <f>Recovery_OX!R24</f>
        <v>0</v>
      </c>
      <c r="AE29" s="651"/>
      <c r="AF29" s="697">
        <f>(AC29-AD29)*(1-Recovery_OX!U24)</f>
        <v>0.94987768197948774</v>
      </c>
    </row>
    <row r="30" spans="2:32">
      <c r="B30" s="690">
        <f t="shared" si="1"/>
        <v>2013</v>
      </c>
      <c r="C30" s="773">
        <f>IF(Select2=1,Food!$K32,"")</f>
        <v>0.87802001415115527</v>
      </c>
      <c r="D30" s="774">
        <f>IF(Select2=1,Paper!$K32,"")</f>
        <v>0.12258557646793329</v>
      </c>
      <c r="E30" s="768">
        <f>IF(Select2=1,Nappies!$K32,"")</f>
        <v>0.25908191031521377</v>
      </c>
      <c r="F30" s="774">
        <f>IF(Select2=1,Garden!$K32,"")</f>
        <v>0</v>
      </c>
      <c r="G30" s="768">
        <f>IF(Select2=1,Wood!$K32,"")</f>
        <v>0</v>
      </c>
      <c r="H30" s="774">
        <f>IF(Select2=1,Textiles!$K32,"")</f>
        <v>2.9023660774829003E-2</v>
      </c>
      <c r="I30" s="775">
        <f>Sludge!K32</f>
        <v>0</v>
      </c>
      <c r="J30" s="775" t="str">
        <f>IF(Select2=2,MSW!$K32,"")</f>
        <v/>
      </c>
      <c r="K30" s="775">
        <f>Industry!$K32</f>
        <v>0</v>
      </c>
      <c r="L30" s="776">
        <f t="shared" si="3"/>
        <v>1.2887111617091314</v>
      </c>
      <c r="M30" s="777">
        <f>Recovery_OX!C25</f>
        <v>0</v>
      </c>
      <c r="N30" s="651"/>
      <c r="O30" s="779">
        <f>(L30-M30)*(1-Recovery_OX!F25)</f>
        <v>1.2887111617091314</v>
      </c>
      <c r="P30" s="643"/>
      <c r="Q30" s="653"/>
      <c r="S30" s="690">
        <f t="shared" si="2"/>
        <v>2013</v>
      </c>
      <c r="T30" s="691">
        <f>IF(Select2=1,Food!$W32,"")</f>
        <v>0.58743533506990753</v>
      </c>
      <c r="U30" s="692">
        <f>IF(Select2=1,Paper!$W32,"")</f>
        <v>0.25327598443787869</v>
      </c>
      <c r="V30" s="684">
        <f>IF(Select2=1,Nappies!$W32,"")</f>
        <v>0</v>
      </c>
      <c r="W30" s="692">
        <f>IF(Select2=1,Garden!$W32,"")</f>
        <v>0</v>
      </c>
      <c r="X30" s="684">
        <f>IF(Select2=1,Wood!$W32,"")</f>
        <v>0.12590139338493822</v>
      </c>
      <c r="Y30" s="692">
        <f>IF(Select2=1,Textiles!$W32,"")</f>
        <v>3.180675153405918E-2</v>
      </c>
      <c r="Z30" s="686">
        <f>Sludge!W32</f>
        <v>0</v>
      </c>
      <c r="AA30" s="686" t="str">
        <f>IF(Select2=2,MSW!$W32,"")</f>
        <v/>
      </c>
      <c r="AB30" s="693">
        <f>Industry!$W32</f>
        <v>0</v>
      </c>
      <c r="AC30" s="694">
        <f t="shared" si="0"/>
        <v>0.99841946442678364</v>
      </c>
      <c r="AD30" s="695">
        <f>Recovery_OX!R25</f>
        <v>0</v>
      </c>
      <c r="AE30" s="651"/>
      <c r="AF30" s="697">
        <f>(AC30-AD30)*(1-Recovery_OX!U25)</f>
        <v>0.99841946442678364</v>
      </c>
    </row>
    <row r="31" spans="2:32">
      <c r="B31" s="690">
        <f t="shared" si="1"/>
        <v>2014</v>
      </c>
      <c r="C31" s="773">
        <f>IF(Select2=1,Food!$K33,"")</f>
        <v>0.90267670781538734</v>
      </c>
      <c r="D31" s="774">
        <f>IF(Select2=1,Paper!$K33,"")</f>
        <v>0.13079343242038433</v>
      </c>
      <c r="E31" s="768">
        <f>IF(Select2=1,Nappies!$K33,"")</f>
        <v>0.27059366515299355</v>
      </c>
      <c r="F31" s="774">
        <f>IF(Select2=1,Garden!$K33,"")</f>
        <v>0</v>
      </c>
      <c r="G31" s="768">
        <f>IF(Select2=1,Wood!$K33,"")</f>
        <v>0</v>
      </c>
      <c r="H31" s="774">
        <f>IF(Select2=1,Textiles!$K33,"")</f>
        <v>3.0966972816233122E-2</v>
      </c>
      <c r="I31" s="775">
        <f>Sludge!K33</f>
        <v>0</v>
      </c>
      <c r="J31" s="775" t="str">
        <f>IF(Select2=2,MSW!$K33,"")</f>
        <v/>
      </c>
      <c r="K31" s="775">
        <f>Industry!$K33</f>
        <v>0</v>
      </c>
      <c r="L31" s="776">
        <f t="shared" si="3"/>
        <v>1.3350307782049984</v>
      </c>
      <c r="M31" s="777">
        <f>Recovery_OX!C26</f>
        <v>0</v>
      </c>
      <c r="N31" s="651"/>
      <c r="O31" s="779">
        <f>(L31-M31)*(1-Recovery_OX!F26)</f>
        <v>1.3350307782049984</v>
      </c>
      <c r="P31" s="643"/>
      <c r="Q31" s="653"/>
      <c r="S31" s="690">
        <f t="shared" si="2"/>
        <v>2014</v>
      </c>
      <c r="T31" s="691">
        <f>IF(Select2=1,Food!$W33,"")</f>
        <v>0.60393178488986665</v>
      </c>
      <c r="U31" s="692">
        <f>IF(Select2=1,Paper!$W33,"")</f>
        <v>0.27023436450492633</v>
      </c>
      <c r="V31" s="684">
        <f>IF(Select2=1,Nappies!$W33,"")</f>
        <v>0</v>
      </c>
      <c r="W31" s="692">
        <f>IF(Select2=1,Garden!$W33,"")</f>
        <v>0</v>
      </c>
      <c r="X31" s="684">
        <f>IF(Select2=1,Wood!$W33,"")</f>
        <v>0.13587564565207311</v>
      </c>
      <c r="Y31" s="692">
        <f>IF(Select2=1,Textiles!$W33,"")</f>
        <v>3.3936408565734925E-2</v>
      </c>
      <c r="Z31" s="686">
        <f>Sludge!W33</f>
        <v>0</v>
      </c>
      <c r="AA31" s="686" t="str">
        <f>IF(Select2=2,MSW!$W33,"")</f>
        <v/>
      </c>
      <c r="AB31" s="693">
        <f>Industry!$W33</f>
        <v>0</v>
      </c>
      <c r="AC31" s="694">
        <f t="shared" si="0"/>
        <v>1.0439782036126011</v>
      </c>
      <c r="AD31" s="695">
        <f>Recovery_OX!R26</f>
        <v>0</v>
      </c>
      <c r="AE31" s="651"/>
      <c r="AF31" s="697">
        <f>(AC31-AD31)*(1-Recovery_OX!U26)</f>
        <v>1.0439782036126011</v>
      </c>
    </row>
    <row r="32" spans="2:32">
      <c r="B32" s="690">
        <f t="shared" si="1"/>
        <v>2015</v>
      </c>
      <c r="C32" s="773">
        <f>IF(Select2=1,Food!$K34,"")</f>
        <v>0.92489906187239446</v>
      </c>
      <c r="D32" s="774">
        <f>IF(Select2=1,Paper!$K34,"")</f>
        <v>0.13874541879926289</v>
      </c>
      <c r="E32" s="768">
        <f>IF(Select2=1,Nappies!$K34,"")</f>
        <v>0.28124867381137697</v>
      </c>
      <c r="F32" s="774">
        <f>IF(Select2=1,Garden!$K34,"")</f>
        <v>0</v>
      </c>
      <c r="G32" s="768">
        <f>IF(Select2=1,Wood!$K34,"")</f>
        <v>0</v>
      </c>
      <c r="H32" s="774">
        <f>IF(Select2=1,Textiles!$K34,"")</f>
        <v>3.2849704551862757E-2</v>
      </c>
      <c r="I32" s="775">
        <f>Sludge!K34</f>
        <v>0</v>
      </c>
      <c r="J32" s="775" t="str">
        <f>IF(Select2=2,MSW!$K34,"")</f>
        <v/>
      </c>
      <c r="K32" s="775">
        <f>Industry!$K34</f>
        <v>0</v>
      </c>
      <c r="L32" s="776">
        <f t="shared" si="3"/>
        <v>1.377742859034897</v>
      </c>
      <c r="M32" s="777">
        <f>Recovery_OX!C27</f>
        <v>0</v>
      </c>
      <c r="N32" s="651"/>
      <c r="O32" s="779">
        <f>(L32-M32)*(1-Recovery_OX!F27)</f>
        <v>1.377742859034897</v>
      </c>
      <c r="P32" s="643"/>
      <c r="Q32" s="653"/>
      <c r="S32" s="690">
        <f t="shared" si="2"/>
        <v>2015</v>
      </c>
      <c r="T32" s="691">
        <f>IF(Select2=1,Food!$W34,"")</f>
        <v>0.61879955076208371</v>
      </c>
      <c r="U32" s="692">
        <f>IF(Select2=1,Paper!$W34,"")</f>
        <v>0.28666408842822905</v>
      </c>
      <c r="V32" s="684">
        <f>IF(Select2=1,Nappies!$W34,"")</f>
        <v>0</v>
      </c>
      <c r="W32" s="692">
        <f>IF(Select2=1,Garden!$W34,"")</f>
        <v>0</v>
      </c>
      <c r="X32" s="684">
        <f>IF(Select2=1,Wood!$W34,"")</f>
        <v>0.14576615420729733</v>
      </c>
      <c r="Y32" s="692">
        <f>IF(Select2=1,Textiles!$W34,"")</f>
        <v>3.5999676221219454E-2</v>
      </c>
      <c r="Z32" s="686">
        <f>Sludge!W34</f>
        <v>0</v>
      </c>
      <c r="AA32" s="686" t="str">
        <f>IF(Select2=2,MSW!$W34,"")</f>
        <v/>
      </c>
      <c r="AB32" s="693">
        <f>Industry!$W34</f>
        <v>0</v>
      </c>
      <c r="AC32" s="694">
        <f t="shared" si="0"/>
        <v>1.0872294696188294</v>
      </c>
      <c r="AD32" s="695">
        <f>Recovery_OX!R27</f>
        <v>0</v>
      </c>
      <c r="AE32" s="651"/>
      <c r="AF32" s="697">
        <f>(AC32-AD32)*(1-Recovery_OX!U27)</f>
        <v>1.0872294696188294</v>
      </c>
    </row>
    <row r="33" spans="2:32">
      <c r="B33" s="690">
        <f t="shared" si="1"/>
        <v>2016</v>
      </c>
      <c r="C33" s="773">
        <f>IF(Select2=1,Food!$K35,"")</f>
        <v>0.94533318177971948</v>
      </c>
      <c r="D33" s="774">
        <f>IF(Select2=1,Paper!$K35,"")</f>
        <v>0.14645061849332258</v>
      </c>
      <c r="E33" s="768">
        <f>IF(Select2=1,Nappies!$K35,"")</f>
        <v>0.29115496978637689</v>
      </c>
      <c r="F33" s="774">
        <f>IF(Select2=1,Garden!$K35,"")</f>
        <v>0</v>
      </c>
      <c r="G33" s="768">
        <f>IF(Select2=1,Wood!$K35,"")</f>
        <v>0</v>
      </c>
      <c r="H33" s="774">
        <f>IF(Select2=1,Textiles!$K35,"")</f>
        <v>3.4674006468664559E-2</v>
      </c>
      <c r="I33" s="775">
        <f>Sludge!K35</f>
        <v>0</v>
      </c>
      <c r="J33" s="775" t="str">
        <f>IF(Select2=2,MSW!$K35,"")</f>
        <v/>
      </c>
      <c r="K33" s="775">
        <f>Industry!$K35</f>
        <v>0</v>
      </c>
      <c r="L33" s="776">
        <f t="shared" si="3"/>
        <v>1.4176127765280835</v>
      </c>
      <c r="M33" s="777">
        <f>Recovery_OX!C28</f>
        <v>0</v>
      </c>
      <c r="N33" s="651"/>
      <c r="O33" s="779">
        <f>(L33-M33)*(1-Recovery_OX!F28)</f>
        <v>1.4176127765280835</v>
      </c>
      <c r="P33" s="643"/>
      <c r="Q33" s="653"/>
      <c r="S33" s="690">
        <f t="shared" si="2"/>
        <v>2016</v>
      </c>
      <c r="T33" s="691">
        <f>IF(Select2=1,Food!$W35,"")</f>
        <v>0.63247090663228323</v>
      </c>
      <c r="U33" s="692">
        <f>IF(Select2=1,Paper!$W35,"")</f>
        <v>0.30258392250686483</v>
      </c>
      <c r="V33" s="684">
        <f>IF(Select2=1,Nappies!$W35,"")</f>
        <v>0</v>
      </c>
      <c r="W33" s="692">
        <f>IF(Select2=1,Garden!$W35,"")</f>
        <v>0</v>
      </c>
      <c r="X33" s="684">
        <f>IF(Select2=1,Wood!$W35,"")</f>
        <v>0.15556867503538099</v>
      </c>
      <c r="Y33" s="692">
        <f>IF(Select2=1,Textiles!$W35,"")</f>
        <v>3.799891119853651E-2</v>
      </c>
      <c r="Z33" s="686">
        <f>Sludge!W35</f>
        <v>0</v>
      </c>
      <c r="AA33" s="686" t="str">
        <f>IF(Select2=2,MSW!$W35,"")</f>
        <v/>
      </c>
      <c r="AB33" s="693">
        <f>Industry!$W35</f>
        <v>0</v>
      </c>
      <c r="AC33" s="694">
        <f t="shared" si="0"/>
        <v>1.1286224153730657</v>
      </c>
      <c r="AD33" s="695">
        <f>Recovery_OX!R28</f>
        <v>0</v>
      </c>
      <c r="AE33" s="651"/>
      <c r="AF33" s="697">
        <f>(AC33-AD33)*(1-Recovery_OX!U28)</f>
        <v>1.1286224153730657</v>
      </c>
    </row>
    <row r="34" spans="2:32">
      <c r="B34" s="690">
        <f t="shared" si="1"/>
        <v>2017</v>
      </c>
      <c r="C34" s="773">
        <f>IF(Select2=1,Food!$K36,"")</f>
        <v>0.96452421522255927</v>
      </c>
      <c r="D34" s="774">
        <f>IF(Select2=1,Paper!$K36,"")</f>
        <v>0.15392338438883738</v>
      </c>
      <c r="E34" s="768">
        <f>IF(Select2=1,Nappies!$K36,"")</f>
        <v>0.30042225148865931</v>
      </c>
      <c r="F34" s="774">
        <f>IF(Select2=1,Garden!$K36,"")</f>
        <v>0</v>
      </c>
      <c r="G34" s="768">
        <f>IF(Select2=1,Wood!$K36,"")</f>
        <v>0</v>
      </c>
      <c r="H34" s="774">
        <f>IF(Select2=1,Textiles!$K36,"")</f>
        <v>3.644327679108187E-2</v>
      </c>
      <c r="I34" s="775">
        <f>Sludge!K36</f>
        <v>0</v>
      </c>
      <c r="J34" s="775" t="str">
        <f>IF(Select2=2,MSW!$K36,"")</f>
        <v/>
      </c>
      <c r="K34" s="775">
        <f>Industry!$K36</f>
        <v>0</v>
      </c>
      <c r="L34" s="776">
        <f t="shared" si="3"/>
        <v>1.455313127891138</v>
      </c>
      <c r="M34" s="777">
        <f>Recovery_OX!C29</f>
        <v>0</v>
      </c>
      <c r="N34" s="651"/>
      <c r="O34" s="779">
        <f>(L34-M34)*(1-Recovery_OX!F29)</f>
        <v>1.455313127891138</v>
      </c>
      <c r="P34" s="643"/>
      <c r="Q34" s="653"/>
      <c r="S34" s="690">
        <f t="shared" si="2"/>
        <v>2017</v>
      </c>
      <c r="T34" s="691">
        <f>IF(Select2=1,Food!$W36,"")</f>
        <v>0.64531058110340711</v>
      </c>
      <c r="U34" s="692">
        <f>IF(Select2=1,Paper!$W36,"")</f>
        <v>0.31802352146454005</v>
      </c>
      <c r="V34" s="684">
        <f>IF(Select2=1,Nappies!$W36,"")</f>
        <v>0</v>
      </c>
      <c r="W34" s="692">
        <f>IF(Select2=1,Garden!$W36,"")</f>
        <v>0</v>
      </c>
      <c r="X34" s="684">
        <f>IF(Select2=1,Wood!$W36,"")</f>
        <v>0.16528421266389542</v>
      </c>
      <c r="Y34" s="692">
        <f>IF(Select2=1,Textiles!$W36,"")</f>
        <v>3.9937837579267804E-2</v>
      </c>
      <c r="Z34" s="686">
        <f>Sludge!W36</f>
        <v>0</v>
      </c>
      <c r="AA34" s="686" t="str">
        <f>IF(Select2=2,MSW!$W36,"")</f>
        <v/>
      </c>
      <c r="AB34" s="693">
        <f>Industry!$W36</f>
        <v>0</v>
      </c>
      <c r="AC34" s="694">
        <f t="shared" si="0"/>
        <v>1.1685561528111104</v>
      </c>
      <c r="AD34" s="695">
        <f>Recovery_OX!R29</f>
        <v>0</v>
      </c>
      <c r="AE34" s="651"/>
      <c r="AF34" s="697">
        <f>(AC34-AD34)*(1-Recovery_OX!U29)</f>
        <v>1.1685561528111104</v>
      </c>
    </row>
    <row r="35" spans="2:32">
      <c r="B35" s="690">
        <f t="shared" si="1"/>
        <v>2018</v>
      </c>
      <c r="C35" s="773">
        <f>IF(Select2=1,Food!$K37,"")</f>
        <v>0.99008438237375085</v>
      </c>
      <c r="D35" s="774">
        <f>IF(Select2=1,Paper!$K37,"")</f>
        <v>0.16155764763491282</v>
      </c>
      <c r="E35" s="768">
        <f>IF(Select2=1,Nappies!$K37,"")</f>
        <v>0.31034306151089047</v>
      </c>
      <c r="F35" s="774">
        <f>IF(Select2=1,Garden!$K37,"")</f>
        <v>0</v>
      </c>
      <c r="G35" s="768">
        <f>IF(Select2=1,Wood!$K37,"")</f>
        <v>0</v>
      </c>
      <c r="H35" s="774">
        <f>IF(Select2=1,Textiles!$K37,"")</f>
        <v>3.825078362103751E-2</v>
      </c>
      <c r="I35" s="775">
        <f>Sludge!K37</f>
        <v>0</v>
      </c>
      <c r="J35" s="775" t="str">
        <f>IF(Select2=2,MSW!$K37,"")</f>
        <v/>
      </c>
      <c r="K35" s="775">
        <f>Industry!$K37</f>
        <v>0</v>
      </c>
      <c r="L35" s="776">
        <f t="shared" si="3"/>
        <v>1.5002358751405915</v>
      </c>
      <c r="M35" s="777">
        <f>Recovery_OX!C30</f>
        <v>0</v>
      </c>
      <c r="N35" s="651"/>
      <c r="O35" s="779">
        <f>(L35-M35)*(1-Recovery_OX!F30)</f>
        <v>1.5002358751405915</v>
      </c>
      <c r="P35" s="643"/>
      <c r="Q35" s="653"/>
      <c r="S35" s="690">
        <f t="shared" si="2"/>
        <v>2018</v>
      </c>
      <c r="T35" s="691">
        <f>IF(Select2=1,Food!$W37,"")</f>
        <v>0.66241149578975289</v>
      </c>
      <c r="U35" s="692">
        <f>IF(Select2=1,Paper!$W37,"")</f>
        <v>0.33379679263411743</v>
      </c>
      <c r="V35" s="684">
        <f>IF(Select2=1,Nappies!$W37,"")</f>
        <v>0</v>
      </c>
      <c r="W35" s="692">
        <f>IF(Select2=1,Garden!$W37,"")</f>
        <v>0</v>
      </c>
      <c r="X35" s="684">
        <f>IF(Select2=1,Wood!$W37,"")</f>
        <v>0.17524374348559679</v>
      </c>
      <c r="Y35" s="692">
        <f>IF(Select2=1,Textiles!$W37,"")</f>
        <v>4.1918666981958924E-2</v>
      </c>
      <c r="Z35" s="686">
        <f>Sludge!W37</f>
        <v>0</v>
      </c>
      <c r="AA35" s="686" t="str">
        <f>IF(Select2=2,MSW!$W37,"")</f>
        <v/>
      </c>
      <c r="AB35" s="693">
        <f>Industry!$W37</f>
        <v>0</v>
      </c>
      <c r="AC35" s="694">
        <f t="shared" si="0"/>
        <v>1.2133706988914259</v>
      </c>
      <c r="AD35" s="695">
        <f>Recovery_OX!R30</f>
        <v>0</v>
      </c>
      <c r="AE35" s="651"/>
      <c r="AF35" s="697">
        <f>(AC35-AD35)*(1-Recovery_OX!U30)</f>
        <v>1.2133706988914259</v>
      </c>
    </row>
    <row r="36" spans="2:32">
      <c r="B36" s="690">
        <f t="shared" si="1"/>
        <v>2019</v>
      </c>
      <c r="C36" s="773">
        <f>IF(Select2=1,Food!$K38,"")</f>
        <v>1.0151982835290339</v>
      </c>
      <c r="D36" s="774">
        <f>IF(Select2=1,Paper!$K38,"")</f>
        <v>0.1690948600316548</v>
      </c>
      <c r="E36" s="768">
        <f>IF(Select2=1,Nappies!$K38,"")</f>
        <v>0.32003437226910336</v>
      </c>
      <c r="F36" s="774">
        <f>IF(Select2=1,Garden!$K38,"")</f>
        <v>0</v>
      </c>
      <c r="G36" s="768">
        <f>IF(Select2=1,Wood!$K38,"")</f>
        <v>0</v>
      </c>
      <c r="H36" s="774">
        <f>IF(Select2=1,Textiles!$K38,"")</f>
        <v>4.003531245464053E-2</v>
      </c>
      <c r="I36" s="775">
        <f>Sludge!K38</f>
        <v>0</v>
      </c>
      <c r="J36" s="775" t="str">
        <f>IF(Select2=2,MSW!$K38,"")</f>
        <v/>
      </c>
      <c r="K36" s="775">
        <f>Industry!$K38</f>
        <v>0</v>
      </c>
      <c r="L36" s="776">
        <f t="shared" si="3"/>
        <v>1.5443628282844326</v>
      </c>
      <c r="M36" s="777">
        <f>Recovery_OX!C31</f>
        <v>0</v>
      </c>
      <c r="N36" s="651"/>
      <c r="O36" s="779">
        <f>(L36-M36)*(1-Recovery_OX!F31)</f>
        <v>1.5443628282844326</v>
      </c>
      <c r="P36" s="643"/>
      <c r="Q36" s="653"/>
      <c r="S36" s="690">
        <f t="shared" si="2"/>
        <v>2019</v>
      </c>
      <c r="T36" s="691">
        <f>IF(Select2=1,Food!$W38,"")</f>
        <v>0.67921383822192283</v>
      </c>
      <c r="U36" s="692">
        <f>IF(Select2=1,Paper!$W38,"")</f>
        <v>0.34936954551994798</v>
      </c>
      <c r="V36" s="684">
        <f>IF(Select2=1,Nappies!$W38,"")</f>
        <v>0</v>
      </c>
      <c r="W36" s="692">
        <f>IF(Select2=1,Garden!$W38,"")</f>
        <v>0</v>
      </c>
      <c r="X36" s="684">
        <f>IF(Select2=1,Wood!$W38,"")</f>
        <v>0.18522413420906675</v>
      </c>
      <c r="Y36" s="692">
        <f>IF(Select2=1,Textiles!$W38,"")</f>
        <v>4.3874315018784145E-2</v>
      </c>
      <c r="Z36" s="686">
        <f>Sludge!W38</f>
        <v>0</v>
      </c>
      <c r="AA36" s="686" t="str">
        <f>IF(Select2=2,MSW!$W38,"")</f>
        <v/>
      </c>
      <c r="AB36" s="693">
        <f>Industry!$W38</f>
        <v>0</v>
      </c>
      <c r="AC36" s="694">
        <f t="shared" si="0"/>
        <v>1.2576818329697217</v>
      </c>
      <c r="AD36" s="695">
        <f>Recovery_OX!R31</f>
        <v>0</v>
      </c>
      <c r="AE36" s="651"/>
      <c r="AF36" s="697">
        <f>(AC36-AD36)*(1-Recovery_OX!U31)</f>
        <v>1.2576818329697217</v>
      </c>
    </row>
    <row r="37" spans="2:32">
      <c r="B37" s="690">
        <f t="shared" si="1"/>
        <v>2020</v>
      </c>
      <c r="C37" s="773">
        <f>IF(Select2=1,Food!$K39,"")</f>
        <v>1.0400130436413955</v>
      </c>
      <c r="D37" s="774">
        <f>IF(Select2=1,Paper!$K39,"")</f>
        <v>0.17654158281626164</v>
      </c>
      <c r="E37" s="768">
        <f>IF(Select2=1,Nappies!$K39,"")</f>
        <v>0.3295320625728293</v>
      </c>
      <c r="F37" s="774">
        <f>IF(Select2=1,Garden!$K39,"")</f>
        <v>0</v>
      </c>
      <c r="G37" s="768">
        <f>IF(Select2=1,Wood!$K39,"")</f>
        <v>0</v>
      </c>
      <c r="H37" s="774">
        <f>IF(Select2=1,Textiles!$K39,"")</f>
        <v>4.1798416746450559E-2</v>
      </c>
      <c r="I37" s="775">
        <f>Sludge!K39</f>
        <v>0</v>
      </c>
      <c r="J37" s="775" t="str">
        <f>IF(Select2=2,MSW!$K39,"")</f>
        <v/>
      </c>
      <c r="K37" s="775">
        <f>Industry!$K39</f>
        <v>0</v>
      </c>
      <c r="L37" s="776">
        <f t="shared" si="3"/>
        <v>1.587885105776937</v>
      </c>
      <c r="M37" s="777">
        <f>Recovery_OX!C32</f>
        <v>0</v>
      </c>
      <c r="N37" s="651"/>
      <c r="O37" s="779">
        <f>(L37-M37)*(1-Recovery_OX!F32)</f>
        <v>1.587885105776937</v>
      </c>
      <c r="P37" s="643"/>
      <c r="Q37" s="653"/>
      <c r="S37" s="690">
        <f t="shared" si="2"/>
        <v>2020</v>
      </c>
      <c r="T37" s="691">
        <f>IF(Select2=1,Food!$W39,"")</f>
        <v>0.69581604168692834</v>
      </c>
      <c r="U37" s="692">
        <f>IF(Select2=1,Paper!$W39,"")</f>
        <v>0.36475533639723479</v>
      </c>
      <c r="V37" s="684">
        <f>IF(Select2=1,Nappies!$W39,"")</f>
        <v>0</v>
      </c>
      <c r="W37" s="692">
        <f>IF(Select2=1,Garden!$W39,"")</f>
        <v>0</v>
      </c>
      <c r="X37" s="684">
        <f>IF(Select2=1,Wood!$W39,"")</f>
        <v>0.19522466736666705</v>
      </c>
      <c r="Y37" s="692">
        <f>IF(Select2=1,Textiles!$W39,"")</f>
        <v>4.5806484105699249E-2</v>
      </c>
      <c r="Z37" s="686">
        <f>Sludge!W39</f>
        <v>0</v>
      </c>
      <c r="AA37" s="686" t="str">
        <f>IF(Select2=2,MSW!$W39,"")</f>
        <v/>
      </c>
      <c r="AB37" s="693">
        <f>Industry!$W39</f>
        <v>0</v>
      </c>
      <c r="AC37" s="694">
        <f t="shared" si="0"/>
        <v>1.3016025295565294</v>
      </c>
      <c r="AD37" s="695">
        <f>Recovery_OX!R32</f>
        <v>0</v>
      </c>
      <c r="AE37" s="651"/>
      <c r="AF37" s="697">
        <f>(AC37-AD37)*(1-Recovery_OX!U32)</f>
        <v>1.3016025295565294</v>
      </c>
    </row>
    <row r="38" spans="2:32">
      <c r="B38" s="690">
        <f t="shared" si="1"/>
        <v>2021</v>
      </c>
      <c r="C38" s="773">
        <f>IF(Select2=1,Food!$K40,"")</f>
        <v>1.0646272835160946</v>
      </c>
      <c r="D38" s="774">
        <f>IF(Select2=1,Paper!$K40,"")</f>
        <v>0.18390393364574797</v>
      </c>
      <c r="E38" s="768">
        <f>IF(Select2=1,Nappies!$K40,"")</f>
        <v>0.33886640211133107</v>
      </c>
      <c r="F38" s="774">
        <f>IF(Select2=1,Garden!$K40,"")</f>
        <v>0</v>
      </c>
      <c r="G38" s="768">
        <f>IF(Select2=1,Wood!$K40,"")</f>
        <v>0</v>
      </c>
      <c r="H38" s="774">
        <f>IF(Select2=1,Textiles!$K40,"")</f>
        <v>4.3541544927898475E-2</v>
      </c>
      <c r="I38" s="775">
        <f>Sludge!K40</f>
        <v>0</v>
      </c>
      <c r="J38" s="775" t="str">
        <f>IF(Select2=2,MSW!$K40,"")</f>
        <v/>
      </c>
      <c r="K38" s="775">
        <f>Industry!$K40</f>
        <v>0</v>
      </c>
      <c r="L38" s="776">
        <f t="shared" si="3"/>
        <v>1.630939164201072</v>
      </c>
      <c r="M38" s="777">
        <f>Recovery_OX!C33</f>
        <v>0</v>
      </c>
      <c r="N38" s="651"/>
      <c r="O38" s="779">
        <f>(L38-M38)*(1-Recovery_OX!F33)</f>
        <v>1.630939164201072</v>
      </c>
      <c r="P38" s="643"/>
      <c r="Q38" s="653"/>
      <c r="S38" s="690">
        <f t="shared" si="2"/>
        <v>2021</v>
      </c>
      <c r="T38" s="691">
        <f>IF(Select2=1,Food!$W40,"")</f>
        <v>0.71228408799025067</v>
      </c>
      <c r="U38" s="692">
        <f>IF(Select2=1,Paper!$W40,"")</f>
        <v>0.37996680505319824</v>
      </c>
      <c r="V38" s="684">
        <f>IF(Select2=1,Nappies!$W40,"")</f>
        <v>0</v>
      </c>
      <c r="W38" s="692">
        <f>IF(Select2=1,Garden!$W40,"")</f>
        <v>0</v>
      </c>
      <c r="X38" s="684">
        <f>IF(Select2=1,Wood!$W40,"")</f>
        <v>0.20524465016776028</v>
      </c>
      <c r="Y38" s="692">
        <f>IF(Select2=1,Textiles!$W40,"")</f>
        <v>4.7716761564820243E-2</v>
      </c>
      <c r="Z38" s="686">
        <f>Sludge!W40</f>
        <v>0</v>
      </c>
      <c r="AA38" s="686" t="str">
        <f>IF(Select2=2,MSW!$W40,"")</f>
        <v/>
      </c>
      <c r="AB38" s="693">
        <f>Industry!$W40</f>
        <v>0</v>
      </c>
      <c r="AC38" s="694">
        <f t="shared" si="0"/>
        <v>1.3452123047760294</v>
      </c>
      <c r="AD38" s="695">
        <f>Recovery_OX!R33</f>
        <v>0</v>
      </c>
      <c r="AE38" s="651"/>
      <c r="AF38" s="697">
        <f>(AC38-AD38)*(1-Recovery_OX!U33)</f>
        <v>1.3452123047760294</v>
      </c>
    </row>
    <row r="39" spans="2:32">
      <c r="B39" s="690">
        <f t="shared" si="1"/>
        <v>2022</v>
      </c>
      <c r="C39" s="773">
        <f>IF(Select2=1,Food!$K41,"")</f>
        <v>1.089107110655853</v>
      </c>
      <c r="D39" s="774">
        <f>IF(Select2=1,Paper!$K41,"")</f>
        <v>0.1911876165857066</v>
      </c>
      <c r="E39" s="768">
        <f>IF(Select2=1,Nappies!$K41,"")</f>
        <v>0.34806292835644925</v>
      </c>
      <c r="F39" s="774">
        <f>IF(Select2=1,Garden!$K41,"")</f>
        <v>0</v>
      </c>
      <c r="G39" s="768">
        <f>IF(Select2=1,Wood!$K41,"")</f>
        <v>0</v>
      </c>
      <c r="H39" s="774">
        <f>IF(Select2=1,Textiles!$K41,"")</f>
        <v>4.5266047507498991E-2</v>
      </c>
      <c r="I39" s="775">
        <f>Sludge!K41</f>
        <v>0</v>
      </c>
      <c r="J39" s="775" t="str">
        <f>IF(Select2=2,MSW!$K41,"")</f>
        <v/>
      </c>
      <c r="K39" s="775">
        <f>Industry!$K41</f>
        <v>0</v>
      </c>
      <c r="L39" s="776">
        <f t="shared" si="3"/>
        <v>1.6736237031055077</v>
      </c>
      <c r="M39" s="777">
        <f>Recovery_OX!C34</f>
        <v>0</v>
      </c>
      <c r="N39" s="651"/>
      <c r="O39" s="779">
        <f>(L39-M39)*(1-Recovery_OX!F34)</f>
        <v>1.6736237031055077</v>
      </c>
      <c r="P39" s="643"/>
      <c r="Q39" s="653"/>
      <c r="S39" s="690">
        <f t="shared" si="2"/>
        <v>2022</v>
      </c>
      <c r="T39" s="691">
        <f>IF(Select2=1,Food!$W41,"")</f>
        <v>0.72866220605877763</v>
      </c>
      <c r="U39" s="692">
        <f>IF(Select2=1,Paper!$W41,"")</f>
        <v>0.39501573674732771</v>
      </c>
      <c r="V39" s="684">
        <f>IF(Select2=1,Nappies!$W41,"")</f>
        <v>0</v>
      </c>
      <c r="W39" s="692">
        <f>IF(Select2=1,Garden!$W41,"")</f>
        <v>0</v>
      </c>
      <c r="X39" s="684">
        <f>IF(Select2=1,Wood!$W41,"")</f>
        <v>0.21528341364995446</v>
      </c>
      <c r="Y39" s="692">
        <f>IF(Select2=1,Textiles!$W41,"")</f>
        <v>4.9606627405478346E-2</v>
      </c>
      <c r="Z39" s="686">
        <f>Sludge!W41</f>
        <v>0</v>
      </c>
      <c r="AA39" s="686" t="str">
        <f>IF(Select2=2,MSW!$W41,"")</f>
        <v/>
      </c>
      <c r="AB39" s="693">
        <f>Industry!$W41</f>
        <v>0</v>
      </c>
      <c r="AC39" s="694">
        <f t="shared" si="0"/>
        <v>1.3885679838615381</v>
      </c>
      <c r="AD39" s="695">
        <f>Recovery_OX!R34</f>
        <v>0</v>
      </c>
      <c r="AE39" s="651"/>
      <c r="AF39" s="697">
        <f>(AC39-AD39)*(1-Recovery_OX!U34)</f>
        <v>1.3885679838615381</v>
      </c>
    </row>
    <row r="40" spans="2:32">
      <c r="B40" s="690">
        <f t="shared" si="1"/>
        <v>2023</v>
      </c>
      <c r="C40" s="773">
        <f>IF(Select2=1,Food!$K42,"")</f>
        <v>1.1134968382449379</v>
      </c>
      <c r="D40" s="774">
        <f>IF(Select2=1,Paper!$K42,"")</f>
        <v>0.19839795007164446</v>
      </c>
      <c r="E40" s="768">
        <f>IF(Select2=1,Nappies!$K42,"")</f>
        <v>0.35714318637468034</v>
      </c>
      <c r="F40" s="774">
        <f>IF(Select2=1,Garden!$K42,"")</f>
        <v>0</v>
      </c>
      <c r="G40" s="768">
        <f>IF(Select2=1,Wood!$K42,"")</f>
        <v>0</v>
      </c>
      <c r="H40" s="774">
        <f>IF(Select2=1,Textiles!$K42,"")</f>
        <v>4.6973183691044973E-2</v>
      </c>
      <c r="I40" s="775">
        <f>Sludge!K42</f>
        <v>0</v>
      </c>
      <c r="J40" s="775" t="str">
        <f>IF(Select2=2,MSW!$K42,"")</f>
        <v/>
      </c>
      <c r="K40" s="775">
        <f>Industry!$K42</f>
        <v>0</v>
      </c>
      <c r="L40" s="776">
        <f t="shared" si="3"/>
        <v>1.7160111583823077</v>
      </c>
      <c r="M40" s="777">
        <f>Recovery_OX!C35</f>
        <v>0</v>
      </c>
      <c r="N40" s="651"/>
      <c r="O40" s="779">
        <f>(L40-M40)*(1-Recovery_OX!F35)</f>
        <v>1.7160111583823077</v>
      </c>
      <c r="P40" s="643"/>
      <c r="Q40" s="653"/>
      <c r="S40" s="690">
        <f t="shared" si="2"/>
        <v>2023</v>
      </c>
      <c r="T40" s="691">
        <f>IF(Select2=1,Food!$W42,"")</f>
        <v>0.74498004342881674</v>
      </c>
      <c r="U40" s="692">
        <f>IF(Select2=1,Paper!$W42,"")</f>
        <v>0.40991311998273661</v>
      </c>
      <c r="V40" s="684">
        <f>IF(Select2=1,Nappies!$W42,"")</f>
        <v>0</v>
      </c>
      <c r="W40" s="692">
        <f>IF(Select2=1,Garden!$W42,"")</f>
        <v>0</v>
      </c>
      <c r="X40" s="684">
        <f>IF(Select2=1,Wood!$W42,"")</f>
        <v>0.22534031185954079</v>
      </c>
      <c r="Y40" s="692">
        <f>IF(Select2=1,Textiles!$W42,"")</f>
        <v>5.147746157922737E-2</v>
      </c>
      <c r="Z40" s="686">
        <f>Sludge!W42</f>
        <v>0</v>
      </c>
      <c r="AA40" s="686" t="str">
        <f>IF(Select2=2,MSW!$W42,"")</f>
        <v/>
      </c>
      <c r="AB40" s="693">
        <f>Industry!$W42</f>
        <v>0</v>
      </c>
      <c r="AC40" s="694">
        <f t="shared" si="0"/>
        <v>1.4317109368503214</v>
      </c>
      <c r="AD40" s="695">
        <f>Recovery_OX!R35</f>
        <v>0</v>
      </c>
      <c r="AE40" s="651"/>
      <c r="AF40" s="697">
        <f>(AC40-AD40)*(1-Recovery_OX!U35)</f>
        <v>1.4317109368503214</v>
      </c>
    </row>
    <row r="41" spans="2:32">
      <c r="B41" s="690">
        <f t="shared" si="1"/>
        <v>2024</v>
      </c>
      <c r="C41" s="773">
        <f>IF(Select2=1,Food!$K43,"")</f>
        <v>1.137826170299068</v>
      </c>
      <c r="D41" s="774">
        <f>IF(Select2=1,Paper!$K43,"")</f>
        <v>0.20553989297996</v>
      </c>
      <c r="E41" s="768">
        <f>IF(Select2=1,Nappies!$K43,"")</f>
        <v>0.36612535298059884</v>
      </c>
      <c r="F41" s="774">
        <f>IF(Select2=1,Garden!$K43,"")</f>
        <v>0</v>
      </c>
      <c r="G41" s="768">
        <f>IF(Select2=1,Wood!$K43,"")</f>
        <v>0</v>
      </c>
      <c r="H41" s="774">
        <f>IF(Select2=1,Textiles!$K43,"")</f>
        <v>4.8664127554235666E-2</v>
      </c>
      <c r="I41" s="775">
        <f>Sludge!K43</f>
        <v>0</v>
      </c>
      <c r="J41" s="775" t="str">
        <f>IF(Select2=2,MSW!$K43,"")</f>
        <v/>
      </c>
      <c r="K41" s="775">
        <f>Industry!$K43</f>
        <v>0</v>
      </c>
      <c r="L41" s="776">
        <f t="shared" si="3"/>
        <v>1.7581555438138623</v>
      </c>
      <c r="M41" s="777">
        <f>Recovery_OX!C36</f>
        <v>0</v>
      </c>
      <c r="N41" s="651"/>
      <c r="O41" s="779">
        <f>(L41-M41)*(1-Recovery_OX!F36)</f>
        <v>1.7581555438138623</v>
      </c>
      <c r="P41" s="643"/>
      <c r="Q41" s="653"/>
      <c r="S41" s="690">
        <f t="shared" si="2"/>
        <v>2024</v>
      </c>
      <c r="T41" s="691">
        <f>IF(Select2=1,Food!$W43,"")</f>
        <v>0.76125747343827044</v>
      </c>
      <c r="U41" s="692">
        <f>IF(Select2=1,Paper!$W43,"")</f>
        <v>0.42466920037181821</v>
      </c>
      <c r="V41" s="684">
        <f>IF(Select2=1,Nappies!$W43,"")</f>
        <v>0</v>
      </c>
      <c r="W41" s="692">
        <f>IF(Select2=1,Garden!$W43,"")</f>
        <v>0</v>
      </c>
      <c r="X41" s="684">
        <f>IF(Select2=1,Wood!$W43,"")</f>
        <v>0.23541472106011932</v>
      </c>
      <c r="Y41" s="692">
        <f>IF(Select2=1,Textiles!$W43,"")</f>
        <v>5.3330550744367856E-2</v>
      </c>
      <c r="Z41" s="686">
        <f>Sludge!W43</f>
        <v>0</v>
      </c>
      <c r="AA41" s="686" t="str">
        <f>IF(Select2=2,MSW!$W43,"")</f>
        <v/>
      </c>
      <c r="AB41" s="693">
        <f>Industry!$W43</f>
        <v>0</v>
      </c>
      <c r="AC41" s="694">
        <f t="shared" si="0"/>
        <v>1.4746719456145758</v>
      </c>
      <c r="AD41" s="695">
        <f>Recovery_OX!R36</f>
        <v>0</v>
      </c>
      <c r="AE41" s="651"/>
      <c r="AF41" s="697">
        <f>(AC41-AD41)*(1-Recovery_OX!U36)</f>
        <v>1.4746719456145758</v>
      </c>
    </row>
    <row r="42" spans="2:32">
      <c r="B42" s="690">
        <f t="shared" si="1"/>
        <v>2025</v>
      </c>
      <c r="C42" s="773">
        <f>IF(Select2=1,Food!$K44,"")</f>
        <v>1.1621150180154265</v>
      </c>
      <c r="D42" s="774">
        <f>IF(Select2=1,Paper!$K44,"")</f>
        <v>0.21261806893636062</v>
      </c>
      <c r="E42" s="768">
        <f>IF(Select2=1,Nappies!$K44,"")</f>
        <v>0.37502476331313883</v>
      </c>
      <c r="F42" s="774">
        <f>IF(Select2=1,Garden!$K44,"")</f>
        <v>0</v>
      </c>
      <c r="G42" s="768">
        <f>IF(Select2=1,Wood!$K44,"")</f>
        <v>0</v>
      </c>
      <c r="H42" s="774">
        <f>IF(Select2=1,Textiles!$K44,"")</f>
        <v>5.0339973797997151E-2</v>
      </c>
      <c r="I42" s="775">
        <f>Sludge!K44</f>
        <v>0</v>
      </c>
      <c r="J42" s="775" t="str">
        <f>IF(Select2=2,MSW!$K44,"")</f>
        <v/>
      </c>
      <c r="K42" s="775">
        <f>Industry!$K44</f>
        <v>0</v>
      </c>
      <c r="L42" s="776">
        <f t="shared" si="3"/>
        <v>1.8000978240629228</v>
      </c>
      <c r="M42" s="777">
        <f>Recovery_OX!C37</f>
        <v>0</v>
      </c>
      <c r="N42" s="651"/>
      <c r="O42" s="779">
        <f>(L42-M42)*(1-Recovery_OX!F37)</f>
        <v>1.8000978240629228</v>
      </c>
      <c r="P42" s="643"/>
      <c r="Q42" s="653"/>
      <c r="S42" s="690">
        <f t="shared" si="2"/>
        <v>2025</v>
      </c>
      <c r="T42" s="691">
        <f>IF(Select2=1,Food!$W44,"")</f>
        <v>0.77750781758391618</v>
      </c>
      <c r="U42" s="692">
        <f>IF(Select2=1,Paper!$W44,"")</f>
        <v>0.43929353086024925</v>
      </c>
      <c r="V42" s="684">
        <f>IF(Select2=1,Nappies!$W44,"")</f>
        <v>0</v>
      </c>
      <c r="W42" s="692">
        <f>IF(Select2=1,Garden!$W44,"")</f>
        <v>0</v>
      </c>
      <c r="X42" s="684">
        <f>IF(Select2=1,Wood!$W44,"")</f>
        <v>0.24550603896844395</v>
      </c>
      <c r="Y42" s="692">
        <f>IF(Select2=1,Textiles!$W44,"")</f>
        <v>5.5167094573147564E-2</v>
      </c>
      <c r="Z42" s="686">
        <f>Sludge!W44</f>
        <v>0</v>
      </c>
      <c r="AA42" s="686" t="str">
        <f>IF(Select2=2,MSW!$W44,"")</f>
        <v/>
      </c>
      <c r="AB42" s="693">
        <f>Industry!$W44</f>
        <v>0</v>
      </c>
      <c r="AC42" s="694">
        <f t="shared" si="0"/>
        <v>1.5174744819857569</v>
      </c>
      <c r="AD42" s="695">
        <f>Recovery_OX!R37</f>
        <v>0</v>
      </c>
      <c r="AE42" s="651"/>
      <c r="AF42" s="697">
        <f>(AC42-AD42)*(1-Recovery_OX!U37)</f>
        <v>1.5174744819857569</v>
      </c>
    </row>
    <row r="43" spans="2:32">
      <c r="B43" s="690">
        <f t="shared" si="1"/>
        <v>2026</v>
      </c>
      <c r="C43" s="773">
        <f>IF(Select2=1,Food!$K45,"")</f>
        <v>1.1863767282686264</v>
      </c>
      <c r="D43" s="774">
        <f>IF(Select2=1,Paper!$K45,"")</f>
        <v>0.21963678898088151</v>
      </c>
      <c r="E43" s="768">
        <f>IF(Select2=1,Nappies!$K45,"")</f>
        <v>0.38385435508947691</v>
      </c>
      <c r="F43" s="774">
        <f>IF(Select2=1,Garden!$K45,"")</f>
        <v>0</v>
      </c>
      <c r="G43" s="768">
        <f>IF(Select2=1,Wood!$K45,"")</f>
        <v>0</v>
      </c>
      <c r="H43" s="774">
        <f>IF(Select2=1,Textiles!$K45,"")</f>
        <v>5.2001743114707545E-2</v>
      </c>
      <c r="I43" s="775">
        <f>Sludge!K45</f>
        <v>0</v>
      </c>
      <c r="J43" s="775" t="str">
        <f>IF(Select2=2,MSW!$K45,"")</f>
        <v/>
      </c>
      <c r="K43" s="775">
        <f>Industry!$K45</f>
        <v>0</v>
      </c>
      <c r="L43" s="776">
        <f t="shared" si="3"/>
        <v>1.8418696154536922</v>
      </c>
      <c r="M43" s="777">
        <f>Recovery_OX!C38</f>
        <v>0</v>
      </c>
      <c r="N43" s="651"/>
      <c r="O43" s="779">
        <f>(L43-M43)*(1-Recovery_OX!F38)</f>
        <v>1.8418696154536922</v>
      </c>
      <c r="P43" s="643"/>
      <c r="Q43" s="653"/>
      <c r="S43" s="690">
        <f t="shared" si="2"/>
        <v>2026</v>
      </c>
      <c r="T43" s="691">
        <f>IF(Select2=1,Food!$W45,"")</f>
        <v>0.79374000553208712</v>
      </c>
      <c r="U43" s="692">
        <f>IF(Select2=1,Paper!$W45,"")</f>
        <v>0.45379501855554044</v>
      </c>
      <c r="V43" s="684">
        <f>IF(Select2=1,Nappies!$W45,"")</f>
        <v>0</v>
      </c>
      <c r="W43" s="692">
        <f>IF(Select2=1,Garden!$W45,"")</f>
        <v>0</v>
      </c>
      <c r="X43" s="684">
        <f>IF(Select2=1,Wood!$W45,"")</f>
        <v>0.2556136840165501</v>
      </c>
      <c r="Y43" s="692">
        <f>IF(Select2=1,Textiles!$W45,"")</f>
        <v>5.6988211632556227E-2</v>
      </c>
      <c r="Z43" s="686">
        <f>Sludge!W45</f>
        <v>0</v>
      </c>
      <c r="AA43" s="686" t="str">
        <f>IF(Select2=2,MSW!$W45,"")</f>
        <v/>
      </c>
      <c r="AB43" s="693">
        <f>Industry!$W45</f>
        <v>0</v>
      </c>
      <c r="AC43" s="694">
        <f t="shared" si="0"/>
        <v>1.5601369197367339</v>
      </c>
      <c r="AD43" s="695">
        <f>Recovery_OX!R38</f>
        <v>0</v>
      </c>
      <c r="AE43" s="651"/>
      <c r="AF43" s="697">
        <f>(AC43-AD43)*(1-Recovery_OX!U38)</f>
        <v>1.5601369197367339</v>
      </c>
    </row>
    <row r="44" spans="2:32">
      <c r="B44" s="690">
        <f t="shared" si="1"/>
        <v>2027</v>
      </c>
      <c r="C44" s="773">
        <f>IF(Select2=1,Food!$K46,"")</f>
        <v>1.2106202477362722</v>
      </c>
      <c r="D44" s="774">
        <f>IF(Select2=1,Paper!$K46,"")</f>
        <v>0.22660007270060895</v>
      </c>
      <c r="E44" s="768">
        <f>IF(Select2=1,Nappies!$K46,"")</f>
        <v>0.39262504340640164</v>
      </c>
      <c r="F44" s="774">
        <f>IF(Select2=1,Garden!$K46,"")</f>
        <v>0</v>
      </c>
      <c r="G44" s="768">
        <f>IF(Select2=1,Wood!$K46,"")</f>
        <v>0</v>
      </c>
      <c r="H44" s="774">
        <f>IF(Select2=1,Textiles!$K46,"")</f>
        <v>5.3650387191632239E-2</v>
      </c>
      <c r="I44" s="775">
        <f>Sludge!K46</f>
        <v>0</v>
      </c>
      <c r="J44" s="775" t="str">
        <f>IF(Select2=2,MSW!$K46,"")</f>
        <v/>
      </c>
      <c r="K44" s="775">
        <f>Industry!$K46</f>
        <v>0</v>
      </c>
      <c r="L44" s="776">
        <f t="shared" si="3"/>
        <v>1.8834957510349151</v>
      </c>
      <c r="M44" s="777">
        <f>Recovery_OX!C39</f>
        <v>0</v>
      </c>
      <c r="N44" s="651"/>
      <c r="O44" s="779">
        <f>(L44-M44)*(1-Recovery_OX!F39)</f>
        <v>1.8834957510349151</v>
      </c>
      <c r="P44" s="643"/>
      <c r="Q44" s="653"/>
      <c r="S44" s="690">
        <f t="shared" si="2"/>
        <v>2027</v>
      </c>
      <c r="T44" s="691">
        <f>IF(Select2=1,Food!$W46,"")</f>
        <v>0.80996002301713121</v>
      </c>
      <c r="U44" s="692">
        <f>IF(Select2=1,Paper!$W46,"")</f>
        <v>0.46818196838968801</v>
      </c>
      <c r="V44" s="684">
        <f>IF(Select2=1,Nappies!$W46,"")</f>
        <v>0</v>
      </c>
      <c r="W44" s="692">
        <f>IF(Select2=1,Garden!$W46,"")</f>
        <v>0</v>
      </c>
      <c r="X44" s="684">
        <f>IF(Select2=1,Wood!$W46,"")</f>
        <v>0.26573709463926137</v>
      </c>
      <c r="Y44" s="692">
        <f>IF(Select2=1,Textiles!$W46,"")</f>
        <v>5.8794944867542193E-2</v>
      </c>
      <c r="Z44" s="686">
        <f>Sludge!W46</f>
        <v>0</v>
      </c>
      <c r="AA44" s="686" t="str">
        <f>IF(Select2=2,MSW!$W46,"")</f>
        <v/>
      </c>
      <c r="AB44" s="693">
        <f>Industry!$W46</f>
        <v>0</v>
      </c>
      <c r="AC44" s="694">
        <f t="shared" si="0"/>
        <v>1.6026740309136229</v>
      </c>
      <c r="AD44" s="695">
        <f>Recovery_OX!R39</f>
        <v>0</v>
      </c>
      <c r="AE44" s="651"/>
      <c r="AF44" s="697">
        <f>(AC44-AD44)*(1-Recovery_OX!U39)</f>
        <v>1.6026740309136229</v>
      </c>
    </row>
    <row r="45" spans="2:32">
      <c r="B45" s="690">
        <f t="shared" si="1"/>
        <v>2028</v>
      </c>
      <c r="C45" s="773">
        <f>IF(Select2=1,Food!$K47,"")</f>
        <v>1.2348515735557082</v>
      </c>
      <c r="D45" s="774">
        <f>IF(Select2=1,Paper!$K47,"")</f>
        <v>0.23351166793370062</v>
      </c>
      <c r="E45" s="768">
        <f>IF(Select2=1,Nappies!$K47,"")</f>
        <v>0.40134603694704368</v>
      </c>
      <c r="F45" s="774">
        <f>IF(Select2=1,Garden!$K47,"")</f>
        <v>0</v>
      </c>
      <c r="G45" s="768">
        <f>IF(Select2=1,Wood!$K47,"")</f>
        <v>0</v>
      </c>
      <c r="H45" s="774">
        <f>IF(Select2=1,Textiles!$K47,"")</f>
        <v>5.5286793376095975E-2</v>
      </c>
      <c r="I45" s="775">
        <f>Sludge!K47</f>
        <v>0</v>
      </c>
      <c r="J45" s="775" t="str">
        <f>IF(Select2=2,MSW!$K47,"")</f>
        <v/>
      </c>
      <c r="K45" s="775">
        <f>Industry!$K47</f>
        <v>0</v>
      </c>
      <c r="L45" s="776">
        <f t="shared" si="3"/>
        <v>1.9249960718125483</v>
      </c>
      <c r="M45" s="777">
        <f>Recovery_OX!C40</f>
        <v>0</v>
      </c>
      <c r="N45" s="651"/>
      <c r="O45" s="779">
        <f>(L45-M45)*(1-Recovery_OX!F40)</f>
        <v>1.9249960718125483</v>
      </c>
      <c r="P45" s="643"/>
      <c r="Q45" s="653"/>
      <c r="S45" s="690">
        <f t="shared" si="2"/>
        <v>2028</v>
      </c>
      <c r="T45" s="691">
        <f>IF(Select2=1,Food!$W47,"")</f>
        <v>0.82617188239677186</v>
      </c>
      <c r="U45" s="692">
        <f>IF(Select2=1,Paper!$W47,"")</f>
        <v>0.48246212382996007</v>
      </c>
      <c r="V45" s="684">
        <f>IF(Select2=1,Nappies!$W47,"")</f>
        <v>0</v>
      </c>
      <c r="W45" s="692">
        <f>IF(Select2=1,Garden!$W47,"")</f>
        <v>0</v>
      </c>
      <c r="X45" s="684">
        <f>IF(Select2=1,Wood!$W47,"")</f>
        <v>0.27587572858620174</v>
      </c>
      <c r="Y45" s="692">
        <f>IF(Select2=1,Textiles!$W47,"")</f>
        <v>6.0588266713529848E-2</v>
      </c>
      <c r="Z45" s="686">
        <f>Sludge!W47</f>
        <v>0</v>
      </c>
      <c r="AA45" s="686" t="str">
        <f>IF(Select2=2,MSW!$W47,"")</f>
        <v/>
      </c>
      <c r="AB45" s="693">
        <f>Industry!$W47</f>
        <v>0</v>
      </c>
      <c r="AC45" s="694">
        <f t="shared" si="0"/>
        <v>1.6450980015264633</v>
      </c>
      <c r="AD45" s="695">
        <f>Recovery_OX!R40</f>
        <v>0</v>
      </c>
      <c r="AE45" s="651"/>
      <c r="AF45" s="697">
        <f>(AC45-AD45)*(1-Recovery_OX!U40)</f>
        <v>1.6450980015264633</v>
      </c>
    </row>
    <row r="46" spans="2:32">
      <c r="B46" s="690">
        <f t="shared" si="1"/>
        <v>2029</v>
      </c>
      <c r="C46" s="773">
        <f>IF(Select2=1,Food!$K48,"")</f>
        <v>1.2590747257283148</v>
      </c>
      <c r="D46" s="774">
        <f>IF(Select2=1,Paper!$K48,"")</f>
        <v>0.24037506914129281</v>
      </c>
      <c r="E46" s="768">
        <f>IF(Select2=1,Nappies!$K48,"")</f>
        <v>0.4100251047533674</v>
      </c>
      <c r="F46" s="774">
        <f>IF(Select2=1,Garden!$K48,"")</f>
        <v>0</v>
      </c>
      <c r="G46" s="768">
        <f>IF(Select2=1,Wood!$K48,"")</f>
        <v>0</v>
      </c>
      <c r="H46" s="774">
        <f>IF(Select2=1,Textiles!$K48,"")</f>
        <v>5.6911789025260423E-2</v>
      </c>
      <c r="I46" s="775">
        <f>Sludge!K48</f>
        <v>0</v>
      </c>
      <c r="J46" s="775" t="str">
        <f>IF(Select2=2,MSW!$K48,"")</f>
        <v/>
      </c>
      <c r="K46" s="775">
        <f>Industry!$K48</f>
        <v>0</v>
      </c>
      <c r="L46" s="776">
        <f t="shared" si="3"/>
        <v>1.9663866886482355</v>
      </c>
      <c r="M46" s="777">
        <f>Recovery_OX!C41</f>
        <v>0</v>
      </c>
      <c r="N46" s="651"/>
      <c r="O46" s="779">
        <f>(L46-M46)*(1-Recovery_OX!F41)</f>
        <v>1.9663866886482355</v>
      </c>
      <c r="P46" s="643"/>
      <c r="Q46" s="653"/>
      <c r="S46" s="690">
        <f t="shared" si="2"/>
        <v>2029</v>
      </c>
      <c r="T46" s="691">
        <f>IF(Select2=1,Food!$W48,"")</f>
        <v>0.84237827323482262</v>
      </c>
      <c r="U46" s="692">
        <f>IF(Select2=1,Paper!$W48,"")</f>
        <v>0.49664270483738188</v>
      </c>
      <c r="V46" s="684">
        <f>IF(Select2=1,Nappies!$W48,"")</f>
        <v>0</v>
      </c>
      <c r="W46" s="692">
        <f>IF(Select2=1,Garden!$W48,"")</f>
        <v>0</v>
      </c>
      <c r="X46" s="684">
        <f>IF(Select2=1,Wood!$W48,"")</f>
        <v>0.28602906225747105</v>
      </c>
      <c r="Y46" s="692">
        <f>IF(Select2=1,Textiles!$W48,"")</f>
        <v>6.2369083863299105E-2</v>
      </c>
      <c r="Z46" s="686">
        <f>Sludge!W48</f>
        <v>0</v>
      </c>
      <c r="AA46" s="686" t="str">
        <f>IF(Select2=2,MSW!$W48,"")</f>
        <v/>
      </c>
      <c r="AB46" s="693">
        <f>Industry!$W48</f>
        <v>0</v>
      </c>
      <c r="AC46" s="694">
        <f t="shared" si="0"/>
        <v>1.6874191241929746</v>
      </c>
      <c r="AD46" s="695">
        <f>Recovery_OX!R41</f>
        <v>0</v>
      </c>
      <c r="AE46" s="651"/>
      <c r="AF46" s="697">
        <f>(AC46-AD46)*(1-Recovery_OX!U41)</f>
        <v>1.6874191241929746</v>
      </c>
    </row>
    <row r="47" spans="2:32">
      <c r="B47" s="690">
        <f t="shared" si="1"/>
        <v>2030</v>
      </c>
      <c r="C47" s="773">
        <f>IF(Select2=1,Food!$K49,"")</f>
        <v>1.2832923989416025</v>
      </c>
      <c r="D47" s="774">
        <f>IF(Select2=1,Paper!$K49,"")</f>
        <v>0.24719353453735293</v>
      </c>
      <c r="E47" s="768">
        <f>IF(Select2=1,Nappies!$K49,"")</f>
        <v>0.4186688012927367</v>
      </c>
      <c r="F47" s="774">
        <f>IF(Select2=1,Garden!$K49,"")</f>
        <v>0</v>
      </c>
      <c r="G47" s="768">
        <f>IF(Select2=1,Wood!$K49,"")</f>
        <v>0</v>
      </c>
      <c r="H47" s="774">
        <f>IF(Select2=1,Textiles!$K49,"")</f>
        <v>5.8526145561830001E-2</v>
      </c>
      <c r="I47" s="775">
        <f>Sludge!K49</f>
        <v>0</v>
      </c>
      <c r="J47" s="775" t="str">
        <f>IF(Select2=2,MSW!$K49,"")</f>
        <v/>
      </c>
      <c r="K47" s="775">
        <f>Industry!$K49</f>
        <v>0</v>
      </c>
      <c r="L47" s="776">
        <f t="shared" si="3"/>
        <v>2.0076808803335222</v>
      </c>
      <c r="M47" s="777">
        <f>Recovery_OX!C42</f>
        <v>0</v>
      </c>
      <c r="N47" s="651"/>
      <c r="O47" s="779">
        <f>(L47-M47)*(1-Recovery_OX!F42)</f>
        <v>2.0076808803335222</v>
      </c>
      <c r="P47" s="643"/>
      <c r="Q47" s="653"/>
      <c r="S47" s="690">
        <f t="shared" si="2"/>
        <v>2030</v>
      </c>
      <c r="T47" s="691">
        <f>IF(Select2=1,Food!$W49,"")</f>
        <v>0.85858099839982327</v>
      </c>
      <c r="U47" s="692">
        <f>IF(Select2=1,Paper!$W49,"")</f>
        <v>0.51073044325899364</v>
      </c>
      <c r="V47" s="684">
        <f>IF(Select2=1,Nappies!$W49,"")</f>
        <v>0</v>
      </c>
      <c r="W47" s="692">
        <f>IF(Select2=1,Garden!$W49,"")</f>
        <v>0</v>
      </c>
      <c r="X47" s="684">
        <f>IF(Select2=1,Wood!$W49,"")</f>
        <v>0.29619659006217003</v>
      </c>
      <c r="Y47" s="692">
        <f>IF(Select2=1,Textiles!$W49,"")</f>
        <v>6.4138241711594518E-2</v>
      </c>
      <c r="Z47" s="686">
        <f>Sludge!W49</f>
        <v>0</v>
      </c>
      <c r="AA47" s="686" t="str">
        <f>IF(Select2=2,MSW!$W49,"")</f>
        <v/>
      </c>
      <c r="AB47" s="693">
        <f>Industry!$W49</f>
        <v>0</v>
      </c>
      <c r="AC47" s="694">
        <f t="shared" si="0"/>
        <v>1.7296462734325813</v>
      </c>
      <c r="AD47" s="695">
        <f>Recovery_OX!R42</f>
        <v>0</v>
      </c>
      <c r="AE47" s="651"/>
      <c r="AF47" s="697">
        <f>(AC47-AD47)*(1-Recovery_OX!U42)</f>
        <v>1.7296462734325813</v>
      </c>
    </row>
    <row r="48" spans="2:32">
      <c r="B48" s="690">
        <f t="shared" si="1"/>
        <v>2031</v>
      </c>
      <c r="C48" s="691">
        <f>IF(Select2=1,Food!$K50,"")</f>
        <v>1.3075063994986273</v>
      </c>
      <c r="D48" s="692">
        <f>IF(Select2=1,Paper!$K50,"")</f>
        <v>0.25397010206044801</v>
      </c>
      <c r="E48" s="684">
        <f>IF(Select2=1,Nappies!$K50,"")</f>
        <v>0.42728265633865825</v>
      </c>
      <c r="F48" s="692">
        <f>IF(Select2=1,Garden!$K50,"")</f>
        <v>0</v>
      </c>
      <c r="G48" s="684">
        <f>IF(Select2=1,Wood!$K50,"")</f>
        <v>0</v>
      </c>
      <c r="H48" s="692">
        <f>IF(Select2=1,Textiles!$K50,"")</f>
        <v>6.013058225556684E-2</v>
      </c>
      <c r="I48" s="693">
        <f>Sludge!K50</f>
        <v>0</v>
      </c>
      <c r="J48" s="693" t="str">
        <f>IF(Select2=2,MSW!$K50,"")</f>
        <v/>
      </c>
      <c r="K48" s="693">
        <f>Industry!$K50</f>
        <v>0</v>
      </c>
      <c r="L48" s="694">
        <f t="shared" si="3"/>
        <v>2.0488897401533004</v>
      </c>
      <c r="M48" s="695">
        <f>Recovery_OX!C43</f>
        <v>0</v>
      </c>
      <c r="N48" s="651"/>
      <c r="O48" s="696">
        <f>(L48-M48)*(1-Recovery_OX!F43)</f>
        <v>2.0488897401533004</v>
      </c>
      <c r="P48" s="643"/>
      <c r="Q48" s="653"/>
      <c r="S48" s="690">
        <f t="shared" si="2"/>
        <v>2031</v>
      </c>
      <c r="T48" s="691">
        <f>IF(Select2=1,Food!$W50,"")</f>
        <v>0.8747812663906962</v>
      </c>
      <c r="U48" s="692">
        <f>IF(Select2=1,Paper!$W50,"")</f>
        <v>0.52473161582737193</v>
      </c>
      <c r="V48" s="684">
        <f>IF(Select2=1,Nappies!$W50,"")</f>
        <v>0</v>
      </c>
      <c r="W48" s="692">
        <f>IF(Select2=1,Garden!$W50,"")</f>
        <v>0</v>
      </c>
      <c r="X48" s="684">
        <f>IF(Select2=1,Wood!$W50,"")</f>
        <v>0.30637782379898765</v>
      </c>
      <c r="Y48" s="692">
        <f>IF(Select2=1,Textiles!$W50,"")</f>
        <v>6.5896528499251344E-2</v>
      </c>
      <c r="Z48" s="686">
        <f>Sludge!W50</f>
        <v>0</v>
      </c>
      <c r="AA48" s="686" t="str">
        <f>IF(Select2=2,MSW!$W50,"")</f>
        <v/>
      </c>
      <c r="AB48" s="693">
        <f>Industry!$W50</f>
        <v>0</v>
      </c>
      <c r="AC48" s="694">
        <f t="shared" si="0"/>
        <v>1.771787234516307</v>
      </c>
      <c r="AD48" s="695">
        <f>Recovery_OX!R43</f>
        <v>0</v>
      </c>
      <c r="AE48" s="651"/>
      <c r="AF48" s="697">
        <f>(AC48-AD48)*(1-Recovery_OX!U43)</f>
        <v>1.771787234516307</v>
      </c>
    </row>
    <row r="49" spans="2:32">
      <c r="B49" s="690">
        <f t="shared" si="1"/>
        <v>2032</v>
      </c>
      <c r="C49" s="691">
        <f>IF(Select2=1,Food!$K51,"")</f>
        <v>0.87644774990381302</v>
      </c>
      <c r="D49" s="692">
        <f>IF(Select2=1,Paper!$K51,"")</f>
        <v>0.23680015360204468</v>
      </c>
      <c r="E49" s="684">
        <f>IF(Select2=1,Nappies!$K51,"")</f>
        <v>0.36048334389476971</v>
      </c>
      <c r="F49" s="692">
        <f>IF(Select2=1,Garden!$K51,"")</f>
        <v>0</v>
      </c>
      <c r="G49" s="684">
        <f>IF(Select2=1,Wood!$K51,"")</f>
        <v>0</v>
      </c>
      <c r="H49" s="692">
        <f>IF(Select2=1,Textiles!$K51,"")</f>
        <v>5.6065383282436793E-2</v>
      </c>
      <c r="I49" s="693">
        <f>Sludge!K51</f>
        <v>0</v>
      </c>
      <c r="J49" s="693" t="str">
        <f>IF(Select2=2,MSW!$K51,"")</f>
        <v/>
      </c>
      <c r="K49" s="693">
        <f>Industry!$K51</f>
        <v>0</v>
      </c>
      <c r="L49" s="694">
        <f t="shared" si="3"/>
        <v>1.5297966306830642</v>
      </c>
      <c r="M49" s="695">
        <f>Recovery_OX!C44</f>
        <v>0</v>
      </c>
      <c r="N49" s="651"/>
      <c r="O49" s="696">
        <f>(L49-M49)*(1-Recovery_OX!F44)</f>
        <v>1.5297966306830642</v>
      </c>
      <c r="P49" s="643"/>
      <c r="Q49" s="653"/>
      <c r="S49" s="690">
        <f t="shared" si="2"/>
        <v>2032</v>
      </c>
      <c r="T49" s="691">
        <f>IF(Select2=1,Food!$W51,"")</f>
        <v>0.58638341875812627</v>
      </c>
      <c r="U49" s="692">
        <f>IF(Select2=1,Paper!$W51,"")</f>
        <v>0.48925651570670392</v>
      </c>
      <c r="V49" s="684">
        <f>IF(Select2=1,Nappies!$W51,"")</f>
        <v>0</v>
      </c>
      <c r="W49" s="692">
        <f>IF(Select2=1,Garden!$W51,"")</f>
        <v>0</v>
      </c>
      <c r="X49" s="684">
        <f>IF(Select2=1,Wood!$W51,"")</f>
        <v>0.2958400860815088</v>
      </c>
      <c r="Y49" s="692">
        <f>IF(Select2=1,Textiles!$W51,"")</f>
        <v>6.1441515925958153E-2</v>
      </c>
      <c r="Z49" s="686">
        <f>Sludge!W51</f>
        <v>0</v>
      </c>
      <c r="AA49" s="686" t="str">
        <f>IF(Select2=2,MSW!$W51,"")</f>
        <v/>
      </c>
      <c r="AB49" s="693">
        <f>Industry!$W51</f>
        <v>0</v>
      </c>
      <c r="AC49" s="694">
        <f t="shared" ref="AC49:AC80" si="4">SUM(T49:AA49)</f>
        <v>1.4329215364722971</v>
      </c>
      <c r="AD49" s="695">
        <f>Recovery_OX!R44</f>
        <v>0</v>
      </c>
      <c r="AE49" s="651"/>
      <c r="AF49" s="697">
        <f>(AC49-AD49)*(1-Recovery_OX!U44)</f>
        <v>1.4329215364722971</v>
      </c>
    </row>
    <row r="50" spans="2:32">
      <c r="B50" s="690">
        <f t="shared" si="1"/>
        <v>2033</v>
      </c>
      <c r="C50" s="691">
        <f>IF(Select2=1,Food!$K52,"")</f>
        <v>0.58750049606335641</v>
      </c>
      <c r="D50" s="692">
        <f>IF(Select2=1,Paper!$K52,"")</f>
        <v>0.22079099977132571</v>
      </c>
      <c r="E50" s="684">
        <f>IF(Select2=1,Nappies!$K52,"")</f>
        <v>0.30412711421303196</v>
      </c>
      <c r="F50" s="692">
        <f>IF(Select2=1,Garden!$K52,"")</f>
        <v>0</v>
      </c>
      <c r="G50" s="684">
        <f>IF(Select2=1,Wood!$K52,"")</f>
        <v>0</v>
      </c>
      <c r="H50" s="692">
        <f>IF(Select2=1,Textiles!$K52,"")</f>
        <v>5.2275016883202331E-2</v>
      </c>
      <c r="I50" s="693">
        <f>Sludge!K52</f>
        <v>0</v>
      </c>
      <c r="J50" s="693" t="str">
        <f>IF(Select2=2,MSW!$K52,"")</f>
        <v/>
      </c>
      <c r="K50" s="693">
        <f>Industry!$K52</f>
        <v>0</v>
      </c>
      <c r="L50" s="694">
        <f t="shared" si="3"/>
        <v>1.1646936269309163</v>
      </c>
      <c r="M50" s="695">
        <f>Recovery_OX!C45</f>
        <v>0</v>
      </c>
      <c r="N50" s="651"/>
      <c r="O50" s="696">
        <f>(L50-M50)*(1-Recovery_OX!F45)</f>
        <v>1.1646936269309163</v>
      </c>
      <c r="P50" s="643"/>
      <c r="Q50" s="653"/>
      <c r="S50" s="690">
        <f t="shared" si="2"/>
        <v>2033</v>
      </c>
      <c r="T50" s="691">
        <f>IF(Select2=1,Food!$W52,"")</f>
        <v>0.39306456025648284</v>
      </c>
      <c r="U50" s="692">
        <f>IF(Select2=1,Paper!$W52,"")</f>
        <v>0.45617975159364821</v>
      </c>
      <c r="V50" s="684">
        <f>IF(Select2=1,Nappies!$W52,"")</f>
        <v>0</v>
      </c>
      <c r="W50" s="692">
        <f>IF(Select2=1,Garden!$W52,"")</f>
        <v>0</v>
      </c>
      <c r="X50" s="684">
        <f>IF(Select2=1,Wood!$W52,"")</f>
        <v>0.28566478946640961</v>
      </c>
      <c r="Y50" s="692">
        <f>IF(Select2=1,Textiles!$W52,"")</f>
        <v>5.728768973501628E-2</v>
      </c>
      <c r="Z50" s="686">
        <f>Sludge!W52</f>
        <v>0</v>
      </c>
      <c r="AA50" s="686" t="str">
        <f>IF(Select2=2,MSW!$W52,"")</f>
        <v/>
      </c>
      <c r="AB50" s="693">
        <f>Industry!$W52</f>
        <v>0</v>
      </c>
      <c r="AC50" s="694">
        <f t="shared" si="4"/>
        <v>1.192196791051557</v>
      </c>
      <c r="AD50" s="695">
        <f>Recovery_OX!R45</f>
        <v>0</v>
      </c>
      <c r="AE50" s="651"/>
      <c r="AF50" s="697">
        <f>(AC50-AD50)*(1-Recovery_OX!U45)</f>
        <v>1.192196791051557</v>
      </c>
    </row>
    <row r="51" spans="2:32">
      <c r="B51" s="690">
        <f t="shared" si="1"/>
        <v>2034</v>
      </c>
      <c r="C51" s="691">
        <f>IF(Select2=1,Food!$K53,"")</f>
        <v>0.39381335956715002</v>
      </c>
      <c r="D51" s="692">
        <f>IF(Select2=1,Paper!$K53,"")</f>
        <v>0.20586416367763974</v>
      </c>
      <c r="E51" s="684">
        <f>IF(Select2=1,Nappies!$K53,"")</f>
        <v>0.25658134603452509</v>
      </c>
      <c r="F51" s="692">
        <f>IF(Select2=1,Garden!$K53,"")</f>
        <v>0</v>
      </c>
      <c r="G51" s="684">
        <f>IF(Select2=1,Wood!$K53,"")</f>
        <v>0</v>
      </c>
      <c r="H51" s="692">
        <f>IF(Select2=1,Textiles!$K53,"")</f>
        <v>4.8740902677376949E-2</v>
      </c>
      <c r="I51" s="693">
        <f>Sludge!K53</f>
        <v>0</v>
      </c>
      <c r="J51" s="693" t="str">
        <f>IF(Select2=2,MSW!$K53,"")</f>
        <v/>
      </c>
      <c r="K51" s="693">
        <f>Industry!$K53</f>
        <v>0</v>
      </c>
      <c r="L51" s="694">
        <f t="shared" si="3"/>
        <v>0.90499977195669179</v>
      </c>
      <c r="M51" s="695">
        <f>Recovery_OX!C46</f>
        <v>0</v>
      </c>
      <c r="N51" s="651"/>
      <c r="O51" s="696">
        <f>(L51-M51)*(1-Recovery_OX!F46)</f>
        <v>0.90499977195669179</v>
      </c>
      <c r="P51" s="643"/>
      <c r="Q51" s="653"/>
      <c r="S51" s="690">
        <f t="shared" si="2"/>
        <v>2034</v>
      </c>
      <c r="T51" s="691">
        <f>IF(Select2=1,Food!$W53,"")</f>
        <v>0.2634790541261039</v>
      </c>
      <c r="U51" s="692">
        <f>IF(Select2=1,Paper!$W53,"")</f>
        <v>0.42533918115214819</v>
      </c>
      <c r="V51" s="684">
        <f>IF(Select2=1,Nappies!$W53,"")</f>
        <v>0</v>
      </c>
      <c r="W51" s="692">
        <f>IF(Select2=1,Garden!$W53,"")</f>
        <v>0</v>
      </c>
      <c r="X51" s="684">
        <f>IF(Select2=1,Wood!$W53,"")</f>
        <v>0.27583946794284259</v>
      </c>
      <c r="Y51" s="692">
        <f>IF(Select2=1,Textiles!$W53,"")</f>
        <v>5.3414687865618607E-2</v>
      </c>
      <c r="Z51" s="686">
        <f>Sludge!W53</f>
        <v>0</v>
      </c>
      <c r="AA51" s="686" t="str">
        <f>IF(Select2=2,MSW!$W53,"")</f>
        <v/>
      </c>
      <c r="AB51" s="693">
        <f>Industry!$W53</f>
        <v>0</v>
      </c>
      <c r="AC51" s="694">
        <f t="shared" si="4"/>
        <v>1.0180723910867133</v>
      </c>
      <c r="AD51" s="695">
        <f>Recovery_OX!R46</f>
        <v>0</v>
      </c>
      <c r="AE51" s="651"/>
      <c r="AF51" s="697">
        <f>(AC51-AD51)*(1-Recovery_OX!U46)</f>
        <v>1.0180723910867133</v>
      </c>
    </row>
    <row r="52" spans="2:32">
      <c r="B52" s="690">
        <f t="shared" si="1"/>
        <v>2035</v>
      </c>
      <c r="C52" s="691">
        <f>IF(Select2=1,Food!$K54,"")</f>
        <v>0.26398098931450181</v>
      </c>
      <c r="D52" s="692">
        <f>IF(Select2=1,Paper!$K54,"")</f>
        <v>0.19194647395313791</v>
      </c>
      <c r="E52" s="684">
        <f>IF(Select2=1,Nappies!$K54,"")</f>
        <v>0.21646865424427086</v>
      </c>
      <c r="F52" s="692">
        <f>IF(Select2=1,Garden!$K54,"")</f>
        <v>0</v>
      </c>
      <c r="G52" s="684">
        <f>IF(Select2=1,Wood!$K54,"")</f>
        <v>0</v>
      </c>
      <c r="H52" s="692">
        <f>IF(Select2=1,Textiles!$K54,"")</f>
        <v>4.5445716433023559E-2</v>
      </c>
      <c r="I52" s="693">
        <f>Sludge!K54</f>
        <v>0</v>
      </c>
      <c r="J52" s="693" t="str">
        <f>IF(Select2=2,MSW!$K54,"")</f>
        <v/>
      </c>
      <c r="K52" s="693">
        <f>Industry!$K54</f>
        <v>0</v>
      </c>
      <c r="L52" s="694">
        <f t="shared" si="3"/>
        <v>0.71784183394493417</v>
      </c>
      <c r="M52" s="695">
        <f>Recovery_OX!C47</f>
        <v>0</v>
      </c>
      <c r="N52" s="651"/>
      <c r="O52" s="696">
        <f>(L52-M52)*(1-Recovery_OX!F47)</f>
        <v>0.71784183394493417</v>
      </c>
      <c r="P52" s="643"/>
      <c r="Q52" s="653"/>
      <c r="S52" s="690">
        <f t="shared" si="2"/>
        <v>2035</v>
      </c>
      <c r="T52" s="691">
        <f>IF(Select2=1,Food!$W54,"")</f>
        <v>0.17661529169123663</v>
      </c>
      <c r="U52" s="692">
        <f>IF(Select2=1,Paper!$W54,"")</f>
        <v>0.39658362387011969</v>
      </c>
      <c r="V52" s="684">
        <f>IF(Select2=1,Nappies!$W54,"")</f>
        <v>0</v>
      </c>
      <c r="W52" s="692">
        <f>IF(Select2=1,Garden!$W54,"")</f>
        <v>0</v>
      </c>
      <c r="X52" s="684">
        <f>IF(Select2=1,Wood!$W54,"")</f>
        <v>0.26635208426321416</v>
      </c>
      <c r="Y52" s="692">
        <f>IF(Select2=1,Textiles!$W54,"")</f>
        <v>4.9803524858108031E-2</v>
      </c>
      <c r="Z52" s="686">
        <f>Sludge!W54</f>
        <v>0</v>
      </c>
      <c r="AA52" s="686" t="str">
        <f>IF(Select2=2,MSW!$W54,"")</f>
        <v/>
      </c>
      <c r="AB52" s="693">
        <f>Industry!$W54</f>
        <v>0</v>
      </c>
      <c r="AC52" s="694">
        <f t="shared" si="4"/>
        <v>0.8893545246826785</v>
      </c>
      <c r="AD52" s="695">
        <f>Recovery_OX!R47</f>
        <v>0</v>
      </c>
      <c r="AE52" s="651"/>
      <c r="AF52" s="697">
        <f>(AC52-AD52)*(1-Recovery_OX!U47)</f>
        <v>0.8893545246826785</v>
      </c>
    </row>
    <row r="53" spans="2:32">
      <c r="B53" s="690">
        <f t="shared" si="1"/>
        <v>2036</v>
      </c>
      <c r="C53" s="691">
        <f>IF(Select2=1,Food!$K55,"")</f>
        <v>0.17695174890983045</v>
      </c>
      <c r="D53" s="692">
        <f>IF(Select2=1,Paper!$K55,"")</f>
        <v>0.17896970606664386</v>
      </c>
      <c r="E53" s="684">
        <f>IF(Select2=1,Nappies!$K55,"")</f>
        <v>0.18262698748185874</v>
      </c>
      <c r="F53" s="692">
        <f>IF(Select2=1,Garden!$K55,"")</f>
        <v>0</v>
      </c>
      <c r="G53" s="684">
        <f>IF(Select2=1,Wood!$K55,"")</f>
        <v>0</v>
      </c>
      <c r="H53" s="692">
        <f>IF(Select2=1,Textiles!$K55,"")</f>
        <v>4.2373305143349367E-2</v>
      </c>
      <c r="I53" s="693">
        <f>Sludge!K55</f>
        <v>0</v>
      </c>
      <c r="J53" s="693" t="str">
        <f>IF(Select2=2,MSW!$K55,"")</f>
        <v/>
      </c>
      <c r="K53" s="693">
        <f>Industry!$K55</f>
        <v>0</v>
      </c>
      <c r="L53" s="694">
        <f t="shared" si="3"/>
        <v>0.58092174760168247</v>
      </c>
      <c r="M53" s="695">
        <f>Recovery_OX!C48</f>
        <v>0</v>
      </c>
      <c r="N53" s="651"/>
      <c r="O53" s="696">
        <f>(L53-M53)*(1-Recovery_OX!F48)</f>
        <v>0.58092174760168247</v>
      </c>
      <c r="P53" s="643"/>
      <c r="Q53" s="653"/>
      <c r="S53" s="690">
        <f t="shared" si="2"/>
        <v>2036</v>
      </c>
      <c r="T53" s="691">
        <f>IF(Select2=1,Food!$W55,"")</f>
        <v>0.11838877045706761</v>
      </c>
      <c r="U53" s="692">
        <f>IF(Select2=1,Paper!$W55,"")</f>
        <v>0.36977211997240472</v>
      </c>
      <c r="V53" s="684">
        <f>IF(Select2=1,Nappies!$W55,"")</f>
        <v>0</v>
      </c>
      <c r="W53" s="692">
        <f>IF(Select2=1,Garden!$W55,"")</f>
        <v>0</v>
      </c>
      <c r="X53" s="684">
        <f>IF(Select2=1,Wood!$W55,"")</f>
        <v>0.25719101519605131</v>
      </c>
      <c r="Y53" s="692">
        <f>IF(Select2=1,Textiles!$W55,"")</f>
        <v>4.6436498787232203E-2</v>
      </c>
      <c r="Z53" s="686">
        <f>Sludge!W55</f>
        <v>0</v>
      </c>
      <c r="AA53" s="686" t="str">
        <f>IF(Select2=2,MSW!$W55,"")</f>
        <v/>
      </c>
      <c r="AB53" s="693">
        <f>Industry!$W55</f>
        <v>0</v>
      </c>
      <c r="AC53" s="694">
        <f t="shared" si="4"/>
        <v>0.79178840441275578</v>
      </c>
      <c r="AD53" s="695">
        <f>Recovery_OX!R48</f>
        <v>0</v>
      </c>
      <c r="AE53" s="651"/>
      <c r="AF53" s="697">
        <f>(AC53-AD53)*(1-Recovery_OX!U48)</f>
        <v>0.79178840441275578</v>
      </c>
    </row>
    <row r="54" spans="2:32">
      <c r="B54" s="690">
        <f t="shared" si="1"/>
        <v>2037</v>
      </c>
      <c r="C54" s="691">
        <f>IF(Select2=1,Food!$K56,"")</f>
        <v>0.11861430447532445</v>
      </c>
      <c r="D54" s="692">
        <f>IF(Select2=1,Paper!$K56,"")</f>
        <v>0.16687024788692284</v>
      </c>
      <c r="E54" s="684">
        <f>IF(Select2=1,Nappies!$K56,"")</f>
        <v>0.15407596389943246</v>
      </c>
      <c r="F54" s="692">
        <f>IF(Select2=1,Garden!$K56,"")</f>
        <v>0</v>
      </c>
      <c r="G54" s="684">
        <f>IF(Select2=1,Wood!$K56,"")</f>
        <v>0</v>
      </c>
      <c r="H54" s="692">
        <f>IF(Select2=1,Textiles!$K56,"")</f>
        <v>3.9508607844647874E-2</v>
      </c>
      <c r="I54" s="693">
        <f>Sludge!K56</f>
        <v>0</v>
      </c>
      <c r="J54" s="693" t="str">
        <f>IF(Select2=2,MSW!$K56,"")</f>
        <v/>
      </c>
      <c r="K54" s="693">
        <f>Industry!$K56</f>
        <v>0</v>
      </c>
      <c r="L54" s="694">
        <f t="shared" si="3"/>
        <v>0.47906912410632763</v>
      </c>
      <c r="M54" s="695">
        <f>Recovery_OX!C49</f>
        <v>0</v>
      </c>
      <c r="N54" s="651"/>
      <c r="O54" s="696">
        <f>(L54-M54)*(1-Recovery_OX!F49)</f>
        <v>0.47906912410632763</v>
      </c>
      <c r="P54" s="643"/>
      <c r="Q54" s="653"/>
      <c r="S54" s="690">
        <f t="shared" si="2"/>
        <v>2037</v>
      </c>
      <c r="T54" s="691">
        <f>IF(Select2=1,Food!$W56,"")</f>
        <v>7.9358366062884295E-2</v>
      </c>
      <c r="U54" s="692">
        <f>IF(Select2=1,Paper!$W56,"")</f>
        <v>0.34477323943579102</v>
      </c>
      <c r="V54" s="684">
        <f>IF(Select2=1,Nappies!$W56,"")</f>
        <v>0</v>
      </c>
      <c r="W54" s="692">
        <f>IF(Select2=1,Garden!$W56,"")</f>
        <v>0</v>
      </c>
      <c r="X54" s="684">
        <f>IF(Select2=1,Wood!$W56,"")</f>
        <v>0.24834503728608925</v>
      </c>
      <c r="Y54" s="692">
        <f>IF(Select2=1,Textiles!$W56,"")</f>
        <v>4.3297104487285368E-2</v>
      </c>
      <c r="Z54" s="686">
        <f>Sludge!W56</f>
        <v>0</v>
      </c>
      <c r="AA54" s="686" t="str">
        <f>IF(Select2=2,MSW!$W56,"")</f>
        <v/>
      </c>
      <c r="AB54" s="693">
        <f>Industry!$W56</f>
        <v>0</v>
      </c>
      <c r="AC54" s="694">
        <f t="shared" si="4"/>
        <v>0.71577374727205001</v>
      </c>
      <c r="AD54" s="695">
        <f>Recovery_OX!R49</f>
        <v>0</v>
      </c>
      <c r="AE54" s="651"/>
      <c r="AF54" s="697">
        <f>(AC54-AD54)*(1-Recovery_OX!U49)</f>
        <v>0.71577374727205001</v>
      </c>
    </row>
    <row r="55" spans="2:32">
      <c r="B55" s="690">
        <f t="shared" si="1"/>
        <v>2038</v>
      </c>
      <c r="C55" s="691">
        <f>IF(Select2=1,Food!$K57,"")</f>
        <v>7.9509546036384826E-2</v>
      </c>
      <c r="D55" s="692">
        <f>IF(Select2=1,Paper!$K57,"")</f>
        <v>0.15558878785594046</v>
      </c>
      <c r="E55" s="684">
        <f>IF(Select2=1,Nappies!$K57,"")</f>
        <v>0.12998846982512569</v>
      </c>
      <c r="F55" s="692">
        <f>IF(Select2=1,Garden!$K57,"")</f>
        <v>0</v>
      </c>
      <c r="G55" s="684">
        <f>IF(Select2=1,Wood!$K57,"")</f>
        <v>0</v>
      </c>
      <c r="H55" s="692">
        <f>IF(Select2=1,Textiles!$K57,"")</f>
        <v>3.6837581787437346E-2</v>
      </c>
      <c r="I55" s="693">
        <f>Sludge!K57</f>
        <v>0</v>
      </c>
      <c r="J55" s="693" t="str">
        <f>IF(Select2=2,MSW!$K57,"")</f>
        <v/>
      </c>
      <c r="K55" s="693">
        <f>Industry!$K57</f>
        <v>0</v>
      </c>
      <c r="L55" s="694">
        <f t="shared" si="3"/>
        <v>0.40192438550488829</v>
      </c>
      <c r="M55" s="695">
        <f>Recovery_OX!C50</f>
        <v>0</v>
      </c>
      <c r="N55" s="651"/>
      <c r="O55" s="696">
        <f>(L55-M55)*(1-Recovery_OX!F50)</f>
        <v>0.40192438550488829</v>
      </c>
      <c r="P55" s="643"/>
      <c r="Q55" s="653"/>
      <c r="S55" s="690">
        <f t="shared" si="2"/>
        <v>2038</v>
      </c>
      <c r="T55" s="691">
        <f>IF(Select2=1,Food!$W57,"")</f>
        <v>5.3195503592585722E-2</v>
      </c>
      <c r="U55" s="692">
        <f>IF(Select2=1,Paper!$W57,"")</f>
        <v>0.32146443771888533</v>
      </c>
      <c r="V55" s="684">
        <f>IF(Select2=1,Nappies!$W57,"")</f>
        <v>0</v>
      </c>
      <c r="W55" s="692">
        <f>IF(Select2=1,Garden!$W57,"")</f>
        <v>0</v>
      </c>
      <c r="X55" s="684">
        <f>IF(Select2=1,Wood!$W57,"")</f>
        <v>0.23980331310413505</v>
      </c>
      <c r="Y55" s="692">
        <f>IF(Select2=1,Textiles!$W57,"")</f>
        <v>4.0369952643766978E-2</v>
      </c>
      <c r="Z55" s="686">
        <f>Sludge!W57</f>
        <v>0</v>
      </c>
      <c r="AA55" s="686" t="str">
        <f>IF(Select2=2,MSW!$W57,"")</f>
        <v/>
      </c>
      <c r="AB55" s="693">
        <f>Industry!$W57</f>
        <v>0</v>
      </c>
      <c r="AC55" s="694">
        <f t="shared" si="4"/>
        <v>0.65483320705937309</v>
      </c>
      <c r="AD55" s="695">
        <f>Recovery_OX!R50</f>
        <v>0</v>
      </c>
      <c r="AE55" s="651"/>
      <c r="AF55" s="697">
        <f>(AC55-AD55)*(1-Recovery_OX!U50)</f>
        <v>0.65483320705937309</v>
      </c>
    </row>
    <row r="56" spans="2:32">
      <c r="B56" s="690">
        <f t="shared" si="1"/>
        <v>2039</v>
      </c>
      <c r="C56" s="691">
        <f>IF(Select2=1,Food!$K58,"")</f>
        <v>5.3296842559382253E-2</v>
      </c>
      <c r="D56" s="692">
        <f>IF(Select2=1,Paper!$K58,"")</f>
        <v>0.14507002424353654</v>
      </c>
      <c r="E56" s="684">
        <f>IF(Select2=1,Nappies!$K58,"")</f>
        <v>0.10966669855465923</v>
      </c>
      <c r="F56" s="692">
        <f>IF(Select2=1,Garden!$K58,"")</f>
        <v>0</v>
      </c>
      <c r="G56" s="684">
        <f>IF(Select2=1,Wood!$K58,"")</f>
        <v>0</v>
      </c>
      <c r="H56" s="692">
        <f>IF(Select2=1,Textiles!$K58,"")</f>
        <v>3.4347133598886498E-2</v>
      </c>
      <c r="I56" s="693">
        <f>Sludge!K58</f>
        <v>0</v>
      </c>
      <c r="J56" s="693" t="str">
        <f>IF(Select2=2,MSW!$K58,"")</f>
        <v/>
      </c>
      <c r="K56" s="693">
        <f>Industry!$K58</f>
        <v>0</v>
      </c>
      <c r="L56" s="694">
        <f t="shared" si="3"/>
        <v>0.3423806989564645</v>
      </c>
      <c r="M56" s="695">
        <f>Recovery_OX!C51</f>
        <v>0</v>
      </c>
      <c r="N56" s="651"/>
      <c r="O56" s="696">
        <f>(L56-M56)*(1-Recovery_OX!F51)</f>
        <v>0.3423806989564645</v>
      </c>
      <c r="P56" s="643"/>
      <c r="Q56" s="653"/>
      <c r="S56" s="690">
        <f t="shared" si="2"/>
        <v>2039</v>
      </c>
      <c r="T56" s="691">
        <f>IF(Select2=1,Food!$W58,"")</f>
        <v>3.5658012417071075E-2</v>
      </c>
      <c r="U56" s="692">
        <f>IF(Select2=1,Paper!$W58,"")</f>
        <v>0.2997314550486293</v>
      </c>
      <c r="V56" s="684">
        <f>IF(Select2=1,Nappies!$W58,"")</f>
        <v>0</v>
      </c>
      <c r="W56" s="692">
        <f>IF(Select2=1,Garden!$W58,"")</f>
        <v>0</v>
      </c>
      <c r="X56" s="684">
        <f>IF(Select2=1,Wood!$W58,"")</f>
        <v>0.23155537796986184</v>
      </c>
      <c r="Y56" s="692">
        <f>IF(Select2=1,Textiles!$W58,"")</f>
        <v>3.7640694354944132E-2</v>
      </c>
      <c r="Z56" s="686">
        <f>Sludge!W58</f>
        <v>0</v>
      </c>
      <c r="AA56" s="686" t="str">
        <f>IF(Select2=2,MSW!$W58,"")</f>
        <v/>
      </c>
      <c r="AB56" s="693">
        <f>Industry!$W58</f>
        <v>0</v>
      </c>
      <c r="AC56" s="694">
        <f t="shared" si="4"/>
        <v>0.60458553979050633</v>
      </c>
      <c r="AD56" s="695">
        <f>Recovery_OX!R51</f>
        <v>0</v>
      </c>
      <c r="AE56" s="651"/>
      <c r="AF56" s="697">
        <f>(AC56-AD56)*(1-Recovery_OX!U51)</f>
        <v>0.60458553979050633</v>
      </c>
    </row>
    <row r="57" spans="2:32">
      <c r="B57" s="690">
        <f t="shared" si="1"/>
        <v>2040</v>
      </c>
      <c r="C57" s="691">
        <f>IF(Select2=1,Food!$K59,"")</f>
        <v>3.5725941957959334E-2</v>
      </c>
      <c r="D57" s="692">
        <f>IF(Select2=1,Paper!$K59,"")</f>
        <v>0.13526239405827956</v>
      </c>
      <c r="E57" s="684">
        <f>IF(Select2=1,Nappies!$K59,"")</f>
        <v>9.2521935122847482E-2</v>
      </c>
      <c r="F57" s="692">
        <f>IF(Select2=1,Garden!$K59,"")</f>
        <v>0</v>
      </c>
      <c r="G57" s="684">
        <f>IF(Select2=1,Wood!$K59,"")</f>
        <v>0</v>
      </c>
      <c r="H57" s="692">
        <f>IF(Select2=1,Textiles!$K59,"")</f>
        <v>3.2025055099085722E-2</v>
      </c>
      <c r="I57" s="693">
        <f>Sludge!K59</f>
        <v>0</v>
      </c>
      <c r="J57" s="693" t="str">
        <f>IF(Select2=2,MSW!$K59,"")</f>
        <v/>
      </c>
      <c r="K57" s="693">
        <f>Industry!$K59</f>
        <v>0</v>
      </c>
      <c r="L57" s="694">
        <f t="shared" si="3"/>
        <v>0.29553532623817208</v>
      </c>
      <c r="M57" s="695">
        <f>Recovery_OX!C52</f>
        <v>0</v>
      </c>
      <c r="N57" s="651"/>
      <c r="O57" s="696">
        <f>(L57-M57)*(1-Recovery_OX!F52)</f>
        <v>0.29553532623817208</v>
      </c>
      <c r="P57" s="643"/>
      <c r="Q57" s="653"/>
      <c r="S57" s="690">
        <f t="shared" si="2"/>
        <v>2040</v>
      </c>
      <c r="T57" s="691">
        <f>IF(Select2=1,Food!$W59,"")</f>
        <v>2.3902280524950484E-2</v>
      </c>
      <c r="U57" s="692">
        <f>IF(Select2=1,Paper!$W59,"")</f>
        <v>0.27946775631875947</v>
      </c>
      <c r="V57" s="684">
        <f>IF(Select2=1,Nappies!$W59,"")</f>
        <v>0</v>
      </c>
      <c r="W57" s="692">
        <f>IF(Select2=1,Garden!$W59,"")</f>
        <v>0</v>
      </c>
      <c r="X57" s="684">
        <f>IF(Select2=1,Wood!$W59,"")</f>
        <v>0.22359112713126661</v>
      </c>
      <c r="Y57" s="692">
        <f>IF(Select2=1,Textiles!$W59,"")</f>
        <v>3.509595079351862E-2</v>
      </c>
      <c r="Z57" s="686">
        <f>Sludge!W59</f>
        <v>0</v>
      </c>
      <c r="AA57" s="686" t="str">
        <f>IF(Select2=2,MSW!$W59,"")</f>
        <v/>
      </c>
      <c r="AB57" s="693">
        <f>Industry!$W59</f>
        <v>0</v>
      </c>
      <c r="AC57" s="694">
        <f t="shared" si="4"/>
        <v>0.56205711476849507</v>
      </c>
      <c r="AD57" s="695">
        <f>Recovery_OX!R52</f>
        <v>0</v>
      </c>
      <c r="AE57" s="651"/>
      <c r="AF57" s="697">
        <f>(AC57-AD57)*(1-Recovery_OX!U52)</f>
        <v>0.56205711476849507</v>
      </c>
    </row>
    <row r="58" spans="2:32">
      <c r="B58" s="690">
        <f t="shared" si="1"/>
        <v>2041</v>
      </c>
      <c r="C58" s="691">
        <f>IF(Select2=1,Food!$K60,"")</f>
        <v>2.3947815057925884E-2</v>
      </c>
      <c r="D58" s="692">
        <f>IF(Select2=1,Paper!$K60,"")</f>
        <v>0.12611782028562291</v>
      </c>
      <c r="E58" s="684">
        <f>IF(Select2=1,Nappies!$K60,"")</f>
        <v>7.8057501426559636E-2</v>
      </c>
      <c r="F58" s="692">
        <f>IF(Select2=1,Garden!$K60,"")</f>
        <v>0</v>
      </c>
      <c r="G58" s="684">
        <f>IF(Select2=1,Wood!$K60,"")</f>
        <v>0</v>
      </c>
      <c r="H58" s="692">
        <f>IF(Select2=1,Textiles!$K60,"")</f>
        <v>2.9859963456535001E-2</v>
      </c>
      <c r="I58" s="693">
        <f>Sludge!K60</f>
        <v>0</v>
      </c>
      <c r="J58" s="693" t="str">
        <f>IF(Select2=2,MSW!$K60,"")</f>
        <v/>
      </c>
      <c r="K58" s="693">
        <f>Industry!$K60</f>
        <v>0</v>
      </c>
      <c r="L58" s="694">
        <f t="shared" si="3"/>
        <v>0.25798310022664345</v>
      </c>
      <c r="M58" s="695">
        <f>Recovery_OX!C53</f>
        <v>0</v>
      </c>
      <c r="N58" s="651"/>
      <c r="O58" s="696">
        <f>(L58-M58)*(1-Recovery_OX!F53)</f>
        <v>0.25798310022664345</v>
      </c>
      <c r="P58" s="643"/>
      <c r="Q58" s="653"/>
      <c r="S58" s="690">
        <f t="shared" si="2"/>
        <v>2041</v>
      </c>
      <c r="T58" s="691">
        <f>IF(Select2=1,Food!$W60,"")</f>
        <v>1.6022177781841573E-2</v>
      </c>
      <c r="U58" s="692">
        <f>IF(Select2=1,Paper!$W60,"")</f>
        <v>0.26057400885459286</v>
      </c>
      <c r="V58" s="684">
        <f>IF(Select2=1,Nappies!$W60,"")</f>
        <v>0</v>
      </c>
      <c r="W58" s="692">
        <f>IF(Select2=1,Garden!$W60,"")</f>
        <v>0</v>
      </c>
      <c r="X58" s="684">
        <f>IF(Select2=1,Wood!$W60,"")</f>
        <v>0.21590080338508513</v>
      </c>
      <c r="Y58" s="692">
        <f>IF(Select2=1,Textiles!$W60,"")</f>
        <v>3.2723247623600023E-2</v>
      </c>
      <c r="Z58" s="686">
        <f>Sludge!W60</f>
        <v>0</v>
      </c>
      <c r="AA58" s="686" t="str">
        <f>IF(Select2=2,MSW!$W60,"")</f>
        <v/>
      </c>
      <c r="AB58" s="693">
        <f>Industry!$W60</f>
        <v>0</v>
      </c>
      <c r="AC58" s="694">
        <f t="shared" si="4"/>
        <v>0.5252202376451196</v>
      </c>
      <c r="AD58" s="695">
        <f>Recovery_OX!R53</f>
        <v>0</v>
      </c>
      <c r="AE58" s="651"/>
      <c r="AF58" s="697">
        <f>(AC58-AD58)*(1-Recovery_OX!U53)</f>
        <v>0.5252202376451196</v>
      </c>
    </row>
    <row r="59" spans="2:32">
      <c r="B59" s="690">
        <f t="shared" si="1"/>
        <v>2042</v>
      </c>
      <c r="C59" s="691">
        <f>IF(Select2=1,Food!$K61,"")</f>
        <v>1.6052700492081854E-2</v>
      </c>
      <c r="D59" s="692">
        <f>IF(Select2=1,Paper!$K61,"")</f>
        <v>0.11759147621432386</v>
      </c>
      <c r="E59" s="684">
        <f>IF(Select2=1,Nappies!$K61,"")</f>
        <v>6.5854367625010388E-2</v>
      </c>
      <c r="F59" s="692">
        <f>IF(Select2=1,Garden!$K61,"")</f>
        <v>0</v>
      </c>
      <c r="G59" s="684">
        <f>IF(Select2=1,Wood!$K61,"")</f>
        <v>0</v>
      </c>
      <c r="H59" s="692">
        <f>IF(Select2=1,Textiles!$K61,"")</f>
        <v>2.7841245389490694E-2</v>
      </c>
      <c r="I59" s="693">
        <f>Sludge!K61</f>
        <v>0</v>
      </c>
      <c r="J59" s="693" t="str">
        <f>IF(Select2=2,MSW!$K61,"")</f>
        <v/>
      </c>
      <c r="K59" s="693">
        <f>Industry!$K61</f>
        <v>0</v>
      </c>
      <c r="L59" s="694">
        <f t="shared" si="3"/>
        <v>0.22733978972090682</v>
      </c>
      <c r="M59" s="695">
        <f>Recovery_OX!C54</f>
        <v>0</v>
      </c>
      <c r="N59" s="651"/>
      <c r="O59" s="696">
        <f>(L59-M59)*(1-Recovery_OX!F54)</f>
        <v>0.22733978972090682</v>
      </c>
      <c r="P59" s="643"/>
      <c r="Q59" s="653"/>
      <c r="S59" s="690">
        <f t="shared" si="2"/>
        <v>2042</v>
      </c>
      <c r="T59" s="691">
        <f>IF(Select2=1,Food!$W61,"")</f>
        <v>1.0739986948315241E-2</v>
      </c>
      <c r="U59" s="692">
        <f>IF(Select2=1,Paper!$W61,"")</f>
        <v>0.24295759548414023</v>
      </c>
      <c r="V59" s="684">
        <f>IF(Select2=1,Nappies!$W61,"")</f>
        <v>0</v>
      </c>
      <c r="W59" s="692">
        <f>IF(Select2=1,Garden!$W61,"")</f>
        <v>0</v>
      </c>
      <c r="X59" s="684">
        <f>IF(Select2=1,Wood!$W61,"")</f>
        <v>0.20847498512299814</v>
      </c>
      <c r="Y59" s="692">
        <f>IF(Select2=1,Textiles!$W61,"")</f>
        <v>3.0510953851496672E-2</v>
      </c>
      <c r="Z59" s="686">
        <f>Sludge!W61</f>
        <v>0</v>
      </c>
      <c r="AA59" s="686" t="str">
        <f>IF(Select2=2,MSW!$W61,"")</f>
        <v/>
      </c>
      <c r="AB59" s="693">
        <f>Industry!$W61</f>
        <v>0</v>
      </c>
      <c r="AC59" s="694">
        <f t="shared" si="4"/>
        <v>0.49268352140695032</v>
      </c>
      <c r="AD59" s="695">
        <f>Recovery_OX!R54</f>
        <v>0</v>
      </c>
      <c r="AE59" s="651"/>
      <c r="AF59" s="697">
        <f>(AC59-AD59)*(1-Recovery_OX!U54)</f>
        <v>0.49268352140695032</v>
      </c>
    </row>
    <row r="60" spans="2:32">
      <c r="B60" s="690">
        <f t="shared" si="1"/>
        <v>2043</v>
      </c>
      <c r="C60" s="691">
        <f>IF(Select2=1,Food!$K62,"")</f>
        <v>1.0760446932848639E-2</v>
      </c>
      <c r="D60" s="692">
        <f>IF(Select2=1,Paper!$K62,"")</f>
        <v>0.10964156569585287</v>
      </c>
      <c r="E60" s="684">
        <f>IF(Select2=1,Nappies!$K62,"")</f>
        <v>5.5559012984425227E-2</v>
      </c>
      <c r="F60" s="692">
        <f>IF(Select2=1,Garden!$K62,"")</f>
        <v>0</v>
      </c>
      <c r="G60" s="684">
        <f>IF(Select2=1,Wood!$K62,"")</f>
        <v>0</v>
      </c>
      <c r="H60" s="692">
        <f>IF(Select2=1,Textiles!$K62,"")</f>
        <v>2.5959005139646101E-2</v>
      </c>
      <c r="I60" s="693">
        <f>Sludge!K62</f>
        <v>0</v>
      </c>
      <c r="J60" s="693" t="str">
        <f>IF(Select2=2,MSW!$K62,"")</f>
        <v/>
      </c>
      <c r="K60" s="693">
        <f>Industry!$K62</f>
        <v>0</v>
      </c>
      <c r="L60" s="694">
        <f t="shared" si="3"/>
        <v>0.20192003075277284</v>
      </c>
      <c r="M60" s="695">
        <f>Recovery_OX!C55</f>
        <v>0</v>
      </c>
      <c r="N60" s="651"/>
      <c r="O60" s="696">
        <f>(L60-M60)*(1-Recovery_OX!F55)</f>
        <v>0.20192003075277284</v>
      </c>
      <c r="P60" s="643"/>
      <c r="Q60" s="653"/>
      <c r="S60" s="690">
        <f t="shared" si="2"/>
        <v>2043</v>
      </c>
      <c r="T60" s="691">
        <f>IF(Select2=1,Food!$W62,"")</f>
        <v>7.1992285456168384E-3</v>
      </c>
      <c r="U60" s="692">
        <f>IF(Select2=1,Paper!$W62,"")</f>
        <v>0.22653216052862168</v>
      </c>
      <c r="V60" s="684">
        <f>IF(Select2=1,Nappies!$W62,"")</f>
        <v>0</v>
      </c>
      <c r="W60" s="692">
        <f>IF(Select2=1,Garden!$W62,"")</f>
        <v>0</v>
      </c>
      <c r="X60" s="684">
        <f>IF(Select2=1,Wood!$W62,"")</f>
        <v>0.20130457478898259</v>
      </c>
      <c r="Y60" s="692">
        <f>IF(Select2=1,Textiles!$W62,"")</f>
        <v>2.8448224810571091E-2</v>
      </c>
      <c r="Z60" s="686">
        <f>Sludge!W62</f>
        <v>0</v>
      </c>
      <c r="AA60" s="686" t="str">
        <f>IF(Select2=2,MSW!$W62,"")</f>
        <v/>
      </c>
      <c r="AB60" s="693">
        <f>Industry!$W62</f>
        <v>0</v>
      </c>
      <c r="AC60" s="694">
        <f t="shared" si="4"/>
        <v>0.46348418867379215</v>
      </c>
      <c r="AD60" s="695">
        <f>Recovery_OX!R55</f>
        <v>0</v>
      </c>
      <c r="AE60" s="651"/>
      <c r="AF60" s="697">
        <f>(AC60-AD60)*(1-Recovery_OX!U55)</f>
        <v>0.46348418867379215</v>
      </c>
    </row>
    <row r="61" spans="2:32">
      <c r="B61" s="690">
        <f t="shared" si="1"/>
        <v>2044</v>
      </c>
      <c r="C61" s="691">
        <f>IF(Select2=1,Food!$K63,"")</f>
        <v>7.2129432833911537E-3</v>
      </c>
      <c r="D61" s="692">
        <f>IF(Select2=1,Paper!$K63,"")</f>
        <v>0.10222911825962523</v>
      </c>
      <c r="E61" s="684">
        <f>IF(Select2=1,Nappies!$K63,"")</f>
        <v>4.6873184499781208E-2</v>
      </c>
      <c r="F61" s="692">
        <f>IF(Select2=1,Garden!$K63,"")</f>
        <v>0</v>
      </c>
      <c r="G61" s="684">
        <f>IF(Select2=1,Wood!$K63,"")</f>
        <v>0</v>
      </c>
      <c r="H61" s="692">
        <f>IF(Select2=1,Textiles!$K63,"")</f>
        <v>2.4204015963112769E-2</v>
      </c>
      <c r="I61" s="693">
        <f>Sludge!K63</f>
        <v>0</v>
      </c>
      <c r="J61" s="693" t="str">
        <f>IF(Select2=2,MSW!$K63,"")</f>
        <v/>
      </c>
      <c r="K61" s="693">
        <f>Industry!$K63</f>
        <v>0</v>
      </c>
      <c r="L61" s="694">
        <f t="shared" si="3"/>
        <v>0.18051926200591037</v>
      </c>
      <c r="M61" s="695">
        <f>Recovery_OX!C56</f>
        <v>0</v>
      </c>
      <c r="N61" s="651"/>
      <c r="O61" s="696">
        <f>(L61-M61)*(1-Recovery_OX!F56)</f>
        <v>0.18051926200591037</v>
      </c>
      <c r="P61" s="643"/>
      <c r="Q61" s="653"/>
      <c r="S61" s="690">
        <f t="shared" si="2"/>
        <v>2044</v>
      </c>
      <c r="T61" s="691">
        <f>IF(Select2=1,Food!$W63,"")</f>
        <v>4.8257872101189671E-3</v>
      </c>
      <c r="U61" s="692">
        <f>IF(Select2=1,Paper!$W63,"")</f>
        <v>0.21121718648682902</v>
      </c>
      <c r="V61" s="684">
        <f>IF(Select2=1,Nappies!$W63,"")</f>
        <v>0</v>
      </c>
      <c r="W61" s="692">
        <f>IF(Select2=1,Garden!$W63,"")</f>
        <v>0</v>
      </c>
      <c r="X61" s="684">
        <f>IF(Select2=1,Wood!$W63,"")</f>
        <v>0.19438078773366796</v>
      </c>
      <c r="Y61" s="692">
        <f>IF(Select2=1,Textiles!$W63,"")</f>
        <v>2.6524949000671545E-2</v>
      </c>
      <c r="Z61" s="686">
        <f>Sludge!W63</f>
        <v>0</v>
      </c>
      <c r="AA61" s="686" t="str">
        <f>IF(Select2=2,MSW!$W63,"")</f>
        <v/>
      </c>
      <c r="AB61" s="693">
        <f>Industry!$W63</f>
        <v>0</v>
      </c>
      <c r="AC61" s="694">
        <f t="shared" si="4"/>
        <v>0.43694871043128752</v>
      </c>
      <c r="AD61" s="695">
        <f>Recovery_OX!R56</f>
        <v>0</v>
      </c>
      <c r="AE61" s="651"/>
      <c r="AF61" s="697">
        <f>(AC61-AD61)*(1-Recovery_OX!U56)</f>
        <v>0.43694871043128752</v>
      </c>
    </row>
    <row r="62" spans="2:32">
      <c r="B62" s="690">
        <f t="shared" si="1"/>
        <v>2045</v>
      </c>
      <c r="C62" s="691">
        <f>IF(Select2=1,Food!$K64,"")</f>
        <v>4.8349804737752135E-3</v>
      </c>
      <c r="D62" s="692">
        <f>IF(Select2=1,Paper!$K64,"")</f>
        <v>9.5317798079708888E-2</v>
      </c>
      <c r="E62" s="684">
        <f>IF(Select2=1,Nappies!$K64,"")</f>
        <v>3.9545256604296371E-2</v>
      </c>
      <c r="F62" s="692">
        <f>IF(Select2=1,Garden!$K64,"")</f>
        <v>0</v>
      </c>
      <c r="G62" s="684">
        <f>IF(Select2=1,Wood!$K64,"")</f>
        <v>0</v>
      </c>
      <c r="H62" s="692">
        <f>IF(Select2=1,Textiles!$K64,"")</f>
        <v>2.2567674900911265E-2</v>
      </c>
      <c r="I62" s="693">
        <f>Sludge!K64</f>
        <v>0</v>
      </c>
      <c r="J62" s="693" t="str">
        <f>IF(Select2=2,MSW!$K64,"")</f>
        <v/>
      </c>
      <c r="K62" s="693">
        <f>Industry!$K64</f>
        <v>0</v>
      </c>
      <c r="L62" s="694">
        <f t="shared" si="3"/>
        <v>0.16226571005869175</v>
      </c>
      <c r="M62" s="695">
        <f>Recovery_OX!C57</f>
        <v>0</v>
      </c>
      <c r="N62" s="651"/>
      <c r="O62" s="696">
        <f>(L62-M62)*(1-Recovery_OX!F57)</f>
        <v>0.16226571005869175</v>
      </c>
      <c r="P62" s="643"/>
      <c r="Q62" s="653"/>
      <c r="S62" s="690">
        <f t="shared" si="2"/>
        <v>2045</v>
      </c>
      <c r="T62" s="691">
        <f>IF(Select2=1,Food!$W64,"")</f>
        <v>3.234821904845146E-3</v>
      </c>
      <c r="U62" s="692">
        <f>IF(Select2=1,Paper!$W64,"")</f>
        <v>0.19693759933824156</v>
      </c>
      <c r="V62" s="684">
        <f>IF(Select2=1,Nappies!$W64,"")</f>
        <v>0</v>
      </c>
      <c r="W62" s="692">
        <f>IF(Select2=1,Garden!$W64,"")</f>
        <v>0</v>
      </c>
      <c r="X62" s="684">
        <f>IF(Select2=1,Wood!$W64,"")</f>
        <v>0.18769514145204214</v>
      </c>
      <c r="Y62" s="692">
        <f>IF(Select2=1,Textiles!$W64,"")</f>
        <v>2.4731698521546611E-2</v>
      </c>
      <c r="Z62" s="686">
        <f>Sludge!W64</f>
        <v>0</v>
      </c>
      <c r="AA62" s="686" t="str">
        <f>IF(Select2=2,MSW!$W64,"")</f>
        <v/>
      </c>
      <c r="AB62" s="693">
        <f>Industry!$W64</f>
        <v>0</v>
      </c>
      <c r="AC62" s="694">
        <f t="shared" si="4"/>
        <v>0.41259926121667545</v>
      </c>
      <c r="AD62" s="695">
        <f>Recovery_OX!R57</f>
        <v>0</v>
      </c>
      <c r="AE62" s="651"/>
      <c r="AF62" s="697">
        <f>(AC62-AD62)*(1-Recovery_OX!U57)</f>
        <v>0.41259926121667545</v>
      </c>
    </row>
    <row r="63" spans="2:32">
      <c r="B63" s="690">
        <f t="shared" si="1"/>
        <v>2046</v>
      </c>
      <c r="C63" s="691">
        <f>IF(Select2=1,Food!$K65,"")</f>
        <v>3.2409843337624184E-3</v>
      </c>
      <c r="D63" s="692">
        <f>IF(Select2=1,Paper!$K65,"")</f>
        <v>8.8873725856563626E-2</v>
      </c>
      <c r="E63" s="684">
        <f>IF(Select2=1,Nappies!$K65,"")</f>
        <v>3.3362941660320625E-2</v>
      </c>
      <c r="F63" s="692">
        <f>IF(Select2=1,Garden!$K65,"")</f>
        <v>0</v>
      </c>
      <c r="G63" s="684">
        <f>IF(Select2=1,Wood!$K65,"")</f>
        <v>0</v>
      </c>
      <c r="H63" s="692">
        <f>IF(Select2=1,Textiles!$K65,"")</f>
        <v>2.1041960607256247E-2</v>
      </c>
      <c r="I63" s="693">
        <f>Sludge!K65</f>
        <v>0</v>
      </c>
      <c r="J63" s="693" t="str">
        <f>IF(Select2=2,MSW!$K65,"")</f>
        <v/>
      </c>
      <c r="K63" s="693">
        <f>Industry!$K65</f>
        <v>0</v>
      </c>
      <c r="L63" s="694">
        <f t="shared" si="3"/>
        <v>0.14651961245790293</v>
      </c>
      <c r="M63" s="695">
        <f>Recovery_OX!C58</f>
        <v>0</v>
      </c>
      <c r="N63" s="651"/>
      <c r="O63" s="696">
        <f>(L63-M63)*(1-Recovery_OX!F58)</f>
        <v>0.14651961245790293</v>
      </c>
      <c r="P63" s="643"/>
      <c r="Q63" s="653"/>
      <c r="S63" s="690">
        <f t="shared" si="2"/>
        <v>2046</v>
      </c>
      <c r="T63" s="691">
        <f>IF(Select2=1,Food!$W65,"")</f>
        <v>2.1683659681728928E-3</v>
      </c>
      <c r="U63" s="692">
        <f>IF(Select2=1,Paper!$W65,"")</f>
        <v>0.18362340053009021</v>
      </c>
      <c r="V63" s="684">
        <f>IF(Select2=1,Nappies!$W65,"")</f>
        <v>0</v>
      </c>
      <c r="W63" s="692">
        <f>IF(Select2=1,Garden!$W65,"")</f>
        <v>0</v>
      </c>
      <c r="X63" s="684">
        <f>IF(Select2=1,Wood!$W65,"")</f>
        <v>0.18123944519132199</v>
      </c>
      <c r="Y63" s="692">
        <f>IF(Select2=1,Textiles!$W65,"")</f>
        <v>2.3059682857267137E-2</v>
      </c>
      <c r="Z63" s="686">
        <f>Sludge!W65</f>
        <v>0</v>
      </c>
      <c r="AA63" s="686" t="str">
        <f>IF(Select2=2,MSW!$W65,"")</f>
        <v/>
      </c>
      <c r="AB63" s="693">
        <f>Industry!$W65</f>
        <v>0</v>
      </c>
      <c r="AC63" s="694">
        <f t="shared" si="4"/>
        <v>0.3900908945468522</v>
      </c>
      <c r="AD63" s="695">
        <f>Recovery_OX!R58</f>
        <v>0</v>
      </c>
      <c r="AE63" s="651"/>
      <c r="AF63" s="697">
        <f>(AC63-AD63)*(1-Recovery_OX!U58)</f>
        <v>0.3900908945468522</v>
      </c>
    </row>
    <row r="64" spans="2:32">
      <c r="B64" s="690">
        <f t="shared" si="1"/>
        <v>2047</v>
      </c>
      <c r="C64" s="691">
        <f>IF(Select2=1,Food!$K66,"")</f>
        <v>2.1724967678084101E-3</v>
      </c>
      <c r="D64" s="692">
        <f>IF(Select2=1,Paper!$K66,"")</f>
        <v>8.2865312740675406E-2</v>
      </c>
      <c r="E64" s="684">
        <f>IF(Select2=1,Nappies!$K66,"")</f>
        <v>2.8147140056970252E-2</v>
      </c>
      <c r="F64" s="692">
        <f>IF(Select2=1,Garden!$K66,"")</f>
        <v>0</v>
      </c>
      <c r="G64" s="684">
        <f>IF(Select2=1,Wood!$K66,"")</f>
        <v>0</v>
      </c>
      <c r="H64" s="692">
        <f>IF(Select2=1,Textiles!$K66,"")</f>
        <v>1.9619394028910137E-2</v>
      </c>
      <c r="I64" s="693">
        <f>Sludge!K66</f>
        <v>0</v>
      </c>
      <c r="J64" s="693" t="str">
        <f>IF(Select2=2,MSW!$K66,"")</f>
        <v/>
      </c>
      <c r="K64" s="693">
        <f>Industry!$K66</f>
        <v>0</v>
      </c>
      <c r="L64" s="694">
        <f t="shared" si="3"/>
        <v>0.13280434359436422</v>
      </c>
      <c r="M64" s="695">
        <f>Recovery_OX!C59</f>
        <v>0</v>
      </c>
      <c r="N64" s="651"/>
      <c r="O64" s="696">
        <f>(L64-M64)*(1-Recovery_OX!F59)</f>
        <v>0.13280434359436422</v>
      </c>
      <c r="P64" s="643"/>
      <c r="Q64" s="653"/>
      <c r="S64" s="690">
        <f t="shared" si="2"/>
        <v>2047</v>
      </c>
      <c r="T64" s="691">
        <f>IF(Select2=1,Food!$W66,"")</f>
        <v>1.4534991756077671E-3</v>
      </c>
      <c r="U64" s="692">
        <f>IF(Select2=1,Paper!$W66,"")</f>
        <v>0.17120932384437074</v>
      </c>
      <c r="V64" s="684">
        <f>IF(Select2=1,Nappies!$W66,"")</f>
        <v>0</v>
      </c>
      <c r="W64" s="692">
        <f>IF(Select2=1,Garden!$W66,"")</f>
        <v>0</v>
      </c>
      <c r="X64" s="684">
        <f>IF(Select2=1,Wood!$W66,"")</f>
        <v>0.17500578991625687</v>
      </c>
      <c r="Y64" s="692">
        <f>IF(Select2=1,Textiles!$W66,"")</f>
        <v>2.1500705785107019E-2</v>
      </c>
      <c r="Z64" s="686">
        <f>Sludge!W66</f>
        <v>0</v>
      </c>
      <c r="AA64" s="686" t="str">
        <f>IF(Select2=2,MSW!$W66,"")</f>
        <v/>
      </c>
      <c r="AB64" s="693">
        <f>Industry!$W66</f>
        <v>0</v>
      </c>
      <c r="AC64" s="694">
        <f t="shared" si="4"/>
        <v>0.36916931872134245</v>
      </c>
      <c r="AD64" s="695">
        <f>Recovery_OX!R59</f>
        <v>0</v>
      </c>
      <c r="AE64" s="651"/>
      <c r="AF64" s="697">
        <f>(AC64-AD64)*(1-Recovery_OX!U59)</f>
        <v>0.36916931872134245</v>
      </c>
    </row>
    <row r="65" spans="2:32">
      <c r="B65" s="690">
        <f t="shared" si="1"/>
        <v>2048</v>
      </c>
      <c r="C65" s="691">
        <f>IF(Select2=1,Food!$K67,"")</f>
        <v>1.4562681334096112E-3</v>
      </c>
      <c r="D65" s="692">
        <f>IF(Select2=1,Paper!$K67,"")</f>
        <v>7.7263105483979383E-2</v>
      </c>
      <c r="E65" s="684">
        <f>IF(Select2=1,Nappies!$K67,"")</f>
        <v>2.3746751753876534E-2</v>
      </c>
      <c r="F65" s="692">
        <f>IF(Select2=1,Garden!$K67,"")</f>
        <v>0</v>
      </c>
      <c r="G65" s="684">
        <f>IF(Select2=1,Wood!$K67,"")</f>
        <v>0</v>
      </c>
      <c r="H65" s="692">
        <f>IF(Select2=1,Textiles!$K67,"")</f>
        <v>1.8293001742855475E-2</v>
      </c>
      <c r="I65" s="693">
        <f>Sludge!K67</f>
        <v>0</v>
      </c>
      <c r="J65" s="693" t="str">
        <f>IF(Select2=2,MSW!$K67,"")</f>
        <v/>
      </c>
      <c r="K65" s="693">
        <f>Industry!$K67</f>
        <v>0</v>
      </c>
      <c r="L65" s="694">
        <f t="shared" si="3"/>
        <v>0.12075912711412101</v>
      </c>
      <c r="M65" s="695">
        <f>Recovery_OX!C60</f>
        <v>0</v>
      </c>
      <c r="N65" s="651"/>
      <c r="O65" s="696">
        <f>(L65-M65)*(1-Recovery_OX!F60)</f>
        <v>0.12075912711412101</v>
      </c>
      <c r="P65" s="643"/>
      <c r="Q65" s="653"/>
      <c r="S65" s="690">
        <f t="shared" si="2"/>
        <v>2048</v>
      </c>
      <c r="T65" s="691">
        <f>IF(Select2=1,Food!$W67,"")</f>
        <v>9.7430963430616242E-4</v>
      </c>
      <c r="U65" s="692">
        <f>IF(Select2=1,Paper!$W67,"")</f>
        <v>0.15963451546276741</v>
      </c>
      <c r="V65" s="684">
        <f>IF(Select2=1,Nappies!$W67,"")</f>
        <v>0</v>
      </c>
      <c r="W65" s="692">
        <f>IF(Select2=1,Garden!$W67,"")</f>
        <v>0</v>
      </c>
      <c r="X65" s="684">
        <f>IF(Select2=1,Wood!$W67,"")</f>
        <v>0.16898653861957141</v>
      </c>
      <c r="Y65" s="692">
        <f>IF(Select2=1,Textiles!$W67,"")</f>
        <v>2.0047125197649854E-2</v>
      </c>
      <c r="Z65" s="686">
        <f>Sludge!W67</f>
        <v>0</v>
      </c>
      <c r="AA65" s="686" t="str">
        <f>IF(Select2=2,MSW!$W67,"")</f>
        <v/>
      </c>
      <c r="AB65" s="693">
        <f>Industry!$W67</f>
        <v>0</v>
      </c>
      <c r="AC65" s="694">
        <f t="shared" si="4"/>
        <v>0.34964248891429484</v>
      </c>
      <c r="AD65" s="695">
        <f>Recovery_OX!R60</f>
        <v>0</v>
      </c>
      <c r="AE65" s="651"/>
      <c r="AF65" s="697">
        <f>(AC65-AD65)*(1-Recovery_OX!U60)</f>
        <v>0.34964248891429484</v>
      </c>
    </row>
    <row r="66" spans="2:32">
      <c r="B66" s="690">
        <f t="shared" si="1"/>
        <v>2049</v>
      </c>
      <c r="C66" s="691">
        <f>IF(Select2=1,Food!$K68,"")</f>
        <v>9.7616572222736513E-4</v>
      </c>
      <c r="D66" s="692">
        <f>IF(Select2=1,Paper!$K68,"")</f>
        <v>7.2039642060003767E-2</v>
      </c>
      <c r="E66" s="684">
        <f>IF(Select2=1,Nappies!$K68,"")</f>
        <v>2.00342989631941E-2</v>
      </c>
      <c r="F66" s="692">
        <f>IF(Select2=1,Garden!$K68,"")</f>
        <v>0</v>
      </c>
      <c r="G66" s="684">
        <f>IF(Select2=1,Wood!$K68,"")</f>
        <v>0</v>
      </c>
      <c r="H66" s="692">
        <f>IF(Select2=1,Textiles!$K68,"")</f>
        <v>1.7056281772567187E-2</v>
      </c>
      <c r="I66" s="693">
        <f>Sludge!K68</f>
        <v>0</v>
      </c>
      <c r="J66" s="693" t="str">
        <f>IF(Select2=2,MSW!$K68,"")</f>
        <v/>
      </c>
      <c r="K66" s="693">
        <f>Industry!$K68</f>
        <v>0</v>
      </c>
      <c r="L66" s="694">
        <f t="shared" si="3"/>
        <v>0.11010638851799241</v>
      </c>
      <c r="M66" s="695">
        <f>Recovery_OX!C61</f>
        <v>0</v>
      </c>
      <c r="N66" s="651"/>
      <c r="O66" s="696">
        <f>(L66-M66)*(1-Recovery_OX!F61)</f>
        <v>0.11010638851799241</v>
      </c>
      <c r="P66" s="643"/>
      <c r="Q66" s="653"/>
      <c r="S66" s="690">
        <f t="shared" si="2"/>
        <v>2049</v>
      </c>
      <c r="T66" s="691">
        <f>IF(Select2=1,Food!$W68,"")</f>
        <v>6.5309927892107371E-4</v>
      </c>
      <c r="U66" s="692">
        <f>IF(Select2=1,Paper!$W68,"")</f>
        <v>0.14884223566116483</v>
      </c>
      <c r="V66" s="684">
        <f>IF(Select2=1,Nappies!$W68,"")</f>
        <v>0</v>
      </c>
      <c r="W66" s="692">
        <f>IF(Select2=1,Garden!$W68,"")</f>
        <v>0</v>
      </c>
      <c r="X66" s="684">
        <f>IF(Select2=1,Wood!$W68,"")</f>
        <v>0.16317431696567664</v>
      </c>
      <c r="Y66" s="692">
        <f>IF(Select2=1,Textiles!$W68,"")</f>
        <v>1.8691815641169538E-2</v>
      </c>
      <c r="Z66" s="686">
        <f>Sludge!W68</f>
        <v>0</v>
      </c>
      <c r="AA66" s="686" t="str">
        <f>IF(Select2=2,MSW!$W68,"")</f>
        <v/>
      </c>
      <c r="AB66" s="693">
        <f>Industry!$W68</f>
        <v>0</v>
      </c>
      <c r="AC66" s="694">
        <f t="shared" si="4"/>
        <v>0.33136146754693213</v>
      </c>
      <c r="AD66" s="695">
        <f>Recovery_OX!R61</f>
        <v>0</v>
      </c>
      <c r="AE66" s="651"/>
      <c r="AF66" s="697">
        <f>(AC66-AD66)*(1-Recovery_OX!U61)</f>
        <v>0.33136146754693213</v>
      </c>
    </row>
    <row r="67" spans="2:32">
      <c r="B67" s="690">
        <f t="shared" si="1"/>
        <v>2050</v>
      </c>
      <c r="C67" s="691">
        <f>IF(Select2=1,Food!$K69,"")</f>
        <v>6.5434345186186048E-4</v>
      </c>
      <c r="D67" s="692">
        <f>IF(Select2=1,Paper!$K69,"")</f>
        <v>6.7169317044984134E-2</v>
      </c>
      <c r="E67" s="684">
        <f>IF(Select2=1,Nappies!$K69,"")</f>
        <v>1.690223316042027E-2</v>
      </c>
      <c r="F67" s="692">
        <f>IF(Select2=1,Garden!$K69,"")</f>
        <v>0</v>
      </c>
      <c r="G67" s="684">
        <f>IF(Select2=1,Wood!$K69,"")</f>
        <v>0</v>
      </c>
      <c r="H67" s="692">
        <f>IF(Select2=1,Textiles!$K69,"")</f>
        <v>1.5903171715316116E-2</v>
      </c>
      <c r="I67" s="693">
        <f>Sludge!K69</f>
        <v>0</v>
      </c>
      <c r="J67" s="693" t="str">
        <f>IF(Select2=2,MSW!$K69,"")</f>
        <v/>
      </c>
      <c r="K67" s="693">
        <f>Industry!$K69</f>
        <v>0</v>
      </c>
      <c r="L67" s="694">
        <f t="shared" si="3"/>
        <v>0.10062906537258239</v>
      </c>
      <c r="M67" s="695">
        <f>Recovery_OX!C62</f>
        <v>0</v>
      </c>
      <c r="N67" s="651"/>
      <c r="O67" s="696">
        <f>(L67-M67)*(1-Recovery_OX!F62)</f>
        <v>0.10062906537258239</v>
      </c>
      <c r="P67" s="643"/>
      <c r="Q67" s="653"/>
      <c r="S67" s="690">
        <f t="shared" si="2"/>
        <v>2050</v>
      </c>
      <c r="T67" s="691">
        <f>IF(Select2=1,Food!$W69,"")</f>
        <v>4.3778553871221698E-4</v>
      </c>
      <c r="U67" s="692">
        <f>IF(Select2=1,Paper!$W69,"")</f>
        <v>0.13877958067145485</v>
      </c>
      <c r="V67" s="684">
        <f>IF(Select2=1,Nappies!$W69,"")</f>
        <v>0</v>
      </c>
      <c r="W67" s="692">
        <f>IF(Select2=1,Garden!$W69,"")</f>
        <v>0</v>
      </c>
      <c r="X67" s="684">
        <f>IF(Select2=1,Wood!$W69,"")</f>
        <v>0.15756200425618627</v>
      </c>
      <c r="Y67" s="692">
        <f>IF(Select2=1,Textiles!$W69,"")</f>
        <v>1.7428133386647816E-2</v>
      </c>
      <c r="Z67" s="686">
        <f>Sludge!W69</f>
        <v>0</v>
      </c>
      <c r="AA67" s="686" t="str">
        <f>IF(Select2=2,MSW!$W69,"")</f>
        <v/>
      </c>
      <c r="AB67" s="693">
        <f>Industry!$W69</f>
        <v>0</v>
      </c>
      <c r="AC67" s="694">
        <f t="shared" si="4"/>
        <v>0.31420750385300117</v>
      </c>
      <c r="AD67" s="695">
        <f>Recovery_OX!R62</f>
        <v>0</v>
      </c>
      <c r="AE67" s="651"/>
      <c r="AF67" s="697">
        <f>(AC67-AD67)*(1-Recovery_OX!U62)</f>
        <v>0.31420750385300117</v>
      </c>
    </row>
    <row r="68" spans="2:32">
      <c r="B68" s="690">
        <f t="shared" si="1"/>
        <v>2051</v>
      </c>
      <c r="C68" s="691">
        <f>IF(Select2=1,Food!$K70,"")</f>
        <v>4.3861953277516145E-4</v>
      </c>
      <c r="D68" s="692">
        <f>IF(Select2=1,Paper!$K70,"")</f>
        <v>6.2628256100046478E-2</v>
      </c>
      <c r="E68" s="684">
        <f>IF(Select2=1,Nappies!$K70,"")</f>
        <v>1.4259819439355281E-2</v>
      </c>
      <c r="F68" s="692">
        <f>IF(Select2=1,Garden!$K70,"")</f>
        <v>0</v>
      </c>
      <c r="G68" s="684">
        <f>IF(Select2=1,Wood!$K70,"")</f>
        <v>0</v>
      </c>
      <c r="H68" s="692">
        <f>IF(Select2=1,Textiles!$K70,"")</f>
        <v>1.4828019024263827E-2</v>
      </c>
      <c r="I68" s="693">
        <f>Sludge!K70</f>
        <v>0</v>
      </c>
      <c r="J68" s="693" t="str">
        <f>IF(Select2=2,MSW!$K70,"")</f>
        <v/>
      </c>
      <c r="K68" s="693">
        <f>Industry!$K70</f>
        <v>0</v>
      </c>
      <c r="L68" s="694">
        <f t="shared" si="3"/>
        <v>9.2154714096440743E-2</v>
      </c>
      <c r="M68" s="695">
        <f>Recovery_OX!C63</f>
        <v>0</v>
      </c>
      <c r="N68" s="651"/>
      <c r="O68" s="696">
        <f>(L68-M68)*(1-Recovery_OX!F63)</f>
        <v>9.2154714096440743E-2</v>
      </c>
      <c r="P68" s="643"/>
      <c r="Q68" s="653"/>
      <c r="S68" s="690">
        <f t="shared" si="2"/>
        <v>2051</v>
      </c>
      <c r="T68" s="691">
        <f>IF(Select2=1,Food!$W70,"")</f>
        <v>2.9345642246331042E-4</v>
      </c>
      <c r="U68" s="692">
        <f>IF(Select2=1,Paper!$W70,"")</f>
        <v>0.12939722334720349</v>
      </c>
      <c r="V68" s="684">
        <f>IF(Select2=1,Nappies!$W70,"")</f>
        <v>0</v>
      </c>
      <c r="W68" s="692">
        <f>IF(Select2=1,Garden!$W70,"")</f>
        <v>0</v>
      </c>
      <c r="X68" s="684">
        <f>IF(Select2=1,Wood!$W70,"")</f>
        <v>0.15214272470617118</v>
      </c>
      <c r="Y68" s="692">
        <f>IF(Select2=1,Textiles!$W70,"")</f>
        <v>1.6249883862206951E-2</v>
      </c>
      <c r="Z68" s="686">
        <f>Sludge!W70</f>
        <v>0</v>
      </c>
      <c r="AA68" s="686" t="str">
        <f>IF(Select2=2,MSW!$W70,"")</f>
        <v/>
      </c>
      <c r="AB68" s="693">
        <f>Industry!$W70</f>
        <v>0</v>
      </c>
      <c r="AC68" s="694">
        <f t="shared" si="4"/>
        <v>0.29808328833804493</v>
      </c>
      <c r="AD68" s="695">
        <f>Recovery_OX!R63</f>
        <v>0</v>
      </c>
      <c r="AE68" s="651"/>
      <c r="AF68" s="697">
        <f>(AC68-AD68)*(1-Recovery_OX!U63)</f>
        <v>0.29808328833804493</v>
      </c>
    </row>
    <row r="69" spans="2:32">
      <c r="B69" s="690">
        <f t="shared" si="1"/>
        <v>2052</v>
      </c>
      <c r="C69" s="691">
        <f>IF(Select2=1,Food!$K71,"")</f>
        <v>2.9401546540197684E-4</v>
      </c>
      <c r="D69" s="692">
        <f>IF(Select2=1,Paper!$K71,"")</f>
        <v>5.839419893917034E-2</v>
      </c>
      <c r="E69" s="684">
        <f>IF(Select2=1,Nappies!$K71,"")</f>
        <v>1.203050795200122E-2</v>
      </c>
      <c r="F69" s="692">
        <f>IF(Select2=1,Garden!$K71,"")</f>
        <v>0</v>
      </c>
      <c r="G69" s="684">
        <f>IF(Select2=1,Wood!$K71,"")</f>
        <v>0</v>
      </c>
      <c r="H69" s="692">
        <f>IF(Select2=1,Textiles!$K71,"")</f>
        <v>1.382555329967142E-2</v>
      </c>
      <c r="I69" s="693">
        <f>Sludge!K71</f>
        <v>0</v>
      </c>
      <c r="J69" s="693" t="str">
        <f>IF(Select2=2,MSW!$K71,"")</f>
        <v/>
      </c>
      <c r="K69" s="693">
        <f>Industry!$K71</f>
        <v>0</v>
      </c>
      <c r="L69" s="694">
        <f t="shared" si="3"/>
        <v>8.4544275656244949E-2</v>
      </c>
      <c r="M69" s="695">
        <f>Recovery_OX!C64</f>
        <v>0</v>
      </c>
      <c r="N69" s="651"/>
      <c r="O69" s="696">
        <f>(L69-M69)*(1-Recovery_OX!F64)</f>
        <v>8.4544275656244949E-2</v>
      </c>
      <c r="P69" s="643"/>
      <c r="Q69" s="653"/>
      <c r="S69" s="690">
        <f t="shared" si="2"/>
        <v>2052</v>
      </c>
      <c r="T69" s="691">
        <f>IF(Select2=1,Food!$W71,"")</f>
        <v>1.9670972261506028E-4</v>
      </c>
      <c r="U69" s="692">
        <f>IF(Select2=1,Paper!$W71,"")</f>
        <v>0.12064917136192223</v>
      </c>
      <c r="V69" s="684">
        <f>IF(Select2=1,Nappies!$W71,"")</f>
        <v>0</v>
      </c>
      <c r="W69" s="692">
        <f>IF(Select2=1,Garden!$W71,"")</f>
        <v>0</v>
      </c>
      <c r="X69" s="684">
        <f>IF(Select2=1,Wood!$W71,"")</f>
        <v>0.14690983902046278</v>
      </c>
      <c r="Y69" s="692">
        <f>IF(Select2=1,Textiles!$W71,"")</f>
        <v>1.5151291287311162E-2</v>
      </c>
      <c r="Z69" s="686">
        <f>Sludge!W71</f>
        <v>0</v>
      </c>
      <c r="AA69" s="686" t="str">
        <f>IF(Select2=2,MSW!$W71,"")</f>
        <v/>
      </c>
      <c r="AB69" s="693">
        <f>Industry!$W71</f>
        <v>0</v>
      </c>
      <c r="AC69" s="694">
        <f t="shared" si="4"/>
        <v>0.28290701139231123</v>
      </c>
      <c r="AD69" s="695">
        <f>Recovery_OX!R64</f>
        <v>0</v>
      </c>
      <c r="AE69" s="651"/>
      <c r="AF69" s="697">
        <f>(AC69-AD69)*(1-Recovery_OX!U64)</f>
        <v>0.28290701139231123</v>
      </c>
    </row>
    <row r="70" spans="2:32">
      <c r="B70" s="690">
        <f t="shared" si="1"/>
        <v>2053</v>
      </c>
      <c r="C70" s="691">
        <f>IF(Select2=1,Food!$K72,"")</f>
        <v>1.9708446030344302E-4</v>
      </c>
      <c r="D70" s="692">
        <f>IF(Select2=1,Paper!$K72,"")</f>
        <v>5.4446390209240914E-2</v>
      </c>
      <c r="E70" s="684">
        <f>IF(Select2=1,Nappies!$K72,"")</f>
        <v>1.0149716284886446E-2</v>
      </c>
      <c r="F70" s="692">
        <f>IF(Select2=1,Garden!$K72,"")</f>
        <v>0</v>
      </c>
      <c r="G70" s="684">
        <f>IF(Select2=1,Wood!$K72,"")</f>
        <v>0</v>
      </c>
      <c r="H70" s="692">
        <f>IF(Select2=1,Textiles!$K72,"")</f>
        <v>1.2890860453393924E-2</v>
      </c>
      <c r="I70" s="693">
        <f>Sludge!K72</f>
        <v>0</v>
      </c>
      <c r="J70" s="693" t="str">
        <f>IF(Select2=2,MSW!$K72,"")</f>
        <v/>
      </c>
      <c r="K70" s="693">
        <f>Industry!$K72</f>
        <v>0</v>
      </c>
      <c r="L70" s="694">
        <f t="shared" si="3"/>
        <v>7.7684051407824722E-2</v>
      </c>
      <c r="M70" s="695">
        <f>Recovery_OX!C65</f>
        <v>0</v>
      </c>
      <c r="N70" s="651"/>
      <c r="O70" s="696">
        <f>(L70-M70)*(1-Recovery_OX!F65)</f>
        <v>7.7684051407824722E-2</v>
      </c>
      <c r="P70" s="643"/>
      <c r="Q70" s="653"/>
      <c r="S70" s="690">
        <f t="shared" si="2"/>
        <v>2053</v>
      </c>
      <c r="T70" s="691">
        <f>IF(Select2=1,Food!$W72,"")</f>
        <v>1.3185847031898503E-4</v>
      </c>
      <c r="U70" s="692">
        <f>IF(Select2=1,Paper!$W72,"")</f>
        <v>0.11249254175463</v>
      </c>
      <c r="V70" s="684">
        <f>IF(Select2=1,Nappies!$W72,"")</f>
        <v>0</v>
      </c>
      <c r="W70" s="692">
        <f>IF(Select2=1,Garden!$W72,"")</f>
        <v>0</v>
      </c>
      <c r="X70" s="684">
        <f>IF(Select2=1,Wood!$W72,"")</f>
        <v>0.14185693625968604</v>
      </c>
      <c r="Y70" s="692">
        <f>IF(Select2=1,Textiles!$W72,"")</f>
        <v>1.4126970359883768E-2</v>
      </c>
      <c r="Z70" s="686">
        <f>Sludge!W72</f>
        <v>0</v>
      </c>
      <c r="AA70" s="686" t="str">
        <f>IF(Select2=2,MSW!$W72,"")</f>
        <v/>
      </c>
      <c r="AB70" s="693">
        <f>Industry!$W72</f>
        <v>0</v>
      </c>
      <c r="AC70" s="694">
        <f t="shared" si="4"/>
        <v>0.26860830684451875</v>
      </c>
      <c r="AD70" s="695">
        <f>Recovery_OX!R65</f>
        <v>0</v>
      </c>
      <c r="AE70" s="651"/>
      <c r="AF70" s="697">
        <f>(AC70-AD70)*(1-Recovery_OX!U65)</f>
        <v>0.26860830684451875</v>
      </c>
    </row>
    <row r="71" spans="2:32">
      <c r="B71" s="690">
        <f t="shared" si="1"/>
        <v>2054</v>
      </c>
      <c r="C71" s="691">
        <f>IF(Select2=1,Food!$K73,"")</f>
        <v>1.3210966450351305E-4</v>
      </c>
      <c r="D71" s="692">
        <f>IF(Select2=1,Paper!$K73,"")</f>
        <v>5.076547774728396E-2</v>
      </c>
      <c r="E71" s="684">
        <f>IF(Select2=1,Nappies!$K73,"")</f>
        <v>8.562958527994052E-3</v>
      </c>
      <c r="F71" s="692">
        <f>IF(Select2=1,Garden!$K73,"")</f>
        <v>0</v>
      </c>
      <c r="G71" s="684">
        <f>IF(Select2=1,Wood!$K73,"")</f>
        <v>0</v>
      </c>
      <c r="H71" s="692">
        <f>IF(Select2=1,Textiles!$K73,"")</f>
        <v>1.2019358620014482E-2</v>
      </c>
      <c r="I71" s="693">
        <f>Sludge!K73</f>
        <v>0</v>
      </c>
      <c r="J71" s="693" t="str">
        <f>IF(Select2=2,MSW!$K73,"")</f>
        <v/>
      </c>
      <c r="K71" s="693">
        <f>Industry!$K73</f>
        <v>0</v>
      </c>
      <c r="L71" s="694">
        <f t="shared" si="3"/>
        <v>7.1479904559796012E-2</v>
      </c>
      <c r="M71" s="695">
        <f>Recovery_OX!C66</f>
        <v>0</v>
      </c>
      <c r="N71" s="651"/>
      <c r="O71" s="696">
        <f>(L71-M71)*(1-Recovery_OX!F66)</f>
        <v>7.1479904559796012E-2</v>
      </c>
      <c r="P71" s="643"/>
      <c r="Q71" s="653"/>
      <c r="S71" s="690">
        <f t="shared" si="2"/>
        <v>2054</v>
      </c>
      <c r="T71" s="691">
        <f>IF(Select2=1,Food!$W73,"")</f>
        <v>8.8387375894411036E-5</v>
      </c>
      <c r="U71" s="692">
        <f>IF(Select2=1,Paper!$W73,"")</f>
        <v>0.10488735071752886</v>
      </c>
      <c r="V71" s="684">
        <f>IF(Select2=1,Nappies!$W73,"")</f>
        <v>0</v>
      </c>
      <c r="W71" s="692">
        <f>IF(Select2=1,Garden!$W73,"")</f>
        <v>0</v>
      </c>
      <c r="X71" s="684">
        <f>IF(Select2=1,Wood!$W73,"")</f>
        <v>0.13697782598605721</v>
      </c>
      <c r="Y71" s="692">
        <f>IF(Select2=1,Textiles!$W73,"")</f>
        <v>1.3171899857550136E-2</v>
      </c>
      <c r="Z71" s="686">
        <f>Sludge!W73</f>
        <v>0</v>
      </c>
      <c r="AA71" s="686" t="str">
        <f>IF(Select2=2,MSW!$W73,"")</f>
        <v/>
      </c>
      <c r="AB71" s="693">
        <f>Industry!$W73</f>
        <v>0</v>
      </c>
      <c r="AC71" s="694">
        <f t="shared" si="4"/>
        <v>0.25512546393703062</v>
      </c>
      <c r="AD71" s="695">
        <f>Recovery_OX!R66</f>
        <v>0</v>
      </c>
      <c r="AE71" s="651"/>
      <c r="AF71" s="697">
        <f>(AC71-AD71)*(1-Recovery_OX!U66)</f>
        <v>0.25512546393703062</v>
      </c>
    </row>
    <row r="72" spans="2:32">
      <c r="B72" s="690">
        <f t="shared" si="1"/>
        <v>2055</v>
      </c>
      <c r="C72" s="691">
        <f>IF(Select2=1,Food!$K74,"")</f>
        <v>8.8555756391747747E-5</v>
      </c>
      <c r="D72" s="692">
        <f>IF(Select2=1,Paper!$K74,"")</f>
        <v>4.7333417716140497E-2</v>
      </c>
      <c r="E72" s="684">
        <f>IF(Select2=1,Nappies!$K74,"")</f>
        <v>7.2242668360425416E-3</v>
      </c>
      <c r="F72" s="692">
        <f>IF(Select2=1,Garden!$K74,"")</f>
        <v>0</v>
      </c>
      <c r="G72" s="684">
        <f>IF(Select2=1,Wood!$K74,"")</f>
        <v>0</v>
      </c>
      <c r="H72" s="692">
        <f>IF(Select2=1,Textiles!$K74,"")</f>
        <v>1.1206775696534792E-2</v>
      </c>
      <c r="I72" s="693">
        <f>Sludge!K74</f>
        <v>0</v>
      </c>
      <c r="J72" s="693" t="str">
        <f>IF(Select2=2,MSW!$K74,"")</f>
        <v/>
      </c>
      <c r="K72" s="693">
        <f>Industry!$K74</f>
        <v>0</v>
      </c>
      <c r="L72" s="694">
        <f t="shared" si="3"/>
        <v>6.585301600510958E-2</v>
      </c>
      <c r="M72" s="695">
        <f>Recovery_OX!C67</f>
        <v>0</v>
      </c>
      <c r="N72" s="651"/>
      <c r="O72" s="696">
        <f>(L72-M72)*(1-Recovery_OX!F67)</f>
        <v>6.585301600510958E-2</v>
      </c>
      <c r="P72" s="643"/>
      <c r="Q72" s="653"/>
      <c r="S72" s="690">
        <f t="shared" si="2"/>
        <v>2055</v>
      </c>
      <c r="T72" s="691">
        <f>IF(Select2=1,Food!$W74,"")</f>
        <v>5.924782987851096E-5</v>
      </c>
      <c r="U72" s="692">
        <f>IF(Select2=1,Paper!$W74,"")</f>
        <v>9.7796317595331639E-2</v>
      </c>
      <c r="V72" s="684">
        <f>IF(Select2=1,Nappies!$W74,"")</f>
        <v>0</v>
      </c>
      <c r="W72" s="692">
        <f>IF(Select2=1,Garden!$W74,"")</f>
        <v>0</v>
      </c>
      <c r="X72" s="684">
        <f>IF(Select2=1,Wood!$W74,"")</f>
        <v>0.13226653067932329</v>
      </c>
      <c r="Y72" s="692">
        <f>IF(Select2=1,Textiles!$W74,"")</f>
        <v>1.2281398023599784E-2</v>
      </c>
      <c r="Z72" s="686">
        <f>Sludge!W74</f>
        <v>0</v>
      </c>
      <c r="AA72" s="686" t="str">
        <f>IF(Select2=2,MSW!$W74,"")</f>
        <v/>
      </c>
      <c r="AB72" s="693">
        <f>Industry!$W74</f>
        <v>0</v>
      </c>
      <c r="AC72" s="694">
        <f t="shared" si="4"/>
        <v>0.24240349412813322</v>
      </c>
      <c r="AD72" s="695">
        <f>Recovery_OX!R67</f>
        <v>0</v>
      </c>
      <c r="AE72" s="651"/>
      <c r="AF72" s="697">
        <f>(AC72-AD72)*(1-Recovery_OX!U67)</f>
        <v>0.24240349412813322</v>
      </c>
    </row>
    <row r="73" spans="2:32">
      <c r="B73" s="690">
        <f t="shared" si="1"/>
        <v>2056</v>
      </c>
      <c r="C73" s="691">
        <f>IF(Select2=1,Food!$K75,"")</f>
        <v>5.9360698701237208E-5</v>
      </c>
      <c r="D73" s="692">
        <f>IF(Select2=1,Paper!$K75,"")</f>
        <v>4.4133386153556123E-2</v>
      </c>
      <c r="E73" s="684">
        <f>IF(Select2=1,Nappies!$K75,"")</f>
        <v>6.094859755273168E-3</v>
      </c>
      <c r="F73" s="692">
        <f>IF(Select2=1,Garden!$K75,"")</f>
        <v>0</v>
      </c>
      <c r="G73" s="684">
        <f>IF(Select2=1,Wood!$K75,"")</f>
        <v>0</v>
      </c>
      <c r="H73" s="692">
        <f>IF(Select2=1,Textiles!$K75,"")</f>
        <v>1.0449128400521217E-2</v>
      </c>
      <c r="I73" s="693">
        <f>Sludge!K75</f>
        <v>0</v>
      </c>
      <c r="J73" s="693" t="str">
        <f>IF(Select2=2,MSW!$K75,"")</f>
        <v/>
      </c>
      <c r="K73" s="693">
        <f>Industry!$K75</f>
        <v>0</v>
      </c>
      <c r="L73" s="694">
        <f t="shared" si="3"/>
        <v>6.073673500805174E-2</v>
      </c>
      <c r="M73" s="695">
        <f>Recovery_OX!C68</f>
        <v>0</v>
      </c>
      <c r="N73" s="651"/>
      <c r="O73" s="696">
        <f>(L73-M73)*(1-Recovery_OX!F68)</f>
        <v>6.073673500805174E-2</v>
      </c>
      <c r="P73" s="643"/>
      <c r="Q73" s="653"/>
      <c r="S73" s="690">
        <f t="shared" si="2"/>
        <v>2056</v>
      </c>
      <c r="T73" s="691">
        <f>IF(Select2=1,Food!$W75,"")</f>
        <v>3.9715008051675193E-5</v>
      </c>
      <c r="U73" s="692">
        <f>IF(Select2=1,Paper!$W75,"")</f>
        <v>9.118468213544656E-2</v>
      </c>
      <c r="V73" s="684">
        <f>IF(Select2=1,Nappies!$W75,"")</f>
        <v>0</v>
      </c>
      <c r="W73" s="692">
        <f>IF(Select2=1,Garden!$W75,"")</f>
        <v>0</v>
      </c>
      <c r="X73" s="684">
        <f>IF(Select2=1,Wood!$W75,"")</f>
        <v>0.12771727841355213</v>
      </c>
      <c r="Y73" s="692">
        <f>IF(Select2=1,Textiles!$W75,"")</f>
        <v>1.1451099617009568E-2</v>
      </c>
      <c r="Z73" s="686">
        <f>Sludge!W75</f>
        <v>0</v>
      </c>
      <c r="AA73" s="686" t="str">
        <f>IF(Select2=2,MSW!$W75,"")</f>
        <v/>
      </c>
      <c r="AB73" s="693">
        <f>Industry!$W75</f>
        <v>0</v>
      </c>
      <c r="AC73" s="694">
        <f t="shared" si="4"/>
        <v>0.23039277517405993</v>
      </c>
      <c r="AD73" s="695">
        <f>Recovery_OX!R68</f>
        <v>0</v>
      </c>
      <c r="AE73" s="651"/>
      <c r="AF73" s="697">
        <f>(AC73-AD73)*(1-Recovery_OX!U68)</f>
        <v>0.23039277517405993</v>
      </c>
    </row>
    <row r="74" spans="2:32">
      <c r="B74" s="690">
        <f t="shared" si="1"/>
        <v>2057</v>
      </c>
      <c r="C74" s="691">
        <f>IF(Select2=1,Food!$K76,"")</f>
        <v>3.979066628612104E-5</v>
      </c>
      <c r="D74" s="692">
        <f>IF(Select2=1,Paper!$K76,"")</f>
        <v>4.1149696501098482E-2</v>
      </c>
      <c r="E74" s="684">
        <f>IF(Select2=1,Nappies!$K76,"")</f>
        <v>5.142018737613217E-3</v>
      </c>
      <c r="F74" s="692">
        <f>IF(Select2=1,Garden!$K76,"")</f>
        <v>0</v>
      </c>
      <c r="G74" s="684">
        <f>IF(Select2=1,Wood!$K76,"")</f>
        <v>0</v>
      </c>
      <c r="H74" s="692">
        <f>IF(Select2=1,Textiles!$K76,"")</f>
        <v>9.7427027440497097E-3</v>
      </c>
      <c r="I74" s="693">
        <f>Sludge!K76</f>
        <v>0</v>
      </c>
      <c r="J74" s="693" t="str">
        <f>IF(Select2=2,MSW!$K76,"")</f>
        <v/>
      </c>
      <c r="K74" s="693">
        <f>Industry!$K76</f>
        <v>0</v>
      </c>
      <c r="L74" s="694">
        <f t="shared" si="3"/>
        <v>5.6074208649047531E-2</v>
      </c>
      <c r="M74" s="695">
        <f>Recovery_OX!C69</f>
        <v>0</v>
      </c>
      <c r="N74" s="651"/>
      <c r="O74" s="696">
        <f>(L74-M74)*(1-Recovery_OX!F69)</f>
        <v>5.6074208649047531E-2</v>
      </c>
      <c r="P74" s="643"/>
      <c r="Q74" s="653"/>
      <c r="S74" s="690">
        <f t="shared" si="2"/>
        <v>2057</v>
      </c>
      <c r="T74" s="691">
        <f>IF(Select2=1,Food!$W76,"")</f>
        <v>2.6621766025504708E-5</v>
      </c>
      <c r="U74" s="692">
        <f>IF(Select2=1,Paper!$W76,"")</f>
        <v>8.5020034093178709E-2</v>
      </c>
      <c r="V74" s="684">
        <f>IF(Select2=1,Nappies!$W76,"")</f>
        <v>0</v>
      </c>
      <c r="W74" s="692">
        <f>IF(Select2=1,Garden!$W76,"")</f>
        <v>0</v>
      </c>
      <c r="X74" s="684">
        <f>IF(Select2=1,Wood!$W76,"")</f>
        <v>0.12332449578580151</v>
      </c>
      <c r="Y74" s="692">
        <f>IF(Select2=1,Textiles!$W76,"")</f>
        <v>1.0676934514027092E-2</v>
      </c>
      <c r="Z74" s="686">
        <f>Sludge!W76</f>
        <v>0</v>
      </c>
      <c r="AA74" s="686" t="str">
        <f>IF(Select2=2,MSW!$W76,"")</f>
        <v/>
      </c>
      <c r="AB74" s="693">
        <f>Industry!$W76</f>
        <v>0</v>
      </c>
      <c r="AC74" s="694">
        <f t="shared" si="4"/>
        <v>0.21904808615903285</v>
      </c>
      <c r="AD74" s="695">
        <f>Recovery_OX!R69</f>
        <v>0</v>
      </c>
      <c r="AE74" s="651"/>
      <c r="AF74" s="697">
        <f>(AC74-AD74)*(1-Recovery_OX!U69)</f>
        <v>0.21904808615903285</v>
      </c>
    </row>
    <row r="75" spans="2:32">
      <c r="B75" s="690">
        <f t="shared" si="1"/>
        <v>2058</v>
      </c>
      <c r="C75" s="691">
        <f>IF(Select2=1,Food!$K77,"")</f>
        <v>2.6672481256701419E-5</v>
      </c>
      <c r="D75" s="692">
        <f>IF(Select2=1,Paper!$K77,"")</f>
        <v>3.8367722708629648E-2</v>
      </c>
      <c r="E75" s="684">
        <f>IF(Select2=1,Nappies!$K77,"")</f>
        <v>4.3381402952036236E-3</v>
      </c>
      <c r="F75" s="692">
        <f>IF(Select2=1,Garden!$K77,"")</f>
        <v>0</v>
      </c>
      <c r="G75" s="684">
        <f>IF(Select2=1,Wood!$K77,"")</f>
        <v>0</v>
      </c>
      <c r="H75" s="692">
        <f>IF(Select2=1,Textiles!$K77,"")</f>
        <v>9.0840358277326731E-3</v>
      </c>
      <c r="I75" s="693">
        <f>Sludge!K77</f>
        <v>0</v>
      </c>
      <c r="J75" s="693" t="str">
        <f>IF(Select2=2,MSW!$K77,"")</f>
        <v/>
      </c>
      <c r="K75" s="693">
        <f>Industry!$K77</f>
        <v>0</v>
      </c>
      <c r="L75" s="694">
        <f t="shared" si="3"/>
        <v>5.1816571312822642E-2</v>
      </c>
      <c r="M75" s="695">
        <f>Recovery_OX!C70</f>
        <v>0</v>
      </c>
      <c r="N75" s="651"/>
      <c r="O75" s="696">
        <f>(L75-M75)*(1-Recovery_OX!F70)</f>
        <v>5.1816571312822642E-2</v>
      </c>
      <c r="P75" s="643"/>
      <c r="Q75" s="653"/>
      <c r="S75" s="690">
        <f t="shared" si="2"/>
        <v>2058</v>
      </c>
      <c r="T75" s="691">
        <f>IF(Select2=1,Food!$W77,"")</f>
        <v>1.7845103427766334E-5</v>
      </c>
      <c r="U75" s="692">
        <f>IF(Select2=1,Paper!$W77,"")</f>
        <v>7.9272154356672841E-2</v>
      </c>
      <c r="V75" s="684">
        <f>IF(Select2=1,Nappies!$W77,"")</f>
        <v>0</v>
      </c>
      <c r="W75" s="692">
        <f>IF(Select2=1,Garden!$W77,"")</f>
        <v>0</v>
      </c>
      <c r="X75" s="684">
        <f>IF(Select2=1,Wood!$W77,"")</f>
        <v>0.11908280108800337</v>
      </c>
      <c r="Y75" s="692">
        <f>IF(Select2=1,Textiles!$W77,"")</f>
        <v>9.9551077564193798E-3</v>
      </c>
      <c r="Z75" s="686">
        <f>Sludge!W77</f>
        <v>0</v>
      </c>
      <c r="AA75" s="686" t="str">
        <f>IF(Select2=2,MSW!$W77,"")</f>
        <v/>
      </c>
      <c r="AB75" s="693">
        <f>Industry!$W77</f>
        <v>0</v>
      </c>
      <c r="AC75" s="694">
        <f t="shared" si="4"/>
        <v>0.20832790830452336</v>
      </c>
      <c r="AD75" s="695">
        <f>Recovery_OX!R70</f>
        <v>0</v>
      </c>
      <c r="AE75" s="651"/>
      <c r="AF75" s="697">
        <f>(AC75-AD75)*(1-Recovery_OX!U70)</f>
        <v>0.20832790830452336</v>
      </c>
    </row>
    <row r="76" spans="2:32">
      <c r="B76" s="690">
        <f t="shared" si="1"/>
        <v>2059</v>
      </c>
      <c r="C76" s="691">
        <f>IF(Select2=1,Food!$K78,"")</f>
        <v>1.7879098863876825E-5</v>
      </c>
      <c r="D76" s="692">
        <f>IF(Select2=1,Paper!$K78,"")</f>
        <v>3.5773827537391389E-2</v>
      </c>
      <c r="E76" s="684">
        <f>IF(Select2=1,Nappies!$K78,"")</f>
        <v>3.6599363365223464E-3</v>
      </c>
      <c r="F76" s="692">
        <f>IF(Select2=1,Garden!$K78,"")</f>
        <v>0</v>
      </c>
      <c r="G76" s="684">
        <f>IF(Select2=1,Wood!$K78,"")</f>
        <v>0</v>
      </c>
      <c r="H76" s="692">
        <f>IF(Select2=1,Textiles!$K78,"")</f>
        <v>8.4698988655821598E-3</v>
      </c>
      <c r="I76" s="693">
        <f>Sludge!K78</f>
        <v>0</v>
      </c>
      <c r="J76" s="693" t="str">
        <f>IF(Select2=2,MSW!$K78,"")</f>
        <v/>
      </c>
      <c r="K76" s="693">
        <f>Industry!$K78</f>
        <v>0</v>
      </c>
      <c r="L76" s="694">
        <f t="shared" si="3"/>
        <v>4.7921541838359769E-2</v>
      </c>
      <c r="M76" s="695">
        <f>Recovery_OX!C71</f>
        <v>0</v>
      </c>
      <c r="N76" s="651"/>
      <c r="O76" s="696">
        <f>(L76-M76)*(1-Recovery_OX!F71)</f>
        <v>4.7921541838359769E-2</v>
      </c>
      <c r="P76" s="643"/>
      <c r="Q76" s="653"/>
      <c r="S76" s="690">
        <f t="shared" si="2"/>
        <v>2059</v>
      </c>
      <c r="T76" s="691">
        <f>IF(Select2=1,Food!$W78,"")</f>
        <v>1.1961930551211075E-5</v>
      </c>
      <c r="U76" s="692">
        <f>IF(Select2=1,Paper!$W78,"")</f>
        <v>7.3912866812792161E-2</v>
      </c>
      <c r="V76" s="684">
        <f>IF(Select2=1,Nappies!$W78,"")</f>
        <v>0</v>
      </c>
      <c r="W76" s="692">
        <f>IF(Select2=1,Garden!$W78,"")</f>
        <v>0</v>
      </c>
      <c r="X76" s="684">
        <f>IF(Select2=1,Wood!$W78,"")</f>
        <v>0.11498699771369848</v>
      </c>
      <c r="Y76" s="692">
        <f>IF(Select2=1,Textiles!$W78,"")</f>
        <v>9.2820809485831997E-3</v>
      </c>
      <c r="Z76" s="686">
        <f>Sludge!W78</f>
        <v>0</v>
      </c>
      <c r="AA76" s="686" t="str">
        <f>IF(Select2=2,MSW!$W78,"")</f>
        <v/>
      </c>
      <c r="AB76" s="693">
        <f>Industry!$W78</f>
        <v>0</v>
      </c>
      <c r="AC76" s="694">
        <f t="shared" si="4"/>
        <v>0.19819390740562506</v>
      </c>
      <c r="AD76" s="695">
        <f>Recovery_OX!R71</f>
        <v>0</v>
      </c>
      <c r="AE76" s="651"/>
      <c r="AF76" s="697">
        <f>(AC76-AD76)*(1-Recovery_OX!U71)</f>
        <v>0.19819390740562506</v>
      </c>
    </row>
    <row r="77" spans="2:32">
      <c r="B77" s="690">
        <f t="shared" si="1"/>
        <v>2060</v>
      </c>
      <c r="C77" s="691">
        <f>IF(Select2=1,Food!$K79,"")</f>
        <v>1.1984718373509659E-5</v>
      </c>
      <c r="D77" s="692">
        <f>IF(Select2=1,Paper!$K79,"")</f>
        <v>3.3355295710244967E-2</v>
      </c>
      <c r="E77" s="684">
        <f>IF(Select2=1,Nappies!$K79,"")</f>
        <v>3.0877595181065657E-3</v>
      </c>
      <c r="F77" s="692">
        <f>IF(Select2=1,Garden!$K79,"")</f>
        <v>0</v>
      </c>
      <c r="G77" s="684">
        <f>IF(Select2=1,Wood!$K79,"")</f>
        <v>0</v>
      </c>
      <c r="H77" s="692">
        <f>IF(Select2=1,Textiles!$K79,"")</f>
        <v>7.897281357497208E-3</v>
      </c>
      <c r="I77" s="693">
        <f>Sludge!K79</f>
        <v>0</v>
      </c>
      <c r="J77" s="693" t="str">
        <f>IF(Select2=2,MSW!$K79,"")</f>
        <v/>
      </c>
      <c r="K77" s="693">
        <f>Industry!$K79</f>
        <v>0</v>
      </c>
      <c r="L77" s="694">
        <f t="shared" si="3"/>
        <v>4.4352321304222259E-2</v>
      </c>
      <c r="M77" s="695">
        <f>Recovery_OX!C72</f>
        <v>0</v>
      </c>
      <c r="N77" s="651"/>
      <c r="O77" s="696">
        <f>(L77-M77)*(1-Recovery_OX!F72)</f>
        <v>4.4352321304222259E-2</v>
      </c>
      <c r="P77" s="643"/>
      <c r="Q77" s="653"/>
      <c r="S77" s="690">
        <f t="shared" si="2"/>
        <v>2060</v>
      </c>
      <c r="T77" s="691">
        <f>IF(Select2=1,Food!$W79,"")</f>
        <v>8.0183218377629271E-6</v>
      </c>
      <c r="U77" s="692">
        <f>IF(Select2=1,Paper!$W79,"")</f>
        <v>6.8915900227778867E-2</v>
      </c>
      <c r="V77" s="684">
        <f>IF(Select2=1,Nappies!$W79,"")</f>
        <v>0</v>
      </c>
      <c r="W77" s="692">
        <f>IF(Select2=1,Garden!$W79,"")</f>
        <v>0</v>
      </c>
      <c r="X77" s="684">
        <f>IF(Select2=1,Wood!$W79,"")</f>
        <v>0.11103206779154368</v>
      </c>
      <c r="Y77" s="692">
        <f>IF(Select2=1,Textiles!$W79,"")</f>
        <v>8.6545549123257185E-3</v>
      </c>
      <c r="Z77" s="686">
        <f>Sludge!W79</f>
        <v>0</v>
      </c>
      <c r="AA77" s="686" t="str">
        <f>IF(Select2=2,MSW!$W79,"")</f>
        <v/>
      </c>
      <c r="AB77" s="693">
        <f>Industry!$W79</f>
        <v>0</v>
      </c>
      <c r="AC77" s="694">
        <f t="shared" si="4"/>
        <v>0.18861054125348603</v>
      </c>
      <c r="AD77" s="695">
        <f>Recovery_OX!R72</f>
        <v>0</v>
      </c>
      <c r="AE77" s="651"/>
      <c r="AF77" s="697">
        <f>(AC77-AD77)*(1-Recovery_OX!U72)</f>
        <v>0.18861054125348603</v>
      </c>
    </row>
    <row r="78" spans="2:32">
      <c r="B78" s="690">
        <f t="shared" si="1"/>
        <v>2061</v>
      </c>
      <c r="C78" s="691">
        <f>IF(Select2=1,Food!$K80,"")</f>
        <v>8.0335969718551676E-6</v>
      </c>
      <c r="D78" s="692">
        <f>IF(Select2=1,Paper!$K80,"")</f>
        <v>3.1100271581367789E-2</v>
      </c>
      <c r="E78" s="684">
        <f>IF(Select2=1,Nappies!$K80,"")</f>
        <v>2.6050340675371139E-3</v>
      </c>
      <c r="F78" s="692">
        <f>IF(Select2=1,Garden!$K80,"")</f>
        <v>0</v>
      </c>
      <c r="G78" s="684">
        <f>IF(Select2=1,Wood!$K80,"")</f>
        <v>0</v>
      </c>
      <c r="H78" s="692">
        <f>IF(Select2=1,Textiles!$K80,"")</f>
        <v>7.3633763317888555E-3</v>
      </c>
      <c r="I78" s="693">
        <f>Sludge!K80</f>
        <v>0</v>
      </c>
      <c r="J78" s="693" t="str">
        <f>IF(Select2=2,MSW!$K80,"")</f>
        <v/>
      </c>
      <c r="K78" s="693">
        <f>Industry!$K80</f>
        <v>0</v>
      </c>
      <c r="L78" s="694">
        <f t="shared" si="3"/>
        <v>4.1076715577665616E-2</v>
      </c>
      <c r="M78" s="695">
        <f>Recovery_OX!C73</f>
        <v>0</v>
      </c>
      <c r="N78" s="651"/>
      <c r="O78" s="696">
        <f>(L78-M78)*(1-Recovery_OX!F73)</f>
        <v>4.1076715577665616E-2</v>
      </c>
      <c r="P78" s="643"/>
      <c r="Q78" s="653"/>
      <c r="S78" s="690">
        <f t="shared" si="2"/>
        <v>2061</v>
      </c>
      <c r="T78" s="691">
        <f>IF(Select2=1,Food!$W80,"")</f>
        <v>5.3748418634178182E-6</v>
      </c>
      <c r="U78" s="692">
        <f>IF(Select2=1,Paper!$W80,"")</f>
        <v>6.4256759465635943E-2</v>
      </c>
      <c r="V78" s="684">
        <f>IF(Select2=1,Nappies!$W80,"")</f>
        <v>0</v>
      </c>
      <c r="W78" s="692">
        <f>IF(Select2=1,Garden!$W80,"")</f>
        <v>0</v>
      </c>
      <c r="X78" s="684">
        <f>IF(Select2=1,Wood!$W80,"")</f>
        <v>0.10721316603779187</v>
      </c>
      <c r="Y78" s="692">
        <f>IF(Select2=1,Textiles!$W80,"")</f>
        <v>8.0694535142891658E-3</v>
      </c>
      <c r="Z78" s="686">
        <f>Sludge!W80</f>
        <v>0</v>
      </c>
      <c r="AA78" s="686" t="str">
        <f>IF(Select2=2,MSW!$W80,"")</f>
        <v/>
      </c>
      <c r="AB78" s="693">
        <f>Industry!$W80</f>
        <v>0</v>
      </c>
      <c r="AC78" s="694">
        <f t="shared" si="4"/>
        <v>0.17954475385958041</v>
      </c>
      <c r="AD78" s="695">
        <f>Recovery_OX!R73</f>
        <v>0</v>
      </c>
      <c r="AE78" s="651"/>
      <c r="AF78" s="697">
        <f>(AC78-AD78)*(1-Recovery_OX!U73)</f>
        <v>0.17954475385958041</v>
      </c>
    </row>
    <row r="79" spans="2:32">
      <c r="B79" s="690">
        <f t="shared" si="1"/>
        <v>2062</v>
      </c>
      <c r="C79" s="691">
        <f>IF(Select2=1,Food!$K81,"")</f>
        <v>5.3850810920057284E-6</v>
      </c>
      <c r="D79" s="692">
        <f>IF(Select2=1,Paper!$K81,"")</f>
        <v>2.899770101986392E-2</v>
      </c>
      <c r="E79" s="684">
        <f>IF(Select2=1,Nappies!$K81,"")</f>
        <v>2.1977755888160306E-3</v>
      </c>
      <c r="F79" s="692">
        <f>IF(Select2=1,Garden!$K81,"")</f>
        <v>0</v>
      </c>
      <c r="G79" s="684">
        <f>IF(Select2=1,Wood!$K81,"")</f>
        <v>0</v>
      </c>
      <c r="H79" s="692">
        <f>IF(Select2=1,Textiles!$K81,"")</f>
        <v>6.8655665854016595E-3</v>
      </c>
      <c r="I79" s="693">
        <f>Sludge!K81</f>
        <v>0</v>
      </c>
      <c r="J79" s="693" t="str">
        <f>IF(Select2=2,MSW!$K81,"")</f>
        <v/>
      </c>
      <c r="K79" s="693">
        <f>Industry!$K81</f>
        <v>0</v>
      </c>
      <c r="L79" s="694">
        <f t="shared" si="3"/>
        <v>3.8066428275173612E-2</v>
      </c>
      <c r="M79" s="695">
        <f>Recovery_OX!C74</f>
        <v>0</v>
      </c>
      <c r="N79" s="651"/>
      <c r="O79" s="696">
        <f>(L79-M79)*(1-Recovery_OX!F74)</f>
        <v>3.8066428275173612E-2</v>
      </c>
      <c r="P79" s="643"/>
      <c r="Q79" s="653"/>
      <c r="S79" s="690">
        <f t="shared" si="2"/>
        <v>2062</v>
      </c>
      <c r="T79" s="691">
        <f>IF(Select2=1,Food!$W81,"")</f>
        <v>3.6028642453205139E-6</v>
      </c>
      <c r="U79" s="692">
        <f>IF(Select2=1,Paper!$W81,"")</f>
        <v>5.9912605412942008E-2</v>
      </c>
      <c r="V79" s="684">
        <f>IF(Select2=1,Nappies!$W81,"")</f>
        <v>0</v>
      </c>
      <c r="W79" s="692">
        <f>IF(Select2=1,Garden!$W81,"")</f>
        <v>0</v>
      </c>
      <c r="X79" s="684">
        <f>IF(Select2=1,Wood!$W81,"")</f>
        <v>0.10352561382021361</v>
      </c>
      <c r="Y79" s="692">
        <f>IF(Select2=1,Textiles!$W81,"")</f>
        <v>7.5239085867415539E-3</v>
      </c>
      <c r="Z79" s="686">
        <f>Sludge!W81</f>
        <v>0</v>
      </c>
      <c r="AA79" s="686" t="str">
        <f>IF(Select2=2,MSW!$W81,"")</f>
        <v/>
      </c>
      <c r="AB79" s="693">
        <f>Industry!$W81</f>
        <v>0</v>
      </c>
      <c r="AC79" s="694">
        <f t="shared" si="4"/>
        <v>0.1709657306841425</v>
      </c>
      <c r="AD79" s="695">
        <f>Recovery_OX!R74</f>
        <v>0</v>
      </c>
      <c r="AE79" s="651"/>
      <c r="AF79" s="697">
        <f>(AC79-AD79)*(1-Recovery_OX!U74)</f>
        <v>0.1709657306841425</v>
      </c>
    </row>
    <row r="80" spans="2:32">
      <c r="B80" s="690">
        <f t="shared" si="1"/>
        <v>2063</v>
      </c>
      <c r="C80" s="691">
        <f>IF(Select2=1,Food!$K82,"")</f>
        <v>3.6097278054989307E-6</v>
      </c>
      <c r="D80" s="692">
        <f>IF(Select2=1,Paper!$K82,"")</f>
        <v>2.703727722240153E-2</v>
      </c>
      <c r="E80" s="684">
        <f>IF(Select2=1,Nappies!$K82,"")</f>
        <v>1.8541859390584859E-3</v>
      </c>
      <c r="F80" s="692">
        <f>IF(Select2=1,Garden!$K82,"")</f>
        <v>0</v>
      </c>
      <c r="G80" s="684">
        <f>IF(Select2=1,Wood!$K82,"")</f>
        <v>0</v>
      </c>
      <c r="H80" s="692">
        <f>IF(Select2=1,Textiles!$K82,"")</f>
        <v>6.4014118543812915E-3</v>
      </c>
      <c r="I80" s="693">
        <f>Sludge!K82</f>
        <v>0</v>
      </c>
      <c r="J80" s="693" t="str">
        <f>IF(Select2=2,MSW!$K82,"")</f>
        <v/>
      </c>
      <c r="K80" s="693">
        <f>Industry!$K82</f>
        <v>0</v>
      </c>
      <c r="L80" s="694">
        <f t="shared" si="3"/>
        <v>3.5296484743646807E-2</v>
      </c>
      <c r="M80" s="695">
        <f>Recovery_OX!C75</f>
        <v>0</v>
      </c>
      <c r="N80" s="651"/>
      <c r="O80" s="696">
        <f>(L80-M80)*(1-Recovery_OX!F75)</f>
        <v>3.5296484743646807E-2</v>
      </c>
      <c r="P80" s="643"/>
      <c r="Q80" s="653"/>
      <c r="S80" s="690">
        <f t="shared" si="2"/>
        <v>2063</v>
      </c>
      <c r="T80" s="691">
        <f>IF(Select2=1,Food!$W82,"")</f>
        <v>2.4150721267834054E-6</v>
      </c>
      <c r="U80" s="692">
        <f>IF(Select2=1,Paper!$W82,"")</f>
        <v>5.5862143021490791E-2</v>
      </c>
      <c r="V80" s="684">
        <f>IF(Select2=1,Nappies!$W82,"")</f>
        <v>0</v>
      </c>
      <c r="W80" s="692">
        <f>IF(Select2=1,Garden!$W82,"")</f>
        <v>0</v>
      </c>
      <c r="X80" s="684">
        <f>IF(Select2=1,Wood!$W82,"")</f>
        <v>9.9964893426187432E-2</v>
      </c>
      <c r="Y80" s="692">
        <f>IF(Select2=1,Textiles!$W82,"")</f>
        <v>7.0152458678151225E-3</v>
      </c>
      <c r="Z80" s="686">
        <f>Sludge!W82</f>
        <v>0</v>
      </c>
      <c r="AA80" s="686" t="str">
        <f>IF(Select2=2,MSW!$W82,"")</f>
        <v/>
      </c>
      <c r="AB80" s="693">
        <f>Industry!$W82</f>
        <v>0</v>
      </c>
      <c r="AC80" s="694">
        <f t="shared" si="4"/>
        <v>0.16284469738762014</v>
      </c>
      <c r="AD80" s="695">
        <f>Recovery_OX!R75</f>
        <v>0</v>
      </c>
      <c r="AE80" s="651"/>
      <c r="AF80" s="697">
        <f>(AC80-AD80)*(1-Recovery_OX!U75)</f>
        <v>0.16284469738762014</v>
      </c>
    </row>
    <row r="81" spans="2:32">
      <c r="B81" s="690">
        <f t="shared" si="1"/>
        <v>2064</v>
      </c>
      <c r="C81" s="691">
        <f>IF(Select2=1,Food!$K83,"")</f>
        <v>2.4196729087581706E-6</v>
      </c>
      <c r="D81" s="692">
        <f>IF(Select2=1,Paper!$K83,"")</f>
        <v>2.5209390189251047E-2</v>
      </c>
      <c r="E81" s="684">
        <f>IF(Select2=1,Nappies!$K83,"")</f>
        <v>1.5643114402113709E-3</v>
      </c>
      <c r="F81" s="692">
        <f>IF(Select2=1,Garden!$K83,"")</f>
        <v>0</v>
      </c>
      <c r="G81" s="684">
        <f>IF(Select2=1,Wood!$K83,"")</f>
        <v>0</v>
      </c>
      <c r="H81" s="692">
        <f>IF(Select2=1,Textiles!$K83,"")</f>
        <v>5.9686368516977924E-3</v>
      </c>
      <c r="I81" s="693">
        <f>Sludge!K83</f>
        <v>0</v>
      </c>
      <c r="J81" s="693" t="str">
        <f>IF(Select2=2,MSW!$K83,"")</f>
        <v/>
      </c>
      <c r="K81" s="693">
        <f>Industry!$K83</f>
        <v>0</v>
      </c>
      <c r="L81" s="694">
        <f t="shared" si="3"/>
        <v>3.2744758154068965E-2</v>
      </c>
      <c r="M81" s="695">
        <f>Recovery_OX!C76</f>
        <v>0</v>
      </c>
      <c r="N81" s="651"/>
      <c r="O81" s="696">
        <f>(L81-M81)*(1-Recovery_OX!F76)</f>
        <v>3.2744758154068965E-2</v>
      </c>
      <c r="P81" s="643"/>
      <c r="Q81" s="653"/>
      <c r="S81" s="690">
        <f t="shared" si="2"/>
        <v>2064</v>
      </c>
      <c r="T81" s="691">
        <f>IF(Select2=1,Food!$W83,"")</f>
        <v>1.6188712592048417E-6</v>
      </c>
      <c r="U81" s="692">
        <f>IF(Select2=1,Paper!$W83,"")</f>
        <v>5.2085516919940206E-2</v>
      </c>
      <c r="V81" s="684">
        <f>IF(Select2=1,Nappies!$W83,"")</f>
        <v>0</v>
      </c>
      <c r="W81" s="692">
        <f>IF(Select2=1,Garden!$W83,"")</f>
        <v>0</v>
      </c>
      <c r="X81" s="684">
        <f>IF(Select2=1,Wood!$W83,"")</f>
        <v>9.6526642527936982E-2</v>
      </c>
      <c r="Y81" s="692">
        <f>IF(Select2=1,Textiles!$W83,"")</f>
        <v>6.5409718922715618E-3</v>
      </c>
      <c r="Z81" s="686">
        <f>Sludge!W83</f>
        <v>0</v>
      </c>
      <c r="AA81" s="686" t="str">
        <f>IF(Select2=2,MSW!$W83,"")</f>
        <v/>
      </c>
      <c r="AB81" s="693">
        <f>Industry!$W83</f>
        <v>0</v>
      </c>
      <c r="AC81" s="694">
        <f t="shared" ref="AC81:AC97" si="5">SUM(T81:AA81)</f>
        <v>0.15515475021140795</v>
      </c>
      <c r="AD81" s="695">
        <f>Recovery_OX!R76</f>
        <v>0</v>
      </c>
      <c r="AE81" s="651"/>
      <c r="AF81" s="697">
        <f>(AC81-AD81)*(1-Recovery_OX!U76)</f>
        <v>0.15515475021140795</v>
      </c>
    </row>
    <row r="82" spans="2:32">
      <c r="B82" s="690">
        <f t="shared" ref="B82:B97" si="6">B81+1</f>
        <v>2065</v>
      </c>
      <c r="C82" s="691">
        <f>IF(Select2=1,Food!$K84,"")</f>
        <v>1.6219552555899662E-6</v>
      </c>
      <c r="D82" s="692">
        <f>IF(Select2=1,Paper!$K84,"")</f>
        <v>2.3505079616055323E-2</v>
      </c>
      <c r="E82" s="684">
        <f>IF(Select2=1,Nappies!$K84,"")</f>
        <v>1.319754524305551E-3</v>
      </c>
      <c r="F82" s="692">
        <f>IF(Select2=1,Garden!$K84,"")</f>
        <v>0</v>
      </c>
      <c r="G82" s="684">
        <f>IF(Select2=1,Wood!$K84,"")</f>
        <v>0</v>
      </c>
      <c r="H82" s="692">
        <f>IF(Select2=1,Textiles!$K84,"")</f>
        <v>5.5651201137859162E-3</v>
      </c>
      <c r="I82" s="693">
        <f>Sludge!K84</f>
        <v>0</v>
      </c>
      <c r="J82" s="693" t="str">
        <f>IF(Select2=2,MSW!$K84,"")</f>
        <v/>
      </c>
      <c r="K82" s="693">
        <f>Industry!$K84</f>
        <v>0</v>
      </c>
      <c r="L82" s="694">
        <f t="shared" si="3"/>
        <v>3.0391576209402381E-2</v>
      </c>
      <c r="M82" s="695">
        <f>Recovery_OX!C77</f>
        <v>0</v>
      </c>
      <c r="N82" s="651"/>
      <c r="O82" s="696">
        <f>(L82-M82)*(1-Recovery_OX!F77)</f>
        <v>3.0391576209402381E-2</v>
      </c>
      <c r="P82" s="643"/>
      <c r="Q82" s="653"/>
      <c r="S82" s="690">
        <f t="shared" ref="S82:S97" si="7">S81+1</f>
        <v>2065</v>
      </c>
      <c r="T82" s="691">
        <f>IF(Select2=1,Food!$W84,"")</f>
        <v>1.0851618569959629E-6</v>
      </c>
      <c r="U82" s="692">
        <f>IF(Select2=1,Paper!$W84,"")</f>
        <v>4.8564214082758947E-2</v>
      </c>
      <c r="V82" s="684">
        <f>IF(Select2=1,Nappies!$W84,"")</f>
        <v>0</v>
      </c>
      <c r="W82" s="692">
        <f>IF(Select2=1,Garden!$W84,"")</f>
        <v>0</v>
      </c>
      <c r="X82" s="684">
        <f>IF(Select2=1,Wood!$W84,"")</f>
        <v>9.3206648838133913E-2</v>
      </c>
      <c r="Y82" s="692">
        <f>IF(Select2=1,Textiles!$W84,"")</f>
        <v>6.09876176853252E-3</v>
      </c>
      <c r="Z82" s="686">
        <f>Sludge!W84</f>
        <v>0</v>
      </c>
      <c r="AA82" s="686" t="str">
        <f>IF(Select2=2,MSW!$W84,"")</f>
        <v/>
      </c>
      <c r="AB82" s="693">
        <f>Industry!$W84</f>
        <v>0</v>
      </c>
      <c r="AC82" s="694">
        <f t="shared" si="5"/>
        <v>0.14787070985128237</v>
      </c>
      <c r="AD82" s="695">
        <f>Recovery_OX!R77</f>
        <v>0</v>
      </c>
      <c r="AE82" s="651"/>
      <c r="AF82" s="697">
        <f>(AC82-AD82)*(1-Recovery_OX!U77)</f>
        <v>0.14787070985128237</v>
      </c>
    </row>
    <row r="83" spans="2:32">
      <c r="B83" s="690">
        <f t="shared" si="6"/>
        <v>2066</v>
      </c>
      <c r="C83" s="691">
        <f>IF(Select2=1,Food!$K85,"")</f>
        <v>1.0872291215948132E-6</v>
      </c>
      <c r="D83" s="692">
        <f>IF(Select2=1,Paper!$K85,"")</f>
        <v>2.1915990970407265E-2</v>
      </c>
      <c r="E83" s="684">
        <f>IF(Select2=1,Nappies!$K85,"")</f>
        <v>1.1134304587004905E-3</v>
      </c>
      <c r="F83" s="692">
        <f>IF(Select2=1,Garden!$K85,"")</f>
        <v>0</v>
      </c>
      <c r="G83" s="684">
        <f>IF(Select2=1,Wood!$K85,"")</f>
        <v>0</v>
      </c>
      <c r="H83" s="692">
        <f>IF(Select2=1,Textiles!$K85,"")</f>
        <v>5.1888836011282774E-3</v>
      </c>
      <c r="I83" s="693">
        <f>Sludge!K85</f>
        <v>0</v>
      </c>
      <c r="J83" s="693" t="str">
        <f>IF(Select2=2,MSW!$K85,"")</f>
        <v/>
      </c>
      <c r="K83" s="693">
        <f>Industry!$K85</f>
        <v>0</v>
      </c>
      <c r="L83" s="694">
        <f t="shared" ref="L83:L97" si="8">SUM(C83:K83)</f>
        <v>2.8219392259357625E-2</v>
      </c>
      <c r="M83" s="695">
        <f>Recovery_OX!C78</f>
        <v>0</v>
      </c>
      <c r="N83" s="651"/>
      <c r="O83" s="696">
        <f>(L83-M83)*(1-Recovery_OX!F78)</f>
        <v>2.8219392259357625E-2</v>
      </c>
      <c r="P83" s="643"/>
      <c r="Q83" s="653"/>
      <c r="S83" s="690">
        <f t="shared" si="7"/>
        <v>2066</v>
      </c>
      <c r="T83" s="691">
        <f>IF(Select2=1,Food!$W85,"")</f>
        <v>7.2740574593765372E-7</v>
      </c>
      <c r="U83" s="692">
        <f>IF(Select2=1,Paper!$W85,"")</f>
        <v>4.5280973079353866E-2</v>
      </c>
      <c r="V83" s="684">
        <f>IF(Select2=1,Nappies!$W85,"")</f>
        <v>0</v>
      </c>
      <c r="W83" s="692">
        <f>IF(Select2=1,Garden!$W85,"")</f>
        <v>0</v>
      </c>
      <c r="X83" s="684">
        <f>IF(Select2=1,Wood!$W85,"")</f>
        <v>9.000084494931912E-2</v>
      </c>
      <c r="Y83" s="692">
        <f>IF(Select2=1,Textiles!$W85,"")</f>
        <v>5.6864477820583927E-3</v>
      </c>
      <c r="Z83" s="686">
        <f>Sludge!W85</f>
        <v>0</v>
      </c>
      <c r="AA83" s="686" t="str">
        <f>IF(Select2=2,MSW!$W85,"")</f>
        <v/>
      </c>
      <c r="AB83" s="693">
        <f>Industry!$W85</f>
        <v>0</v>
      </c>
      <c r="AC83" s="694">
        <f t="shared" si="5"/>
        <v>0.14096899321647732</v>
      </c>
      <c r="AD83" s="695">
        <f>Recovery_OX!R78</f>
        <v>0</v>
      </c>
      <c r="AE83" s="651"/>
      <c r="AF83" s="697">
        <f>(AC83-AD83)*(1-Recovery_OX!U78)</f>
        <v>0.14096899321647732</v>
      </c>
    </row>
    <row r="84" spans="2:32">
      <c r="B84" s="690">
        <f t="shared" si="6"/>
        <v>2067</v>
      </c>
      <c r="C84" s="691">
        <f>IF(Select2=1,Food!$K86,"")</f>
        <v>7.2879147483872303E-7</v>
      </c>
      <c r="D84" s="692">
        <f>IF(Select2=1,Paper!$K86,"")</f>
        <v>2.0434334537922295E-2</v>
      </c>
      <c r="E84" s="684">
        <f>IF(Select2=1,Nappies!$K86,"")</f>
        <v>9.3936210373237665E-4</v>
      </c>
      <c r="F84" s="692">
        <f>IF(Select2=1,Garden!$K86,"")</f>
        <v>0</v>
      </c>
      <c r="G84" s="684">
        <f>IF(Select2=1,Wood!$K86,"")</f>
        <v>0</v>
      </c>
      <c r="H84" s="692">
        <f>IF(Select2=1,Textiles!$K86,"")</f>
        <v>4.8380830019033273E-3</v>
      </c>
      <c r="I84" s="693">
        <f>Sludge!K86</f>
        <v>0</v>
      </c>
      <c r="J84" s="693" t="str">
        <f>IF(Select2=2,MSW!$K86,"")</f>
        <v/>
      </c>
      <c r="K84" s="693">
        <f>Industry!$K86</f>
        <v>0</v>
      </c>
      <c r="L84" s="694">
        <f t="shared" si="8"/>
        <v>2.6212508435032839E-2</v>
      </c>
      <c r="M84" s="695">
        <f>Recovery_OX!C79</f>
        <v>0</v>
      </c>
      <c r="N84" s="651"/>
      <c r="O84" s="696">
        <f>(L84-M84)*(1-Recovery_OX!F79)</f>
        <v>2.6212508435032839E-2</v>
      </c>
      <c r="P84" s="643"/>
      <c r="Q84" s="653"/>
      <c r="S84" s="690">
        <f t="shared" si="7"/>
        <v>2067</v>
      </c>
      <c r="T84" s="691">
        <f>IF(Select2=1,Food!$W86,"")</f>
        <v>4.8759465310351662E-7</v>
      </c>
      <c r="U84" s="692">
        <f>IF(Select2=1,Paper!$W86,"")</f>
        <v>4.2219699458517154E-2</v>
      </c>
      <c r="V84" s="684">
        <f>IF(Select2=1,Nappies!$W86,"")</f>
        <v>0</v>
      </c>
      <c r="W84" s="692">
        <f>IF(Select2=1,Garden!$W86,"")</f>
        <v>0</v>
      </c>
      <c r="X84" s="684">
        <f>IF(Select2=1,Wood!$W86,"")</f>
        <v>8.6905303350819987E-2</v>
      </c>
      <c r="Y84" s="692">
        <f>IF(Select2=1,Textiles!$W86,"")</f>
        <v>5.3020087692091326E-3</v>
      </c>
      <c r="Z84" s="686">
        <f>Sludge!W86</f>
        <v>0</v>
      </c>
      <c r="AA84" s="686" t="str">
        <f>IF(Select2=2,MSW!$W86,"")</f>
        <v/>
      </c>
      <c r="AB84" s="693">
        <f>Industry!$W86</f>
        <v>0</v>
      </c>
      <c r="AC84" s="694">
        <f t="shared" si="5"/>
        <v>0.13442749917319938</v>
      </c>
      <c r="AD84" s="695">
        <f>Recovery_OX!R79</f>
        <v>0</v>
      </c>
      <c r="AE84" s="651"/>
      <c r="AF84" s="697">
        <f>(AC84-AD84)*(1-Recovery_OX!U79)</f>
        <v>0.13442749917319938</v>
      </c>
    </row>
    <row r="85" spans="2:32">
      <c r="B85" s="690">
        <f t="shared" si="6"/>
        <v>2068</v>
      </c>
      <c r="C85" s="691">
        <f>IF(Select2=1,Food!$K87,"")</f>
        <v>4.8852353496427426E-7</v>
      </c>
      <c r="D85" s="692">
        <f>IF(Select2=1,Paper!$K87,"")</f>
        <v>1.905284723704942E-2</v>
      </c>
      <c r="E85" s="684">
        <f>IF(Select2=1,Nappies!$K87,"")</f>
        <v>7.9250675696296877E-4</v>
      </c>
      <c r="F85" s="692">
        <f>IF(Select2=1,Garden!$K87,"")</f>
        <v>0</v>
      </c>
      <c r="G85" s="684">
        <f>IF(Select2=1,Wood!$K87,"")</f>
        <v>0</v>
      </c>
      <c r="H85" s="692">
        <f>IF(Select2=1,Textiles!$K87,"")</f>
        <v>4.5109986911666799E-3</v>
      </c>
      <c r="I85" s="693">
        <f>Sludge!K87</f>
        <v>0</v>
      </c>
      <c r="J85" s="693" t="str">
        <f>IF(Select2=2,MSW!$K87,"")</f>
        <v/>
      </c>
      <c r="K85" s="693">
        <f>Industry!$K87</f>
        <v>0</v>
      </c>
      <c r="L85" s="694">
        <f t="shared" si="8"/>
        <v>2.4356841208714036E-2</v>
      </c>
      <c r="M85" s="695">
        <f>Recovery_OX!C80</f>
        <v>0</v>
      </c>
      <c r="N85" s="651"/>
      <c r="O85" s="696">
        <f>(L85-M85)*(1-Recovery_OX!F80)</f>
        <v>2.4356841208714036E-2</v>
      </c>
      <c r="P85" s="643"/>
      <c r="Q85" s="653"/>
      <c r="S85" s="690">
        <f t="shared" si="7"/>
        <v>2068</v>
      </c>
      <c r="T85" s="691">
        <f>IF(Select2=1,Food!$W87,"")</f>
        <v>3.2684447031508085E-7</v>
      </c>
      <c r="U85" s="692">
        <f>IF(Select2=1,Paper!$W87,"")</f>
        <v>3.9365386853407909E-2</v>
      </c>
      <c r="V85" s="684">
        <f>IF(Select2=1,Nappies!$W87,"")</f>
        <v>0</v>
      </c>
      <c r="W85" s="692">
        <f>IF(Select2=1,Garden!$W87,"")</f>
        <v>0</v>
      </c>
      <c r="X85" s="684">
        <f>IF(Select2=1,Wood!$W87,"")</f>
        <v>8.3916231617058606E-2</v>
      </c>
      <c r="Y85" s="692">
        <f>IF(Select2=1,Textiles!$W87,"")</f>
        <v>4.9435602094977382E-3</v>
      </c>
      <c r="Z85" s="686">
        <f>Sludge!W87</f>
        <v>0</v>
      </c>
      <c r="AA85" s="686" t="str">
        <f>IF(Select2=2,MSW!$W87,"")</f>
        <v/>
      </c>
      <c r="AB85" s="693">
        <f>Industry!$W87</f>
        <v>0</v>
      </c>
      <c r="AC85" s="694">
        <f t="shared" si="5"/>
        <v>0.12822550552443457</v>
      </c>
      <c r="AD85" s="695">
        <f>Recovery_OX!R80</f>
        <v>0</v>
      </c>
      <c r="AE85" s="651"/>
      <c r="AF85" s="697">
        <f>(AC85-AD85)*(1-Recovery_OX!U80)</f>
        <v>0.12822550552443457</v>
      </c>
    </row>
    <row r="86" spans="2:32">
      <c r="B86" s="690">
        <f t="shared" si="6"/>
        <v>2069</v>
      </c>
      <c r="C86" s="691">
        <f>IF(Select2=1,Food!$K88,"")</f>
        <v>3.2746711844674559E-7</v>
      </c>
      <c r="D86" s="692">
        <f>IF(Select2=1,Paper!$K88,"")</f>
        <v>1.7764757015436998E-2</v>
      </c>
      <c r="E86" s="684">
        <f>IF(Select2=1,Nappies!$K88,"")</f>
        <v>6.6861006776455789E-4</v>
      </c>
      <c r="F86" s="692">
        <f>IF(Select2=1,Garden!$K88,"")</f>
        <v>0</v>
      </c>
      <c r="G86" s="684">
        <f>IF(Select2=1,Wood!$K88,"")</f>
        <v>0</v>
      </c>
      <c r="H86" s="692">
        <f>IF(Select2=1,Textiles!$K88,"")</f>
        <v>4.2060273012476338E-3</v>
      </c>
      <c r="I86" s="693">
        <f>Sludge!K88</f>
        <v>0</v>
      </c>
      <c r="J86" s="693" t="str">
        <f>IF(Select2=2,MSW!$K88,"")</f>
        <v/>
      </c>
      <c r="K86" s="693">
        <f>Industry!$K88</f>
        <v>0</v>
      </c>
      <c r="L86" s="694">
        <f t="shared" si="8"/>
        <v>2.2639721851567637E-2</v>
      </c>
      <c r="M86" s="695">
        <f>Recovery_OX!C81</f>
        <v>0</v>
      </c>
      <c r="N86" s="651"/>
      <c r="O86" s="696">
        <f>(L86-M86)*(1-Recovery_OX!F81)</f>
        <v>2.2639721851567637E-2</v>
      </c>
      <c r="P86" s="643"/>
      <c r="Q86" s="653"/>
      <c r="S86" s="690">
        <f t="shared" si="7"/>
        <v>2069</v>
      </c>
      <c r="T86" s="691">
        <f>IF(Select2=1,Food!$W88,"")</f>
        <v>2.1909040038809915E-7</v>
      </c>
      <c r="U86" s="692">
        <f>IF(Select2=1,Paper!$W88,"")</f>
        <v>3.6704043420324392E-2</v>
      </c>
      <c r="V86" s="684">
        <f>IF(Select2=1,Nappies!$W88,"")</f>
        <v>0</v>
      </c>
      <c r="W86" s="692">
        <f>IF(Select2=1,Garden!$W88,"")</f>
        <v>0</v>
      </c>
      <c r="X86" s="684">
        <f>IF(Select2=1,Wood!$W88,"")</f>
        <v>8.102996776135625E-2</v>
      </c>
      <c r="Y86" s="692">
        <f>IF(Select2=1,Textiles!$W88,"")</f>
        <v>4.6093449876686461E-3</v>
      </c>
      <c r="Z86" s="686">
        <f>Sludge!W88</f>
        <v>0</v>
      </c>
      <c r="AA86" s="686" t="str">
        <f>IF(Select2=2,MSW!$W88,"")</f>
        <v/>
      </c>
      <c r="AB86" s="693">
        <f>Industry!$W88</f>
        <v>0</v>
      </c>
      <c r="AC86" s="694">
        <f t="shared" si="5"/>
        <v>0.12234357525974968</v>
      </c>
      <c r="AD86" s="695">
        <f>Recovery_OX!R81</f>
        <v>0</v>
      </c>
      <c r="AE86" s="651"/>
      <c r="AF86" s="697">
        <f>(AC86-AD86)*(1-Recovery_OX!U81)</f>
        <v>0.12234357525974968</v>
      </c>
    </row>
    <row r="87" spans="2:32">
      <c r="B87" s="690">
        <f t="shared" si="6"/>
        <v>2070</v>
      </c>
      <c r="C87" s="691">
        <f>IF(Select2=1,Food!$K89,"")</f>
        <v>2.195077739123807E-7</v>
      </c>
      <c r="D87" s="692">
        <f>IF(Select2=1,Paper!$K89,"")</f>
        <v>1.6563749653324297E-2</v>
      </c>
      <c r="E87" s="684">
        <f>IF(Select2=1,Nappies!$K89,"")</f>
        <v>5.6408279019508139E-4</v>
      </c>
      <c r="F87" s="692">
        <f>IF(Select2=1,Garden!$K89,"")</f>
        <v>0</v>
      </c>
      <c r="G87" s="684">
        <f>IF(Select2=1,Wood!$K89,"")</f>
        <v>0</v>
      </c>
      <c r="H87" s="692">
        <f>IF(Select2=1,Textiles!$K89,"")</f>
        <v>3.9216738620389876E-3</v>
      </c>
      <c r="I87" s="693">
        <f>Sludge!K89</f>
        <v>0</v>
      </c>
      <c r="J87" s="693" t="str">
        <f>IF(Select2=2,MSW!$K89,"")</f>
        <v/>
      </c>
      <c r="K87" s="693">
        <f>Industry!$K89</f>
        <v>0</v>
      </c>
      <c r="L87" s="694">
        <f t="shared" si="8"/>
        <v>2.1049725813332275E-2</v>
      </c>
      <c r="M87" s="695">
        <f>Recovery_OX!C82</f>
        <v>0</v>
      </c>
      <c r="N87" s="651"/>
      <c r="O87" s="696">
        <f>(L87-M87)*(1-Recovery_OX!F82)</f>
        <v>2.1049725813332275E-2</v>
      </c>
      <c r="P87" s="643"/>
      <c r="Q87" s="653"/>
      <c r="S87" s="690">
        <f t="shared" si="7"/>
        <v>2070</v>
      </c>
      <c r="T87" s="691">
        <f>IF(Select2=1,Food!$W89,"")</f>
        <v>1.4686068727411726E-7</v>
      </c>
      <c r="U87" s="692">
        <f>IF(Select2=1,Paper!$W89,"")</f>
        <v>3.4222623250670048E-2</v>
      </c>
      <c r="V87" s="684">
        <f>IF(Select2=1,Nappies!$W89,"")</f>
        <v>0</v>
      </c>
      <c r="W87" s="692">
        <f>IF(Select2=1,Garden!$W89,"")</f>
        <v>0</v>
      </c>
      <c r="X87" s="684">
        <f>IF(Select2=1,Wood!$W89,"")</f>
        <v>7.8242975749541588E-2</v>
      </c>
      <c r="Y87" s="692">
        <f>IF(Select2=1,Textiles!$W89,"")</f>
        <v>4.2977247803167046E-3</v>
      </c>
      <c r="Z87" s="686">
        <f>Sludge!W89</f>
        <v>0</v>
      </c>
      <c r="AA87" s="686" t="str">
        <f>IF(Select2=2,MSW!$W89,"")</f>
        <v/>
      </c>
      <c r="AB87" s="693">
        <f>Industry!$W89</f>
        <v>0</v>
      </c>
      <c r="AC87" s="694">
        <f t="shared" si="5"/>
        <v>0.11676347064121562</v>
      </c>
      <c r="AD87" s="695">
        <f>Recovery_OX!R82</f>
        <v>0</v>
      </c>
      <c r="AE87" s="651"/>
      <c r="AF87" s="697">
        <f>(AC87-AD87)*(1-Recovery_OX!U82)</f>
        <v>0.11676347064121562</v>
      </c>
    </row>
    <row r="88" spans="2:32">
      <c r="B88" s="690">
        <f t="shared" si="6"/>
        <v>2071</v>
      </c>
      <c r="C88" s="691">
        <f>IF(Select2=1,Food!$K90,"")</f>
        <v>1.4714046111412775E-7</v>
      </c>
      <c r="D88" s="692">
        <f>IF(Select2=1,Paper!$K90,"")</f>
        <v>1.5443937811228868E-2</v>
      </c>
      <c r="E88" s="684">
        <f>IF(Select2=1,Nappies!$K90,"")</f>
        <v>4.7589680373510973E-4</v>
      </c>
      <c r="F88" s="692">
        <f>IF(Select2=1,Garden!$K90,"")</f>
        <v>0</v>
      </c>
      <c r="G88" s="684">
        <f>IF(Select2=1,Wood!$K90,"")</f>
        <v>0</v>
      </c>
      <c r="H88" s="692">
        <f>IF(Select2=1,Textiles!$K90,"")</f>
        <v>3.6565444726518446E-3</v>
      </c>
      <c r="I88" s="693">
        <f>Sludge!K90</f>
        <v>0</v>
      </c>
      <c r="J88" s="693" t="str">
        <f>IF(Select2=2,MSW!$K90,"")</f>
        <v/>
      </c>
      <c r="K88" s="693">
        <f>Industry!$K90</f>
        <v>0</v>
      </c>
      <c r="L88" s="694">
        <f t="shared" si="8"/>
        <v>1.957652622807694E-2</v>
      </c>
      <c r="M88" s="695">
        <f>Recovery_OX!C83</f>
        <v>0</v>
      </c>
      <c r="N88" s="651"/>
      <c r="O88" s="696">
        <f>(L88-M88)*(1-Recovery_OX!F83)</f>
        <v>1.957652622807694E-2</v>
      </c>
      <c r="P88" s="643"/>
      <c r="Q88" s="653"/>
      <c r="S88" s="690">
        <f t="shared" si="7"/>
        <v>2071</v>
      </c>
      <c r="T88" s="691">
        <f>IF(Select2=1,Food!$W90,"")</f>
        <v>9.844366265441192E-8</v>
      </c>
      <c r="U88" s="692">
        <f>IF(Select2=1,Paper!$W90,"")</f>
        <v>3.1908962419894368E-2</v>
      </c>
      <c r="V88" s="684">
        <f>IF(Select2=1,Nappies!$W90,"")</f>
        <v>0</v>
      </c>
      <c r="W88" s="692">
        <f>IF(Select2=1,Garden!$W90,"")</f>
        <v>0</v>
      </c>
      <c r="X88" s="684">
        <f>IF(Select2=1,Wood!$W90,"")</f>
        <v>7.5551841167866784E-2</v>
      </c>
      <c r="Y88" s="692">
        <f>IF(Select2=1,Textiles!$W90,"")</f>
        <v>4.0071720248239448E-3</v>
      </c>
      <c r="Z88" s="686">
        <f>Sludge!W90</f>
        <v>0</v>
      </c>
      <c r="AA88" s="686" t="str">
        <f>IF(Select2=2,MSW!$W90,"")</f>
        <v/>
      </c>
      <c r="AB88" s="693">
        <f>Industry!$W90</f>
        <v>0</v>
      </c>
      <c r="AC88" s="694">
        <f t="shared" si="5"/>
        <v>0.11146807405624776</v>
      </c>
      <c r="AD88" s="695">
        <f>Recovery_OX!R83</f>
        <v>0</v>
      </c>
      <c r="AE88" s="651"/>
      <c r="AF88" s="697">
        <f>(AC88-AD88)*(1-Recovery_OX!U83)</f>
        <v>0.11146807405624776</v>
      </c>
    </row>
    <row r="89" spans="2:32">
      <c r="B89" s="690">
        <f t="shared" si="6"/>
        <v>2072</v>
      </c>
      <c r="C89" s="691">
        <f>IF(Select2=1,Food!$K91,"")</f>
        <v>9.8631200667727298E-8</v>
      </c>
      <c r="D89" s="692">
        <f>IF(Select2=1,Paper!$K91,"")</f>
        <v>1.4399832170201592E-2</v>
      </c>
      <c r="E89" s="684">
        <f>IF(Select2=1,Nappies!$K91,"")</f>
        <v>4.0149738964198654E-4</v>
      </c>
      <c r="F89" s="692">
        <f>IF(Select2=1,Garden!$K91,"")</f>
        <v>0</v>
      </c>
      <c r="G89" s="684">
        <f>IF(Select2=1,Wood!$K91,"")</f>
        <v>0</v>
      </c>
      <c r="H89" s="692">
        <f>IF(Select2=1,Textiles!$K91,"")</f>
        <v>3.4093394685118347E-3</v>
      </c>
      <c r="I89" s="693">
        <f>Sludge!K91</f>
        <v>0</v>
      </c>
      <c r="J89" s="693" t="str">
        <f>IF(Select2=2,MSW!$K91,"")</f>
        <v/>
      </c>
      <c r="K89" s="693">
        <f>Industry!$K91</f>
        <v>0</v>
      </c>
      <c r="L89" s="694">
        <f t="shared" si="8"/>
        <v>1.8210767659556083E-2</v>
      </c>
      <c r="M89" s="695">
        <f>Recovery_OX!C84</f>
        <v>0</v>
      </c>
      <c r="N89" s="651"/>
      <c r="O89" s="696">
        <f>(L89-M89)*(1-Recovery_OX!F84)</f>
        <v>1.8210767659556083E-2</v>
      </c>
      <c r="P89" s="643"/>
      <c r="Q89" s="653"/>
      <c r="S89" s="690">
        <f t="shared" si="7"/>
        <v>2072</v>
      </c>
      <c r="T89" s="691">
        <f>IF(Select2=1,Food!$W91,"")</f>
        <v>6.5988760482422347E-8</v>
      </c>
      <c r="U89" s="692">
        <f>IF(Select2=1,Paper!$W91,"")</f>
        <v>2.9751719359920662E-2</v>
      </c>
      <c r="V89" s="684">
        <f>IF(Select2=1,Nappies!$W91,"")</f>
        <v>0</v>
      </c>
      <c r="W89" s="692">
        <f>IF(Select2=1,Garden!$W91,"")</f>
        <v>0</v>
      </c>
      <c r="X89" s="684">
        <f>IF(Select2=1,Wood!$W91,"")</f>
        <v>7.2953267039923553E-2</v>
      </c>
      <c r="Y89" s="692">
        <f>IF(Select2=1,Textiles!$W91,"")</f>
        <v>3.7362624312458521E-3</v>
      </c>
      <c r="Z89" s="686">
        <f>Sludge!W91</f>
        <v>0</v>
      </c>
      <c r="AA89" s="686" t="str">
        <f>IF(Select2=2,MSW!$W91,"")</f>
        <v/>
      </c>
      <c r="AB89" s="693">
        <f>Industry!$W91</f>
        <v>0</v>
      </c>
      <c r="AC89" s="694">
        <f t="shared" si="5"/>
        <v>0.10644131481985054</v>
      </c>
      <c r="AD89" s="695">
        <f>Recovery_OX!R84</f>
        <v>0</v>
      </c>
      <c r="AE89" s="651"/>
      <c r="AF89" s="697">
        <f>(AC89-AD89)*(1-Recovery_OX!U84)</f>
        <v>0.10644131481985054</v>
      </c>
    </row>
    <row r="90" spans="2:32">
      <c r="B90" s="690">
        <f t="shared" si="6"/>
        <v>2073</v>
      </c>
      <c r="C90" s="691">
        <f>IF(Select2=1,Food!$K92,"")</f>
        <v>6.6114470972141345E-8</v>
      </c>
      <c r="D90" s="692">
        <f>IF(Select2=1,Paper!$K92,"")</f>
        <v>1.3426314523178825E-2</v>
      </c>
      <c r="E90" s="684">
        <f>IF(Select2=1,Nappies!$K92,"")</f>
        <v>3.387292215962334E-4</v>
      </c>
      <c r="F90" s="692">
        <f>IF(Select2=1,Garden!$K92,"")</f>
        <v>0</v>
      </c>
      <c r="G90" s="684">
        <f>IF(Select2=1,Wood!$K92,"")</f>
        <v>0</v>
      </c>
      <c r="H90" s="692">
        <f>IF(Select2=1,Textiles!$K92,"")</f>
        <v>3.1788470504018652E-3</v>
      </c>
      <c r="I90" s="693">
        <f>Sludge!K92</f>
        <v>0</v>
      </c>
      <c r="J90" s="693" t="str">
        <f>IF(Select2=2,MSW!$K92,"")</f>
        <v/>
      </c>
      <c r="K90" s="693">
        <f>Industry!$K92</f>
        <v>0</v>
      </c>
      <c r="L90" s="694">
        <f t="shared" si="8"/>
        <v>1.6943956909647895E-2</v>
      </c>
      <c r="M90" s="695">
        <f>Recovery_OX!C85</f>
        <v>0</v>
      </c>
      <c r="N90" s="651"/>
      <c r="O90" s="696">
        <f>(L90-M90)*(1-Recovery_OX!F85)</f>
        <v>1.6943956909647895E-2</v>
      </c>
      <c r="P90" s="643"/>
      <c r="Q90" s="653"/>
      <c r="S90" s="690">
        <f t="shared" si="7"/>
        <v>2073</v>
      </c>
      <c r="T90" s="691">
        <f>IF(Select2=1,Food!$W92,"")</f>
        <v>4.4233588964412125E-8</v>
      </c>
      <c r="U90" s="692">
        <f>IF(Select2=1,Paper!$W92,"")</f>
        <v>2.7740319262766183E-2</v>
      </c>
      <c r="V90" s="684">
        <f>IF(Select2=1,Nappies!$W92,"")</f>
        <v>0</v>
      </c>
      <c r="W90" s="692">
        <f>IF(Select2=1,Garden!$W92,"")</f>
        <v>0</v>
      </c>
      <c r="X90" s="684">
        <f>IF(Select2=1,Wood!$W92,"")</f>
        <v>7.0444069787434782E-2</v>
      </c>
      <c r="Y90" s="692">
        <f>IF(Select2=1,Textiles!$W92,"")</f>
        <v>3.4836680004404052E-3</v>
      </c>
      <c r="Z90" s="686">
        <f>Sludge!W92</f>
        <v>0</v>
      </c>
      <c r="AA90" s="686" t="str">
        <f>IF(Select2=2,MSW!$W92,"")</f>
        <v/>
      </c>
      <c r="AB90" s="693">
        <f>Industry!$W92</f>
        <v>0</v>
      </c>
      <c r="AC90" s="694">
        <f t="shared" si="5"/>
        <v>0.10166810128423033</v>
      </c>
      <c r="AD90" s="695">
        <f>Recovery_OX!R85</f>
        <v>0</v>
      </c>
      <c r="AE90" s="651"/>
      <c r="AF90" s="697">
        <f>(AC90-AD90)*(1-Recovery_OX!U85)</f>
        <v>0.10166810128423033</v>
      </c>
    </row>
    <row r="91" spans="2:32">
      <c r="B91" s="690">
        <f t="shared" si="6"/>
        <v>2074</v>
      </c>
      <c r="C91" s="691">
        <f>IF(Select2=1,Food!$K93,"")</f>
        <v>4.4317855225667726E-8</v>
      </c>
      <c r="D91" s="692">
        <f>IF(Select2=1,Paper!$K93,"")</f>
        <v>1.2518612685525416E-2</v>
      </c>
      <c r="E91" s="684">
        <f>IF(Select2=1,Nappies!$K93,"")</f>
        <v>2.8577392661382204E-4</v>
      </c>
      <c r="F91" s="692">
        <f>IF(Select2=1,Garden!$K93,"")</f>
        <v>0</v>
      </c>
      <c r="G91" s="684">
        <f>IF(Select2=1,Wood!$K93,"")</f>
        <v>0</v>
      </c>
      <c r="H91" s="692">
        <f>IF(Select2=1,Textiles!$K93,"")</f>
        <v>2.9639373442209519E-3</v>
      </c>
      <c r="I91" s="693">
        <f>Sludge!K93</f>
        <v>0</v>
      </c>
      <c r="J91" s="693" t="str">
        <f>IF(Select2=2,MSW!$K93,"")</f>
        <v/>
      </c>
      <c r="K91" s="693">
        <f>Industry!$K93</f>
        <v>0</v>
      </c>
      <c r="L91" s="694">
        <f t="shared" si="8"/>
        <v>1.5768368274215416E-2</v>
      </c>
      <c r="M91" s="695">
        <f>Recovery_OX!C86</f>
        <v>0</v>
      </c>
      <c r="N91" s="651"/>
      <c r="O91" s="696">
        <f>(L91-M91)*(1-Recovery_OX!F86)</f>
        <v>1.5768368274215416E-2</v>
      </c>
      <c r="P91" s="643"/>
      <c r="Q91" s="653"/>
      <c r="S91" s="690">
        <f t="shared" si="7"/>
        <v>2074</v>
      </c>
      <c r="T91" s="691">
        <f>IF(Select2=1,Food!$W93,"")</f>
        <v>2.9650661390946283E-8</v>
      </c>
      <c r="U91" s="692">
        <f>IF(Select2=1,Paper!$W93,"")</f>
        <v>2.5864902242821119E-2</v>
      </c>
      <c r="V91" s="684">
        <f>IF(Select2=1,Nappies!$W93,"")</f>
        <v>0</v>
      </c>
      <c r="W91" s="692">
        <f>IF(Select2=1,Garden!$W93,"")</f>
        <v>0</v>
      </c>
      <c r="X91" s="684">
        <f>IF(Select2=1,Wood!$W93,"")</f>
        <v>6.8021175329973038E-2</v>
      </c>
      <c r="Y91" s="692">
        <f>IF(Select2=1,Textiles!$W93,"")</f>
        <v>3.2481505142147463E-3</v>
      </c>
      <c r="Z91" s="686">
        <f>Sludge!W93</f>
        <v>0</v>
      </c>
      <c r="AA91" s="686" t="str">
        <f>IF(Select2=2,MSW!$W93,"")</f>
        <v/>
      </c>
      <c r="AB91" s="693">
        <f>Industry!$W93</f>
        <v>0</v>
      </c>
      <c r="AC91" s="694">
        <f t="shared" si="5"/>
        <v>9.7134257737670301E-2</v>
      </c>
      <c r="AD91" s="695">
        <f>Recovery_OX!R86</f>
        <v>0</v>
      </c>
      <c r="AE91" s="651"/>
      <c r="AF91" s="697">
        <f>(AC91-AD91)*(1-Recovery_OX!U86)</f>
        <v>9.7134257737670301E-2</v>
      </c>
    </row>
    <row r="92" spans="2:32">
      <c r="B92" s="690">
        <f t="shared" si="6"/>
        <v>2075</v>
      </c>
      <c r="C92" s="691">
        <f>IF(Select2=1,Food!$K94,"")</f>
        <v>2.9707146755070388E-8</v>
      </c>
      <c r="D92" s="692">
        <f>IF(Select2=1,Paper!$K94,"")</f>
        <v>1.1672277101780103E-2</v>
      </c>
      <c r="E92" s="684">
        <f>IF(Select2=1,Nappies!$K94,"")</f>
        <v>2.4109740738467858E-4</v>
      </c>
      <c r="F92" s="692">
        <f>IF(Select2=1,Garden!$K94,"")</f>
        <v>0</v>
      </c>
      <c r="G92" s="684">
        <f>IF(Select2=1,Wood!$K94,"")</f>
        <v>0</v>
      </c>
      <c r="H92" s="692">
        <f>IF(Select2=1,Textiles!$K94,"")</f>
        <v>2.7635568623400647E-3</v>
      </c>
      <c r="I92" s="693">
        <f>Sludge!K94</f>
        <v>0</v>
      </c>
      <c r="J92" s="693" t="str">
        <f>IF(Select2=2,MSW!$K94,"")</f>
        <v/>
      </c>
      <c r="K92" s="693">
        <f>Industry!$K94</f>
        <v>0</v>
      </c>
      <c r="L92" s="694">
        <f t="shared" si="8"/>
        <v>1.4676961078651601E-2</v>
      </c>
      <c r="M92" s="695">
        <f>Recovery_OX!C87</f>
        <v>0</v>
      </c>
      <c r="N92" s="651"/>
      <c r="O92" s="696">
        <f>(L92-M92)*(1-Recovery_OX!F87)</f>
        <v>1.4676961078651601E-2</v>
      </c>
      <c r="P92" s="643"/>
      <c r="Q92" s="653"/>
      <c r="S92" s="690">
        <f t="shared" si="7"/>
        <v>2075</v>
      </c>
      <c r="T92" s="691">
        <f>IF(Select2=1,Food!$W94,"")</f>
        <v>1.9875432708566264E-8</v>
      </c>
      <c r="U92" s="692">
        <f>IF(Select2=1,Paper!$W94,"")</f>
        <v>2.4116275003677915E-2</v>
      </c>
      <c r="V92" s="684">
        <f>IF(Select2=1,Nappies!$W94,"")</f>
        <v>0</v>
      </c>
      <c r="W92" s="692">
        <f>IF(Select2=1,Garden!$W94,"")</f>
        <v>0</v>
      </c>
      <c r="X92" s="684">
        <f>IF(Select2=1,Wood!$W94,"")</f>
        <v>6.5681615318827519E-2</v>
      </c>
      <c r="Y92" s="692">
        <f>IF(Select2=1,Textiles!$W94,"")</f>
        <v>3.0285554655781572E-3</v>
      </c>
      <c r="Z92" s="686">
        <f>Sludge!W94</f>
        <v>0</v>
      </c>
      <c r="AA92" s="686" t="str">
        <f>IF(Select2=2,MSW!$W94,"")</f>
        <v/>
      </c>
      <c r="AB92" s="693">
        <f>Industry!$W94</f>
        <v>0</v>
      </c>
      <c r="AC92" s="694">
        <f t="shared" si="5"/>
        <v>9.2826465663516308E-2</v>
      </c>
      <c r="AD92" s="695">
        <f>Recovery_OX!R87</f>
        <v>0</v>
      </c>
      <c r="AE92" s="651"/>
      <c r="AF92" s="697">
        <f>(AC92-AD92)*(1-Recovery_OX!U87)</f>
        <v>9.2826465663516308E-2</v>
      </c>
    </row>
    <row r="93" spans="2:32">
      <c r="B93" s="690">
        <f t="shared" si="6"/>
        <v>2076</v>
      </c>
      <c r="C93" s="691">
        <f>IF(Select2=1,Food!$K95,"")</f>
        <v>1.9913295980446277E-8</v>
      </c>
      <c r="D93" s="692">
        <f>IF(Select2=1,Paper!$K95,"")</f>
        <v>1.0883159033929482E-2</v>
      </c>
      <c r="E93" s="684">
        <f>IF(Select2=1,Nappies!$K95,"")</f>
        <v>2.0340539998305846E-4</v>
      </c>
      <c r="F93" s="692">
        <f>IF(Select2=1,Garden!$K95,"")</f>
        <v>0</v>
      </c>
      <c r="G93" s="684">
        <f>IF(Select2=1,Wood!$K95,"")</f>
        <v>0</v>
      </c>
      <c r="H93" s="692">
        <f>IF(Select2=1,Textiles!$K95,"")</f>
        <v>2.5767233394045496E-3</v>
      </c>
      <c r="I93" s="693">
        <f>Sludge!K95</f>
        <v>0</v>
      </c>
      <c r="J93" s="693" t="str">
        <f>IF(Select2=2,MSW!$K95,"")</f>
        <v/>
      </c>
      <c r="K93" s="693">
        <f>Industry!$K95</f>
        <v>0</v>
      </c>
      <c r="L93" s="694">
        <f t="shared" si="8"/>
        <v>1.3663307686613071E-2</v>
      </c>
      <c r="M93" s="695">
        <f>Recovery_OX!C88</f>
        <v>0</v>
      </c>
      <c r="N93" s="651"/>
      <c r="O93" s="696">
        <f>(L93-M93)*(1-Recovery_OX!F88)</f>
        <v>1.3663307686613071E-2</v>
      </c>
      <c r="P93" s="643"/>
      <c r="Q93" s="653"/>
      <c r="S93" s="690">
        <f t="shared" si="7"/>
        <v>2076</v>
      </c>
      <c r="T93" s="691">
        <f>IF(Select2=1,Food!$W95,"")</f>
        <v>1.3322900968184391E-8</v>
      </c>
      <c r="U93" s="692">
        <f>IF(Select2=1,Paper!$W95,"")</f>
        <v>2.2485865772581583E-2</v>
      </c>
      <c r="V93" s="684">
        <f>IF(Select2=1,Nappies!$W95,"")</f>
        <v>0</v>
      </c>
      <c r="W93" s="692">
        <f>IF(Select2=1,Garden!$W95,"")</f>
        <v>0</v>
      </c>
      <c r="X93" s="684">
        <f>IF(Select2=1,Wood!$W95,"")</f>
        <v>6.3422523500405809E-2</v>
      </c>
      <c r="Y93" s="692">
        <f>IF(Select2=1,Textiles!$W95,"")</f>
        <v>2.823806399347456E-3</v>
      </c>
      <c r="Z93" s="686">
        <f>Sludge!W95</f>
        <v>0</v>
      </c>
      <c r="AA93" s="686" t="str">
        <f>IF(Select2=2,MSW!$W95,"")</f>
        <v/>
      </c>
      <c r="AB93" s="693">
        <f>Industry!$W95</f>
        <v>0</v>
      </c>
      <c r="AC93" s="694">
        <f t="shared" si="5"/>
        <v>8.8732208995235817E-2</v>
      </c>
      <c r="AD93" s="695">
        <f>Recovery_OX!R88</f>
        <v>0</v>
      </c>
      <c r="AE93" s="651"/>
      <c r="AF93" s="697">
        <f>(AC93-AD93)*(1-Recovery_OX!U88)</f>
        <v>8.8732208995235817E-2</v>
      </c>
    </row>
    <row r="94" spans="2:32">
      <c r="B94" s="690">
        <f t="shared" si="6"/>
        <v>2077</v>
      </c>
      <c r="C94" s="691">
        <f>IF(Select2=1,Food!$K96,"")</f>
        <v>1.3348281478334059E-8</v>
      </c>
      <c r="D94" s="692">
        <f>IF(Select2=1,Paper!$K96,"")</f>
        <v>1.014739022428944E-2</v>
      </c>
      <c r="E94" s="684">
        <f>IF(Select2=1,Nappies!$K96,"")</f>
        <v>1.7160597947142109E-4</v>
      </c>
      <c r="F94" s="692">
        <f>IF(Select2=1,Garden!$K96,"")</f>
        <v>0</v>
      </c>
      <c r="G94" s="684">
        <f>IF(Select2=1,Wood!$K96,"")</f>
        <v>0</v>
      </c>
      <c r="H94" s="692">
        <f>IF(Select2=1,Textiles!$K96,"")</f>
        <v>2.4025209172682193E-3</v>
      </c>
      <c r="I94" s="693">
        <f>Sludge!K96</f>
        <v>0</v>
      </c>
      <c r="J94" s="693" t="str">
        <f>IF(Select2=2,MSW!$K96,"")</f>
        <v/>
      </c>
      <c r="K94" s="693">
        <f>Industry!$K96</f>
        <v>0</v>
      </c>
      <c r="L94" s="694">
        <f t="shared" si="8"/>
        <v>1.2721530469310559E-2</v>
      </c>
      <c r="M94" s="695">
        <f>Recovery_OX!C89</f>
        <v>0</v>
      </c>
      <c r="N94" s="651"/>
      <c r="O94" s="696">
        <f>(L94-M94)*(1-Recovery_OX!F89)</f>
        <v>1.2721530469310559E-2</v>
      </c>
      <c r="P94" s="643"/>
      <c r="Q94" s="653"/>
      <c r="S94" s="690">
        <f t="shared" si="7"/>
        <v>2077</v>
      </c>
      <c r="T94" s="691">
        <f>IF(Select2=1,Food!$W96,"")</f>
        <v>8.9306075903216242E-9</v>
      </c>
      <c r="U94" s="692">
        <f>IF(Select2=1,Paper!$W96,"")</f>
        <v>2.0965682281589758E-2</v>
      </c>
      <c r="V94" s="684">
        <f>IF(Select2=1,Nappies!$W96,"")</f>
        <v>0</v>
      </c>
      <c r="W94" s="692">
        <f>IF(Select2=1,Garden!$W96,"")</f>
        <v>0</v>
      </c>
      <c r="X94" s="684">
        <f>IF(Select2=1,Wood!$W96,"")</f>
        <v>6.1241132204714638E-2</v>
      </c>
      <c r="Y94" s="692">
        <f>IF(Select2=1,Textiles!$W96,"")</f>
        <v>2.632899635362436E-3</v>
      </c>
      <c r="Z94" s="686">
        <f>Sludge!W96</f>
        <v>0</v>
      </c>
      <c r="AA94" s="686" t="str">
        <f>IF(Select2=2,MSW!$W96,"")</f>
        <v/>
      </c>
      <c r="AB94" s="693">
        <f>Industry!$W96</f>
        <v>0</v>
      </c>
      <c r="AC94" s="694">
        <f t="shared" si="5"/>
        <v>8.4839723052274427E-2</v>
      </c>
      <c r="AD94" s="695">
        <f>Recovery_OX!R89</f>
        <v>0</v>
      </c>
      <c r="AE94" s="651"/>
      <c r="AF94" s="697">
        <f>(AC94-AD94)*(1-Recovery_OX!U89)</f>
        <v>8.4839723052274427E-2</v>
      </c>
    </row>
    <row r="95" spans="2:32">
      <c r="B95" s="690">
        <f t="shared" si="6"/>
        <v>2078</v>
      </c>
      <c r="C95" s="691">
        <f>IF(Select2=1,Food!$K97,"")</f>
        <v>8.9476206550535582E-9</v>
      </c>
      <c r="D95" s="692">
        <f>IF(Select2=1,Paper!$K97,"")</f>
        <v>9.4613639333015077E-3</v>
      </c>
      <c r="E95" s="684">
        <f>IF(Select2=1,Nappies!$K97,"")</f>
        <v>1.4477792719759926E-4</v>
      </c>
      <c r="F95" s="692">
        <f>IF(Select2=1,Garden!$K97,"")</f>
        <v>0</v>
      </c>
      <c r="G95" s="684">
        <f>IF(Select2=1,Wood!$K97,"")</f>
        <v>0</v>
      </c>
      <c r="H95" s="692">
        <f>IF(Select2=1,Textiles!$K97,"")</f>
        <v>2.2400956554556577E-3</v>
      </c>
      <c r="I95" s="693">
        <f>Sludge!K97</f>
        <v>0</v>
      </c>
      <c r="J95" s="693" t="str">
        <f>IF(Select2=2,MSW!$K97,"")</f>
        <v/>
      </c>
      <c r="K95" s="693">
        <f>Industry!$K97</f>
        <v>0</v>
      </c>
      <c r="L95" s="694">
        <f t="shared" si="8"/>
        <v>1.1846246463575419E-2</v>
      </c>
      <c r="M95" s="695">
        <f>Recovery_OX!C90</f>
        <v>0</v>
      </c>
      <c r="N95" s="651"/>
      <c r="O95" s="696">
        <f>(L95-M95)*(1-Recovery_OX!F90)</f>
        <v>1.1846246463575419E-2</v>
      </c>
      <c r="P95" s="643"/>
      <c r="Q95" s="653"/>
      <c r="S95" s="690">
        <f t="shared" si="7"/>
        <v>2078</v>
      </c>
      <c r="T95" s="691">
        <f>IF(Select2=1,Food!$W97,"")</f>
        <v>5.9863652910706205E-9</v>
      </c>
      <c r="U95" s="692">
        <f>IF(Select2=1,Paper!$W97,"")</f>
        <v>1.9548272589465933E-2</v>
      </c>
      <c r="V95" s="684">
        <f>IF(Select2=1,Nappies!$W97,"")</f>
        <v>0</v>
      </c>
      <c r="W95" s="692">
        <f>IF(Select2=1,Garden!$W97,"")</f>
        <v>0</v>
      </c>
      <c r="X95" s="684">
        <f>IF(Select2=1,Wood!$W97,"")</f>
        <v>5.9134768954618139E-2</v>
      </c>
      <c r="Y95" s="692">
        <f>IF(Select2=1,Textiles!$W97,"")</f>
        <v>2.4548993484445596E-3</v>
      </c>
      <c r="Z95" s="686">
        <f>Sludge!W97</f>
        <v>0</v>
      </c>
      <c r="AA95" s="686" t="str">
        <f>IF(Select2=2,MSW!$W97,"")</f>
        <v/>
      </c>
      <c r="AB95" s="693">
        <f>Industry!$W97</f>
        <v>0</v>
      </c>
      <c r="AC95" s="694">
        <f t="shared" si="5"/>
        <v>8.1137946878893918E-2</v>
      </c>
      <c r="AD95" s="695">
        <f>Recovery_OX!R90</f>
        <v>0</v>
      </c>
      <c r="AE95" s="651"/>
      <c r="AF95" s="697">
        <f>(AC95-AD95)*(1-Recovery_OX!U90)</f>
        <v>8.1137946878893918E-2</v>
      </c>
    </row>
    <row r="96" spans="2:32">
      <c r="B96" s="690">
        <f t="shared" si="6"/>
        <v>2079</v>
      </c>
      <c r="C96" s="691">
        <f>IF(Select2=1,Food!$K98,"")</f>
        <v>5.9977694894049383E-9</v>
      </c>
      <c r="D96" s="692">
        <f>IF(Select2=1,Paper!$K98,"")</f>
        <v>8.8217172592913607E-3</v>
      </c>
      <c r="E96" s="684">
        <f>IF(Select2=1,Nappies!$K98,"")</f>
        <v>1.2214404339636715E-4</v>
      </c>
      <c r="F96" s="692">
        <f>IF(Select2=1,Garden!$K98,"")</f>
        <v>0</v>
      </c>
      <c r="G96" s="684">
        <f>IF(Select2=1,Wood!$K98,"")</f>
        <v>0</v>
      </c>
      <c r="H96" s="692">
        <f>IF(Select2=1,Textiles!$K98,"")</f>
        <v>2.0886513451450197E-3</v>
      </c>
      <c r="I96" s="693">
        <f>Sludge!K98</f>
        <v>0</v>
      </c>
      <c r="J96" s="693" t="str">
        <f>IF(Select2=2,MSW!$K98,"")</f>
        <v/>
      </c>
      <c r="K96" s="693">
        <f>Industry!$K98</f>
        <v>0</v>
      </c>
      <c r="L96" s="694">
        <f t="shared" si="8"/>
        <v>1.1032518645602236E-2</v>
      </c>
      <c r="M96" s="695">
        <f>Recovery_OX!C91</f>
        <v>0</v>
      </c>
      <c r="N96" s="651"/>
      <c r="O96" s="696">
        <f>(L96-M96)*(1-Recovery_OX!F91)</f>
        <v>1.1032518645602236E-2</v>
      </c>
      <c r="P96" s="641"/>
      <c r="S96" s="690">
        <f t="shared" si="7"/>
        <v>2079</v>
      </c>
      <c r="T96" s="691">
        <f>IF(Select2=1,Food!$W98,"")</f>
        <v>4.0127806574966118E-9</v>
      </c>
      <c r="U96" s="692">
        <f>IF(Select2=1,Paper!$W98,"")</f>
        <v>1.8226688552254885E-2</v>
      </c>
      <c r="V96" s="684">
        <f>IF(Select2=1,Nappies!$W98,"")</f>
        <v>0</v>
      </c>
      <c r="W96" s="692">
        <f>IF(Select2=1,Garden!$W98,"")</f>
        <v>0</v>
      </c>
      <c r="X96" s="684">
        <f>IF(Select2=1,Wood!$W98,"")</f>
        <v>5.7100853191719071E-2</v>
      </c>
      <c r="Y96" s="692">
        <f>IF(Select2=1,Textiles!$W98,"")</f>
        <v>2.2889329809808465E-3</v>
      </c>
      <c r="Z96" s="686">
        <f>Sludge!W98</f>
        <v>0</v>
      </c>
      <c r="AA96" s="686" t="str">
        <f>IF(Select2=2,MSW!$W98,"")</f>
        <v/>
      </c>
      <c r="AB96" s="693">
        <f>Industry!$W98</f>
        <v>0</v>
      </c>
      <c r="AC96" s="694">
        <f t="shared" si="5"/>
        <v>7.7616478737735459E-2</v>
      </c>
      <c r="AD96" s="695">
        <f>Recovery_OX!R91</f>
        <v>0</v>
      </c>
      <c r="AE96" s="651"/>
      <c r="AF96" s="697">
        <f>(AC96-AD96)*(1-Recovery_OX!U91)</f>
        <v>7.7616478737735459E-2</v>
      </c>
    </row>
    <row r="97" spans="2:32" ht="13.5" thickBot="1">
      <c r="B97" s="698">
        <f t="shared" si="6"/>
        <v>2080</v>
      </c>
      <c r="C97" s="699">
        <f>IF(Select2=1,Food!$K99,"")</f>
        <v>4.0204251202490716E-9</v>
      </c>
      <c r="D97" s="700">
        <f>IF(Select2=1,Paper!$K99,"")</f>
        <v>8.225314653520905E-3</v>
      </c>
      <c r="E97" s="700">
        <f>IF(Select2=1,Nappies!$K99,"")</f>
        <v>1.0304863197033683E-4</v>
      </c>
      <c r="F97" s="700">
        <f>IF(Select2=1,Garden!$K99,"")</f>
        <v>0</v>
      </c>
      <c r="G97" s="700">
        <f>IF(Select2=1,Wood!$K99,"")</f>
        <v>0</v>
      </c>
      <c r="H97" s="700">
        <f>IF(Select2=1,Textiles!$K99,"")</f>
        <v>1.9474456061514618E-3</v>
      </c>
      <c r="I97" s="701">
        <f>Sludge!K99</f>
        <v>0</v>
      </c>
      <c r="J97" s="701" t="str">
        <f>IF(Select2=2,MSW!$K99,"")</f>
        <v/>
      </c>
      <c r="K97" s="693">
        <f>Industry!$K99</f>
        <v>0</v>
      </c>
      <c r="L97" s="694">
        <f t="shared" si="8"/>
        <v>1.0275812912067823E-2</v>
      </c>
      <c r="M97" s="702">
        <f>Recovery_OX!C92</f>
        <v>0</v>
      </c>
      <c r="N97" s="651"/>
      <c r="O97" s="703">
        <f>(L97-M97)*(1-Recovery_OX!F92)</f>
        <v>1.0275812912067823E-2</v>
      </c>
      <c r="S97" s="698">
        <f t="shared" si="7"/>
        <v>2080</v>
      </c>
      <c r="T97" s="699">
        <f>IF(Select2=1,Food!$W99,"")</f>
        <v>2.6898473150640518E-9</v>
      </c>
      <c r="U97" s="700">
        <f>IF(Select2=1,Paper!$W99,"")</f>
        <v>1.6994451763472952E-2</v>
      </c>
      <c r="V97" s="700">
        <f>IF(Select2=1,Nappies!$W99,"")</f>
        <v>0</v>
      </c>
      <c r="W97" s="700">
        <f>IF(Select2=1,Garden!$W99,"")</f>
        <v>0</v>
      </c>
      <c r="X97" s="700">
        <f>IF(Select2=1,Wood!$W99,"")</f>
        <v>5.5136893114852079E-2</v>
      </c>
      <c r="Y97" s="700">
        <f>IF(Select2=1,Textiles!$W99,"")</f>
        <v>2.1341869656454409E-3</v>
      </c>
      <c r="Z97" s="701">
        <f>Sludge!W99</f>
        <v>0</v>
      </c>
      <c r="AA97" s="701" t="str">
        <f>IF(Select2=2,MSW!$W99,"")</f>
        <v/>
      </c>
      <c r="AB97" s="693">
        <f>Industry!$W99</f>
        <v>0</v>
      </c>
      <c r="AC97" s="704">
        <f t="shared" si="5"/>
        <v>7.4265534533817776E-2</v>
      </c>
      <c r="AD97" s="702">
        <f>Recovery_OX!R92</f>
        <v>0</v>
      </c>
      <c r="AE97" s="651"/>
      <c r="AF97" s="705">
        <f>(AC97-AD97)*(1-Recovery_OX!U92)</f>
        <v>7.4265534533817776E-2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7" t="s">
        <v>284</v>
      </c>
      <c r="D8" s="838"/>
      <c r="E8" s="839"/>
      <c r="F8" s="837" t="s">
        <v>285</v>
      </c>
      <c r="G8" s="838"/>
      <c r="H8" s="840"/>
      <c r="I8" s="435"/>
      <c r="J8" s="837" t="s">
        <v>286</v>
      </c>
      <c r="K8" s="838"/>
      <c r="L8" s="840"/>
      <c r="M8" s="841" t="s">
        <v>287</v>
      </c>
      <c r="N8" s="842"/>
      <c r="O8" s="843"/>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0.51762670964928004</v>
      </c>
      <c r="E12" s="464">
        <f>Stored_C!G18+Stored_C!M18</f>
        <v>0.427042035460656</v>
      </c>
      <c r="F12" s="465">
        <f>F11+HWP!C12</f>
        <v>0</v>
      </c>
      <c r="G12" s="463">
        <f>G11+HWP!D12</f>
        <v>0.51762670964928004</v>
      </c>
      <c r="H12" s="464">
        <f>H11+HWP!E12</f>
        <v>0.427042035460656</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0.52425810486720004</v>
      </c>
      <c r="E13" s="473">
        <f>Stored_C!G19+Stored_C!M19</f>
        <v>0.43251293651544009</v>
      </c>
      <c r="F13" s="474">
        <f>F12+HWP!C13</f>
        <v>0</v>
      </c>
      <c r="G13" s="472">
        <f>G12+HWP!D13</f>
        <v>1.0418848145164801</v>
      </c>
      <c r="H13" s="473">
        <f>H12+HWP!E13</f>
        <v>0.85955497197609609</v>
      </c>
      <c r="I13" s="456"/>
      <c r="J13" s="475">
        <f>Garden!J20</f>
        <v>0</v>
      </c>
      <c r="K13" s="476">
        <f>Paper!J20</f>
        <v>1.6937466044155677E-2</v>
      </c>
      <c r="L13" s="477">
        <f>Wood!J20</f>
        <v>0</v>
      </c>
      <c r="M13" s="478">
        <f>J13*(1-Recovery_OX!E13)*(1-Recovery_OX!F13)</f>
        <v>0</v>
      </c>
      <c r="N13" s="476">
        <f>K13*(1-Recovery_OX!E13)*(1-Recovery_OX!F13)</f>
        <v>1.6937466044155677E-2</v>
      </c>
      <c r="O13" s="477">
        <f>L13*(1-Recovery_OX!E13)*(1-Recovery_OX!F13)</f>
        <v>0</v>
      </c>
    </row>
    <row r="14" spans="2:15">
      <c r="B14" s="470">
        <f t="shared" ref="B14:B77" si="0">B13+1</f>
        <v>1952</v>
      </c>
      <c r="C14" s="471">
        <f>Stored_C!E20</f>
        <v>0</v>
      </c>
      <c r="D14" s="472">
        <f>Stored_C!F20+Stored_C!L20</f>
        <v>0.5360717089728001</v>
      </c>
      <c r="E14" s="473">
        <f>Stored_C!G20+Stored_C!M20</f>
        <v>0.44225915990256004</v>
      </c>
      <c r="F14" s="474">
        <f>F13+HWP!C14</f>
        <v>0</v>
      </c>
      <c r="G14" s="472">
        <f>G13+HWP!D14</f>
        <v>1.5779565234892803</v>
      </c>
      <c r="H14" s="473">
        <f>H13+HWP!E14</f>
        <v>1.3018141318786562</v>
      </c>
      <c r="I14" s="456"/>
      <c r="J14" s="475">
        <f>Garden!J21</f>
        <v>0</v>
      </c>
      <c r="K14" s="476">
        <f>Paper!J21</f>
        <v>3.2946843185491993E-2</v>
      </c>
      <c r="L14" s="477">
        <f>Wood!J21</f>
        <v>0</v>
      </c>
      <c r="M14" s="478">
        <f>J14*(1-Recovery_OX!E14)*(1-Recovery_OX!F14)</f>
        <v>0</v>
      </c>
      <c r="N14" s="476">
        <f>K14*(1-Recovery_OX!E14)*(1-Recovery_OX!F14)</f>
        <v>3.2946843185491993E-2</v>
      </c>
      <c r="O14" s="477">
        <f>L14*(1-Recovery_OX!E14)*(1-Recovery_OX!F14)</f>
        <v>0</v>
      </c>
    </row>
    <row r="15" spans="2:15">
      <c r="B15" s="470">
        <f t="shared" si="0"/>
        <v>1953</v>
      </c>
      <c r="C15" s="471">
        <f>Stored_C!E21</f>
        <v>0</v>
      </c>
      <c r="D15" s="472">
        <f>Stored_C!F21+Stored_C!L21</f>
        <v>0.54560020451904012</v>
      </c>
      <c r="E15" s="473">
        <f>Stored_C!G21+Stored_C!M21</f>
        <v>0.45012016872820804</v>
      </c>
      <c r="F15" s="474">
        <f>F14+HWP!C15</f>
        <v>0</v>
      </c>
      <c r="G15" s="472">
        <f>G14+HWP!D15</f>
        <v>2.1235567280083205</v>
      </c>
      <c r="H15" s="473">
        <f>H14+HWP!E15</f>
        <v>1.7519343006068642</v>
      </c>
      <c r="I15" s="456"/>
      <c r="J15" s="475">
        <f>Garden!J22</f>
        <v>0</v>
      </c>
      <c r="K15" s="476">
        <f>Paper!J22</f>
        <v>4.8260445053631487E-2</v>
      </c>
      <c r="L15" s="477">
        <f>Wood!J22</f>
        <v>0</v>
      </c>
      <c r="M15" s="478">
        <f>J15*(1-Recovery_OX!E15)*(1-Recovery_OX!F15)</f>
        <v>0</v>
      </c>
      <c r="N15" s="476">
        <f>K15*(1-Recovery_OX!E15)*(1-Recovery_OX!F15)</f>
        <v>4.8260445053631487E-2</v>
      </c>
      <c r="O15" s="477">
        <f>L15*(1-Recovery_OX!E15)*(1-Recovery_OX!F15)</f>
        <v>0</v>
      </c>
    </row>
    <row r="16" spans="2:15">
      <c r="B16" s="470">
        <f t="shared" si="0"/>
        <v>1954</v>
      </c>
      <c r="C16" s="471">
        <f>Stored_C!E22</f>
        <v>0</v>
      </c>
      <c r="D16" s="472">
        <f>Stored_C!F22+Stored_C!L22</f>
        <v>0.54851893449408007</v>
      </c>
      <c r="E16" s="473">
        <f>Stored_C!G22+Stored_C!M22</f>
        <v>0.45252812095761608</v>
      </c>
      <c r="F16" s="474">
        <f>F15+HWP!C16</f>
        <v>0</v>
      </c>
      <c r="G16" s="472">
        <f>G15+HWP!D16</f>
        <v>2.6720756625024005</v>
      </c>
      <c r="H16" s="473">
        <f>H15+HWP!E16</f>
        <v>2.2044624215644801</v>
      </c>
      <c r="I16" s="456"/>
      <c r="J16" s="475">
        <f>Garden!J23</f>
        <v>0</v>
      </c>
      <c r="K16" s="476">
        <f>Paper!J23</f>
        <v>6.285053842597238E-2</v>
      </c>
      <c r="L16" s="477">
        <f>Wood!J23</f>
        <v>0</v>
      </c>
      <c r="M16" s="478">
        <f>J16*(1-Recovery_OX!E16)*(1-Recovery_OX!F16)</f>
        <v>0</v>
      </c>
      <c r="N16" s="476">
        <f>K16*(1-Recovery_OX!E16)*(1-Recovery_OX!F16)</f>
        <v>6.285053842597238E-2</v>
      </c>
      <c r="O16" s="477">
        <f>L16*(1-Recovery_OX!E16)*(1-Recovery_OX!F16)</f>
        <v>0</v>
      </c>
    </row>
    <row r="17" spans="2:15">
      <c r="B17" s="470">
        <f t="shared" si="0"/>
        <v>1955</v>
      </c>
      <c r="C17" s="471">
        <f>Stored_C!E23</f>
        <v>0</v>
      </c>
      <c r="D17" s="472">
        <f>Stored_C!F23+Stored_C!L23</f>
        <v>0.60757677636480012</v>
      </c>
      <c r="E17" s="473">
        <f>Stored_C!G23+Stored_C!M23</f>
        <v>0.50125084050096003</v>
      </c>
      <c r="F17" s="474">
        <f>F16+HWP!C17</f>
        <v>0</v>
      </c>
      <c r="G17" s="472">
        <f>G16+HWP!D17</f>
        <v>3.2796524388672008</v>
      </c>
      <c r="H17" s="473">
        <f>H16+HWP!E17</f>
        <v>2.7057132620654403</v>
      </c>
      <c r="I17" s="456"/>
      <c r="J17" s="475">
        <f>Garden!J24</f>
        <v>0</v>
      </c>
      <c r="K17" s="476">
        <f>Paper!J24</f>
        <v>7.6549756223413576E-2</v>
      </c>
      <c r="L17" s="477">
        <f>Wood!J24</f>
        <v>0</v>
      </c>
      <c r="M17" s="478">
        <f>J17*(1-Recovery_OX!E17)*(1-Recovery_OX!F17)</f>
        <v>0</v>
      </c>
      <c r="N17" s="476">
        <f>K17*(1-Recovery_OX!E17)*(1-Recovery_OX!F17)</f>
        <v>7.6549756223413576E-2</v>
      </c>
      <c r="O17" s="477">
        <f>L17*(1-Recovery_OX!E17)*(1-Recovery_OX!F17)</f>
        <v>0</v>
      </c>
    </row>
    <row r="18" spans="2:15">
      <c r="B18" s="470">
        <f t="shared" si="0"/>
        <v>1956</v>
      </c>
      <c r="C18" s="471">
        <f>Stored_C!E24</f>
        <v>0</v>
      </c>
      <c r="D18" s="472">
        <f>Stored_C!F24+Stored_C!L24</f>
        <v>0.62007489517248016</v>
      </c>
      <c r="E18" s="473">
        <f>Stored_C!G24+Stored_C!M24</f>
        <v>0.51156178851729606</v>
      </c>
      <c r="F18" s="474">
        <f>F17+HWP!C18</f>
        <v>0</v>
      </c>
      <c r="G18" s="472">
        <f>G17+HWP!D18</f>
        <v>3.8997273340396807</v>
      </c>
      <c r="H18" s="473">
        <f>H17+HWP!E18</f>
        <v>3.2172750505827361</v>
      </c>
      <c r="I18" s="456"/>
      <c r="J18" s="475">
        <f>Garden!J25</f>
        <v>0</v>
      </c>
      <c r="K18" s="476">
        <f>Paper!J25</f>
        <v>9.1255276980536634E-2</v>
      </c>
      <c r="L18" s="477">
        <f>Wood!J25</f>
        <v>0</v>
      </c>
      <c r="M18" s="478">
        <f>J18*(1-Recovery_OX!E18)*(1-Recovery_OX!F18)</f>
        <v>0</v>
      </c>
      <c r="N18" s="476">
        <f>K18*(1-Recovery_OX!E18)*(1-Recovery_OX!F18)</f>
        <v>9.1255276980536634E-2</v>
      </c>
      <c r="O18" s="477">
        <f>L18*(1-Recovery_OX!E18)*(1-Recovery_OX!F18)</f>
        <v>0</v>
      </c>
    </row>
    <row r="19" spans="2:15">
      <c r="B19" s="470">
        <f t="shared" si="0"/>
        <v>1957</v>
      </c>
      <c r="C19" s="471">
        <f>Stored_C!E25</f>
        <v>0</v>
      </c>
      <c r="D19" s="472">
        <f>Stored_C!F25+Stored_C!L25</f>
        <v>0.63256283532288016</v>
      </c>
      <c r="E19" s="473">
        <f>Stored_C!G25+Stored_C!M25</f>
        <v>0.52186433914137609</v>
      </c>
      <c r="F19" s="474">
        <f>F18+HWP!C19</f>
        <v>0</v>
      </c>
      <c r="G19" s="472">
        <f>G18+HWP!D19</f>
        <v>4.532290169362561</v>
      </c>
      <c r="H19" s="473">
        <f>H18+HWP!E19</f>
        <v>3.7391393897241123</v>
      </c>
      <c r="I19" s="456"/>
      <c r="J19" s="475">
        <f>Garden!J26</f>
        <v>0</v>
      </c>
      <c r="K19" s="476">
        <f>Paper!J26</f>
        <v>0.10537556948731608</v>
      </c>
      <c r="L19" s="477">
        <f>Wood!J26</f>
        <v>0</v>
      </c>
      <c r="M19" s="478">
        <f>J19*(1-Recovery_OX!E19)*(1-Recovery_OX!F19)</f>
        <v>0</v>
      </c>
      <c r="N19" s="476">
        <f>K19*(1-Recovery_OX!E19)*(1-Recovery_OX!F19)</f>
        <v>0.10537556948731608</v>
      </c>
      <c r="O19" s="477">
        <f>L19*(1-Recovery_OX!E19)*(1-Recovery_OX!F19)</f>
        <v>0</v>
      </c>
    </row>
    <row r="20" spans="2:15">
      <c r="B20" s="470">
        <f t="shared" si="0"/>
        <v>1958</v>
      </c>
      <c r="C20" s="471">
        <f>Stored_C!E26</f>
        <v>0</v>
      </c>
      <c r="D20" s="472">
        <f>Stored_C!F26+Stored_C!L26</f>
        <v>0.64496425688640002</v>
      </c>
      <c r="E20" s="473">
        <f>Stored_C!G26+Stored_C!M26</f>
        <v>0.53209551193128002</v>
      </c>
      <c r="F20" s="474">
        <f>F19+HWP!C20</f>
        <v>0</v>
      </c>
      <c r="G20" s="472">
        <f>G19+HWP!D20</f>
        <v>5.177254426248961</v>
      </c>
      <c r="H20" s="473">
        <f>H19+HWP!E20</f>
        <v>4.2712349016553919</v>
      </c>
      <c r="I20" s="456"/>
      <c r="J20" s="475">
        <f>Garden!J27</f>
        <v>0</v>
      </c>
      <c r="K20" s="476">
        <f>Paper!J27</f>
        <v>0.11894986573041434</v>
      </c>
      <c r="L20" s="477">
        <f>Wood!J27</f>
        <v>0</v>
      </c>
      <c r="M20" s="478">
        <f>J20*(1-Recovery_OX!E20)*(1-Recovery_OX!F20)</f>
        <v>0</v>
      </c>
      <c r="N20" s="476">
        <f>K20*(1-Recovery_OX!E20)*(1-Recovery_OX!F20)</f>
        <v>0.11894986573041434</v>
      </c>
      <c r="O20" s="477">
        <f>L20*(1-Recovery_OX!E20)*(1-Recovery_OX!F20)</f>
        <v>0</v>
      </c>
    </row>
    <row r="21" spans="2:15">
      <c r="B21" s="470">
        <f t="shared" si="0"/>
        <v>1959</v>
      </c>
      <c r="C21" s="471">
        <f>Stored_C!E27</f>
        <v>0</v>
      </c>
      <c r="D21" s="472">
        <f>Stored_C!F27+Stored_C!L27</f>
        <v>0.6571875519475201</v>
      </c>
      <c r="E21" s="473">
        <f>Stored_C!G27+Stored_C!M27</f>
        <v>0.54217973035670408</v>
      </c>
      <c r="F21" s="474">
        <f>F20+HWP!C21</f>
        <v>0</v>
      </c>
      <c r="G21" s="472">
        <f>G20+HWP!D21</f>
        <v>5.8344419781964811</v>
      </c>
      <c r="H21" s="473">
        <f>H20+HWP!E21</f>
        <v>4.8134146320120959</v>
      </c>
      <c r="I21" s="456"/>
      <c r="J21" s="475">
        <f>Garden!J28</f>
        <v>0</v>
      </c>
      <c r="K21" s="476">
        <f>Paper!J28</f>
        <v>0.13201224742304016</v>
      </c>
      <c r="L21" s="477">
        <f>Wood!J28</f>
        <v>0</v>
      </c>
      <c r="M21" s="478">
        <f>J21*(1-Recovery_OX!E21)*(1-Recovery_OX!F21)</f>
        <v>0</v>
      </c>
      <c r="N21" s="476">
        <f>K21*(1-Recovery_OX!E21)*(1-Recovery_OX!F21)</f>
        <v>0.13201224742304016</v>
      </c>
      <c r="O21" s="477">
        <f>L21*(1-Recovery_OX!E21)*(1-Recovery_OX!F21)</f>
        <v>0</v>
      </c>
    </row>
    <row r="22" spans="2:15">
      <c r="B22" s="470">
        <f t="shared" si="0"/>
        <v>1960</v>
      </c>
      <c r="C22" s="471">
        <f>Stored_C!E28</f>
        <v>0</v>
      </c>
      <c r="D22" s="472">
        <f>Stored_C!F28+Stored_C!L28</f>
        <v>0.70942569344064021</v>
      </c>
      <c r="E22" s="473">
        <f>Stored_C!G28+Stored_C!M28</f>
        <v>0.58527619708852807</v>
      </c>
      <c r="F22" s="474">
        <f>F21+HWP!C22</f>
        <v>0</v>
      </c>
      <c r="G22" s="472">
        <f>G21+HWP!D22</f>
        <v>6.5438676716371216</v>
      </c>
      <c r="H22" s="473">
        <f>H21+HWP!E22</f>
        <v>5.3986908291006239</v>
      </c>
      <c r="I22" s="456"/>
      <c r="J22" s="475">
        <f>Garden!J29</f>
        <v>0</v>
      </c>
      <c r="K22" s="476">
        <f>Paper!J29</f>
        <v>0.14459149460552359</v>
      </c>
      <c r="L22" s="477">
        <f>Wood!J29</f>
        <v>0</v>
      </c>
      <c r="M22" s="478">
        <f>J22*(1-Recovery_OX!E22)*(1-Recovery_OX!F22)</f>
        <v>0</v>
      </c>
      <c r="N22" s="476">
        <f>K22*(1-Recovery_OX!E22)*(1-Recovery_OX!F22)</f>
        <v>0.14459149460552359</v>
      </c>
      <c r="O22" s="477">
        <f>L22*(1-Recovery_OX!E22)*(1-Recovery_OX!F22)</f>
        <v>0</v>
      </c>
    </row>
    <row r="23" spans="2:15">
      <c r="B23" s="470">
        <f t="shared" si="0"/>
        <v>1961</v>
      </c>
      <c r="C23" s="471">
        <f>Stored_C!E29</f>
        <v>0</v>
      </c>
      <c r="D23" s="472">
        <f>Stored_C!F29+Stored_C!L29</f>
        <v>0.72800810463744003</v>
      </c>
      <c r="E23" s="473">
        <f>Stored_C!G29+Stored_C!M29</f>
        <v>0.6006066863258881</v>
      </c>
      <c r="F23" s="474">
        <f>F22+HWP!C23</f>
        <v>0</v>
      </c>
      <c r="G23" s="472">
        <f>G22+HWP!D23</f>
        <v>7.2718757762745616</v>
      </c>
      <c r="H23" s="473">
        <f>H22+HWP!E23</f>
        <v>5.9992975154265125</v>
      </c>
      <c r="I23" s="456"/>
      <c r="J23" s="475">
        <f>Garden!J30</f>
        <v>0</v>
      </c>
      <c r="K23" s="476">
        <f>Paper!J30</f>
        <v>0.15802961159909668</v>
      </c>
      <c r="L23" s="477">
        <f>Wood!J30</f>
        <v>0</v>
      </c>
      <c r="M23" s="478">
        <f>J23*(1-Recovery_OX!E23)*(1-Recovery_OX!F23)</f>
        <v>0</v>
      </c>
      <c r="N23" s="476">
        <f>K23*(1-Recovery_OX!E23)*(1-Recovery_OX!F23)</f>
        <v>0.15802961159909668</v>
      </c>
      <c r="O23" s="477">
        <f>L23*(1-Recovery_OX!E23)*(1-Recovery_OX!F23)</f>
        <v>0</v>
      </c>
    </row>
    <row r="24" spans="2:15">
      <c r="B24" s="470">
        <f t="shared" si="0"/>
        <v>1962</v>
      </c>
      <c r="C24" s="471">
        <f>Stored_C!E30</f>
        <v>0</v>
      </c>
      <c r="D24" s="472">
        <f>Stored_C!F30+Stored_C!L30</f>
        <v>0.74211572362751999</v>
      </c>
      <c r="E24" s="473">
        <f>Stored_C!G30+Stored_C!M30</f>
        <v>0.61224547199270407</v>
      </c>
      <c r="F24" s="474">
        <f>F23+HWP!C24</f>
        <v>0</v>
      </c>
      <c r="G24" s="472">
        <f>G23+HWP!D24</f>
        <v>8.0139914999020814</v>
      </c>
      <c r="H24" s="473">
        <f>H23+HWP!E24</f>
        <v>6.6115429874192166</v>
      </c>
      <c r="I24" s="456"/>
      <c r="J24" s="475">
        <f>Garden!J31</f>
        <v>0</v>
      </c>
      <c r="K24" s="476">
        <f>Paper!J31</f>
        <v>0.17116727118064634</v>
      </c>
      <c r="L24" s="477">
        <f>Wood!J31</f>
        <v>0</v>
      </c>
      <c r="M24" s="478">
        <f>J24*(1-Recovery_OX!E24)*(1-Recovery_OX!F24)</f>
        <v>0</v>
      </c>
      <c r="N24" s="476">
        <f>K24*(1-Recovery_OX!E24)*(1-Recovery_OX!F24)</f>
        <v>0.17116727118064634</v>
      </c>
      <c r="O24" s="477">
        <f>L24*(1-Recovery_OX!E24)*(1-Recovery_OX!F24)</f>
        <v>0</v>
      </c>
    </row>
    <row r="25" spans="2:15">
      <c r="B25" s="470">
        <f t="shared" si="0"/>
        <v>1963</v>
      </c>
      <c r="C25" s="471">
        <f>Stored_C!E31</f>
        <v>0</v>
      </c>
      <c r="D25" s="472">
        <f>Stored_C!F31+Stored_C!L31</f>
        <v>0.75617499399552013</v>
      </c>
      <c r="E25" s="473">
        <f>Stored_C!G31+Stored_C!M31</f>
        <v>0.623844370046304</v>
      </c>
      <c r="F25" s="474">
        <f>F24+HWP!C25</f>
        <v>0</v>
      </c>
      <c r="G25" s="472">
        <f>G24+HWP!D25</f>
        <v>8.7701664938976016</v>
      </c>
      <c r="H25" s="473">
        <f>H24+HWP!E25</f>
        <v>7.2353873574655205</v>
      </c>
      <c r="I25" s="456"/>
      <c r="J25" s="475">
        <f>Garden!J32</f>
        <v>0</v>
      </c>
      <c r="K25" s="476">
        <f>Paper!J32</f>
        <v>0.18387836470189994</v>
      </c>
      <c r="L25" s="477">
        <f>Wood!J32</f>
        <v>0</v>
      </c>
      <c r="M25" s="478">
        <f>J25*(1-Recovery_OX!E25)*(1-Recovery_OX!F25)</f>
        <v>0</v>
      </c>
      <c r="N25" s="476">
        <f>K25*(1-Recovery_OX!E25)*(1-Recovery_OX!F25)</f>
        <v>0.18387836470189994</v>
      </c>
      <c r="O25" s="477">
        <f>L25*(1-Recovery_OX!E25)*(1-Recovery_OX!F25)</f>
        <v>0</v>
      </c>
    </row>
    <row r="26" spans="2:15">
      <c r="B26" s="470">
        <f t="shared" si="0"/>
        <v>1964</v>
      </c>
      <c r="C26" s="471">
        <f>Stored_C!E32</f>
        <v>0</v>
      </c>
      <c r="D26" s="472">
        <f>Stored_C!F32+Stored_C!L32</f>
        <v>0.7698831006873601</v>
      </c>
      <c r="E26" s="473">
        <f>Stored_C!G32+Stored_C!M32</f>
        <v>0.63515355806707197</v>
      </c>
      <c r="F26" s="474">
        <f>F25+HWP!C26</f>
        <v>0</v>
      </c>
      <c r="G26" s="472">
        <f>G25+HWP!D26</f>
        <v>9.5400495945849624</v>
      </c>
      <c r="H26" s="473">
        <f>H25+HWP!E26</f>
        <v>7.8705409155325921</v>
      </c>
      <c r="I26" s="456"/>
      <c r="J26" s="475">
        <f>Garden!J33</f>
        <v>0</v>
      </c>
      <c r="K26" s="476">
        <f>Paper!J33</f>
        <v>0.19619014863057652</v>
      </c>
      <c r="L26" s="477">
        <f>Wood!J33</f>
        <v>0</v>
      </c>
      <c r="M26" s="478">
        <f>J26*(1-Recovery_OX!E26)*(1-Recovery_OX!F26)</f>
        <v>0</v>
      </c>
      <c r="N26" s="476">
        <f>K26*(1-Recovery_OX!E26)*(1-Recovery_OX!F26)</f>
        <v>0.19619014863057652</v>
      </c>
      <c r="O26" s="477">
        <f>L26*(1-Recovery_OX!E26)*(1-Recovery_OX!F26)</f>
        <v>0</v>
      </c>
    </row>
    <row r="27" spans="2:15">
      <c r="B27" s="470">
        <f t="shared" si="0"/>
        <v>1965</v>
      </c>
      <c r="C27" s="471">
        <f>Stored_C!E33</f>
        <v>0</v>
      </c>
      <c r="D27" s="472">
        <f>Stored_C!F33+Stored_C!L33</f>
        <v>0.78321459705984009</v>
      </c>
      <c r="E27" s="473">
        <f>Stored_C!G33+Stored_C!M33</f>
        <v>0.64615204257436809</v>
      </c>
      <c r="F27" s="474">
        <f>F26+HWP!C27</f>
        <v>0</v>
      </c>
      <c r="G27" s="472">
        <f>G26+HWP!D27</f>
        <v>10.323264191644803</v>
      </c>
      <c r="H27" s="473">
        <f>H26+HWP!E27</f>
        <v>8.5166929581069599</v>
      </c>
      <c r="I27" s="456"/>
      <c r="J27" s="475">
        <f>Garden!J34</f>
        <v>0</v>
      </c>
      <c r="K27" s="476">
        <f>Paper!J34</f>
        <v>0.20811812819889433</v>
      </c>
      <c r="L27" s="477">
        <f>Wood!J34</f>
        <v>0</v>
      </c>
      <c r="M27" s="478">
        <f>J27*(1-Recovery_OX!E27)*(1-Recovery_OX!F27)</f>
        <v>0</v>
      </c>
      <c r="N27" s="476">
        <f>K27*(1-Recovery_OX!E27)*(1-Recovery_OX!F27)</f>
        <v>0.20811812819889433</v>
      </c>
      <c r="O27" s="477">
        <f>L27*(1-Recovery_OX!E27)*(1-Recovery_OX!F27)</f>
        <v>0</v>
      </c>
    </row>
    <row r="28" spans="2:15">
      <c r="B28" s="470">
        <f t="shared" si="0"/>
        <v>1966</v>
      </c>
      <c r="C28" s="471">
        <f>Stored_C!E34</f>
        <v>0</v>
      </c>
      <c r="D28" s="472">
        <f>Stored_C!F34+Stored_C!L34</f>
        <v>0.79643921753087998</v>
      </c>
      <c r="E28" s="473">
        <f>Stored_C!G34+Stored_C!M34</f>
        <v>0.65706235446297601</v>
      </c>
      <c r="F28" s="474">
        <f>F27+HWP!C28</f>
        <v>0</v>
      </c>
      <c r="G28" s="472">
        <f>G27+HWP!D28</f>
        <v>11.119703409175683</v>
      </c>
      <c r="H28" s="473">
        <f>H27+HWP!E28</f>
        <v>9.173755312569936</v>
      </c>
      <c r="I28" s="456"/>
      <c r="J28" s="475">
        <f>Garden!J35</f>
        <v>0</v>
      </c>
      <c r="K28" s="476">
        <f>Paper!J35</f>
        <v>0.21967592773998387</v>
      </c>
      <c r="L28" s="477">
        <f>Wood!J35</f>
        <v>0</v>
      </c>
      <c r="M28" s="478">
        <f>J28*(1-Recovery_OX!E28)*(1-Recovery_OX!F28)</f>
        <v>0</v>
      </c>
      <c r="N28" s="476">
        <f>K28*(1-Recovery_OX!E28)*(1-Recovery_OX!F28)</f>
        <v>0.21967592773998387</v>
      </c>
      <c r="O28" s="477">
        <f>L28*(1-Recovery_OX!E28)*(1-Recovery_OX!F28)</f>
        <v>0</v>
      </c>
    </row>
    <row r="29" spans="2:15">
      <c r="B29" s="470">
        <f t="shared" si="0"/>
        <v>1967</v>
      </c>
      <c r="C29" s="471">
        <f>Stored_C!E35</f>
        <v>0</v>
      </c>
      <c r="D29" s="472">
        <f>Stored_C!F35+Stored_C!L35</f>
        <v>0.8270019083462401</v>
      </c>
      <c r="E29" s="473">
        <f>Stored_C!G35+Stored_C!M35</f>
        <v>0.68227657438564815</v>
      </c>
      <c r="F29" s="474">
        <f>F28+HWP!C29</f>
        <v>0</v>
      </c>
      <c r="G29" s="472">
        <f>G28+HWP!D29</f>
        <v>11.946705317521923</v>
      </c>
      <c r="H29" s="473">
        <f>H28+HWP!E29</f>
        <v>9.8560318869555843</v>
      </c>
      <c r="I29" s="456"/>
      <c r="J29" s="475">
        <f>Garden!J36</f>
        <v>0</v>
      </c>
      <c r="K29" s="476">
        <f>Paper!J36</f>
        <v>0.23088507658325608</v>
      </c>
      <c r="L29" s="477">
        <f>Wood!J36</f>
        <v>0</v>
      </c>
      <c r="M29" s="478">
        <f>J29*(1-Recovery_OX!E29)*(1-Recovery_OX!F29)</f>
        <v>0</v>
      </c>
      <c r="N29" s="476">
        <f>K29*(1-Recovery_OX!E29)*(1-Recovery_OX!F29)</f>
        <v>0.23088507658325608</v>
      </c>
      <c r="O29" s="477">
        <f>L29*(1-Recovery_OX!E29)*(1-Recovery_OX!F29)</f>
        <v>0</v>
      </c>
    </row>
    <row r="30" spans="2:15">
      <c r="B30" s="470">
        <f t="shared" si="0"/>
        <v>1968</v>
      </c>
      <c r="C30" s="471">
        <f>Stored_C!E36</f>
        <v>0</v>
      </c>
      <c r="D30" s="472">
        <f>Stored_C!F36+Stored_C!L36</f>
        <v>0.8462128516300802</v>
      </c>
      <c r="E30" s="473">
        <f>Stored_C!G36+Stored_C!M36</f>
        <v>0.69812560259481604</v>
      </c>
      <c r="F30" s="474">
        <f>F29+HWP!C30</f>
        <v>0</v>
      </c>
      <c r="G30" s="472">
        <f>G29+HWP!D30</f>
        <v>12.792918169152003</v>
      </c>
      <c r="H30" s="473">
        <f>H29+HWP!E30</f>
        <v>10.5541574895504</v>
      </c>
      <c r="I30" s="456"/>
      <c r="J30" s="475">
        <f>Garden!J37</f>
        <v>0</v>
      </c>
      <c r="K30" s="476">
        <f>Paper!J37</f>
        <v>0.24233647145236925</v>
      </c>
      <c r="L30" s="477">
        <f>Wood!J37</f>
        <v>0</v>
      </c>
      <c r="M30" s="478">
        <f>J30*(1-Recovery_OX!E30)*(1-Recovery_OX!F30)</f>
        <v>0</v>
      </c>
      <c r="N30" s="476">
        <f>K30*(1-Recovery_OX!E30)*(1-Recovery_OX!F30)</f>
        <v>0.24233647145236925</v>
      </c>
      <c r="O30" s="477">
        <f>L30*(1-Recovery_OX!E30)*(1-Recovery_OX!F30)</f>
        <v>0</v>
      </c>
    </row>
    <row r="31" spans="2:15">
      <c r="B31" s="470">
        <f t="shared" si="0"/>
        <v>1969</v>
      </c>
      <c r="C31" s="471">
        <f>Stored_C!E37</f>
        <v>0</v>
      </c>
      <c r="D31" s="472">
        <f>Stored_C!F37+Stored_C!L37</f>
        <v>0.86542379491392019</v>
      </c>
      <c r="E31" s="473">
        <f>Stored_C!G37+Stored_C!M37</f>
        <v>0.71397463080398416</v>
      </c>
      <c r="F31" s="474">
        <f>F30+HWP!C31</f>
        <v>0</v>
      </c>
      <c r="G31" s="472">
        <f>G30+HWP!D31</f>
        <v>13.658341964065922</v>
      </c>
      <c r="H31" s="473">
        <f>H30+HWP!E31</f>
        <v>11.268132120354384</v>
      </c>
      <c r="I31" s="456"/>
      <c r="J31" s="475">
        <f>Garden!J38</f>
        <v>0</v>
      </c>
      <c r="K31" s="476">
        <f>Paper!J38</f>
        <v>0.25364229004748223</v>
      </c>
      <c r="L31" s="477">
        <f>Wood!J38</f>
        <v>0</v>
      </c>
      <c r="M31" s="478">
        <f>J31*(1-Recovery_OX!E31)*(1-Recovery_OX!F31)</f>
        <v>0</v>
      </c>
      <c r="N31" s="476">
        <f>K31*(1-Recovery_OX!E31)*(1-Recovery_OX!F31)</f>
        <v>0.25364229004748223</v>
      </c>
      <c r="O31" s="477">
        <f>L31*(1-Recovery_OX!E31)*(1-Recovery_OX!F31)</f>
        <v>0</v>
      </c>
    </row>
    <row r="32" spans="2:15">
      <c r="B32" s="470">
        <f t="shared" si="0"/>
        <v>1970</v>
      </c>
      <c r="C32" s="471">
        <f>Stored_C!E38</f>
        <v>0</v>
      </c>
      <c r="D32" s="472">
        <f>Stored_C!F38+Stored_C!L38</f>
        <v>0.8846347381977604</v>
      </c>
      <c r="E32" s="473">
        <f>Stored_C!G38+Stored_C!M38</f>
        <v>0.72982365901315227</v>
      </c>
      <c r="F32" s="474">
        <f>F31+HWP!C32</f>
        <v>0</v>
      </c>
      <c r="G32" s="472">
        <f>G31+HWP!D32</f>
        <v>14.542976702263683</v>
      </c>
      <c r="H32" s="473">
        <f>H31+HWP!E32</f>
        <v>11.997955779367537</v>
      </c>
      <c r="I32" s="456"/>
      <c r="J32" s="475">
        <f>Garden!J39</f>
        <v>0</v>
      </c>
      <c r="K32" s="476">
        <f>Paper!J39</f>
        <v>0.26481237422439247</v>
      </c>
      <c r="L32" s="477">
        <f>Wood!J39</f>
        <v>0</v>
      </c>
      <c r="M32" s="478">
        <f>J32*(1-Recovery_OX!E32)*(1-Recovery_OX!F32)</f>
        <v>0</v>
      </c>
      <c r="N32" s="476">
        <f>K32*(1-Recovery_OX!E32)*(1-Recovery_OX!F32)</f>
        <v>0.26481237422439247</v>
      </c>
      <c r="O32" s="477">
        <f>L32*(1-Recovery_OX!E32)*(1-Recovery_OX!F32)</f>
        <v>0</v>
      </c>
    </row>
    <row r="33" spans="2:15">
      <c r="B33" s="470">
        <f t="shared" si="0"/>
        <v>1971</v>
      </c>
      <c r="C33" s="471">
        <f>Stored_C!E39</f>
        <v>0</v>
      </c>
      <c r="D33" s="472">
        <f>Stored_C!F39+Stored_C!L39</f>
        <v>0.90384568148160016</v>
      </c>
      <c r="E33" s="473">
        <f>Stored_C!G39+Stored_C!M39</f>
        <v>0.74567268722232027</v>
      </c>
      <c r="F33" s="474">
        <f>F32+HWP!C33</f>
        <v>0</v>
      </c>
      <c r="G33" s="472">
        <f>G32+HWP!D33</f>
        <v>15.446822383745284</v>
      </c>
      <c r="H33" s="473">
        <f>H32+HWP!E33</f>
        <v>12.743628466589858</v>
      </c>
      <c r="I33" s="456"/>
      <c r="J33" s="475">
        <f>Garden!J40</f>
        <v>0</v>
      </c>
      <c r="K33" s="476">
        <f>Paper!J40</f>
        <v>0.27585590046862196</v>
      </c>
      <c r="L33" s="477">
        <f>Wood!J40</f>
        <v>0</v>
      </c>
      <c r="M33" s="478">
        <f>J33*(1-Recovery_OX!E33)*(1-Recovery_OX!F33)</f>
        <v>0</v>
      </c>
      <c r="N33" s="476">
        <f>K33*(1-Recovery_OX!E33)*(1-Recovery_OX!F33)</f>
        <v>0.27585590046862196</v>
      </c>
      <c r="O33" s="477">
        <f>L33*(1-Recovery_OX!E33)*(1-Recovery_OX!F33)</f>
        <v>0</v>
      </c>
    </row>
    <row r="34" spans="2:15">
      <c r="B34" s="470">
        <f t="shared" si="0"/>
        <v>1972</v>
      </c>
      <c r="C34" s="471">
        <f>Stored_C!E40</f>
        <v>0</v>
      </c>
      <c r="D34" s="472">
        <f>Stored_C!F40+Stored_C!L40</f>
        <v>0.92305662476544015</v>
      </c>
      <c r="E34" s="473">
        <f>Stored_C!G40+Stored_C!M40</f>
        <v>0.76152171543148817</v>
      </c>
      <c r="F34" s="474">
        <f>F33+HWP!C34</f>
        <v>0</v>
      </c>
      <c r="G34" s="472">
        <f>G33+HWP!D34</f>
        <v>16.369879008510722</v>
      </c>
      <c r="H34" s="473">
        <f>H33+HWP!E34</f>
        <v>13.505150182021346</v>
      </c>
      <c r="I34" s="456"/>
      <c r="J34" s="475">
        <f>Garden!J41</f>
        <v>0</v>
      </c>
      <c r="K34" s="476">
        <f>Paper!J41</f>
        <v>0.2867814248785599</v>
      </c>
      <c r="L34" s="477">
        <f>Wood!J41</f>
        <v>0</v>
      </c>
      <c r="M34" s="478">
        <f>J34*(1-Recovery_OX!E34)*(1-Recovery_OX!F34)</f>
        <v>0</v>
      </c>
      <c r="N34" s="476">
        <f>K34*(1-Recovery_OX!E34)*(1-Recovery_OX!F34)</f>
        <v>0.2867814248785599</v>
      </c>
      <c r="O34" s="477">
        <f>L34*(1-Recovery_OX!E34)*(1-Recovery_OX!F34)</f>
        <v>0</v>
      </c>
    </row>
    <row r="35" spans="2:15">
      <c r="B35" s="470">
        <f t="shared" si="0"/>
        <v>1973</v>
      </c>
      <c r="C35" s="471">
        <f>Stored_C!E41</f>
        <v>0</v>
      </c>
      <c r="D35" s="472">
        <f>Stored_C!F41+Stored_C!L41</f>
        <v>0.94226756804928036</v>
      </c>
      <c r="E35" s="473">
        <f>Stored_C!G41+Stored_C!M41</f>
        <v>0.77737074364065617</v>
      </c>
      <c r="F35" s="474">
        <f>F34+HWP!C35</f>
        <v>0</v>
      </c>
      <c r="G35" s="472">
        <f>G34+HWP!D35</f>
        <v>17.312146576560004</v>
      </c>
      <c r="H35" s="473">
        <f>H34+HWP!E35</f>
        <v>14.282520925662002</v>
      </c>
      <c r="I35" s="456"/>
      <c r="J35" s="475">
        <f>Garden!J42</f>
        <v>0</v>
      </c>
      <c r="K35" s="476">
        <f>Paper!J42</f>
        <v>0.29759692510746671</v>
      </c>
      <c r="L35" s="477">
        <f>Wood!J42</f>
        <v>0</v>
      </c>
      <c r="M35" s="478">
        <f>J35*(1-Recovery_OX!E35)*(1-Recovery_OX!F35)</f>
        <v>0</v>
      </c>
      <c r="N35" s="476">
        <f>K35*(1-Recovery_OX!E35)*(1-Recovery_OX!F35)</f>
        <v>0.29759692510746671</v>
      </c>
      <c r="O35" s="477">
        <f>L35*(1-Recovery_OX!E35)*(1-Recovery_OX!F35)</f>
        <v>0</v>
      </c>
    </row>
    <row r="36" spans="2:15">
      <c r="B36" s="470">
        <f t="shared" si="0"/>
        <v>1974</v>
      </c>
      <c r="C36" s="471">
        <f>Stored_C!E42</f>
        <v>0</v>
      </c>
      <c r="D36" s="472">
        <f>Stored_C!F42+Stored_C!L42</f>
        <v>0.96147851133312023</v>
      </c>
      <c r="E36" s="473">
        <f>Stored_C!G42+Stored_C!M42</f>
        <v>0.79321977184982417</v>
      </c>
      <c r="F36" s="474">
        <f>F35+HWP!C36</f>
        <v>0</v>
      </c>
      <c r="G36" s="472">
        <f>G35+HWP!D36</f>
        <v>18.273625087893123</v>
      </c>
      <c r="H36" s="473">
        <f>H35+HWP!E36</f>
        <v>15.075740697511826</v>
      </c>
      <c r="I36" s="456"/>
      <c r="J36" s="475">
        <f>Garden!J43</f>
        <v>0</v>
      </c>
      <c r="K36" s="476">
        <f>Paper!J43</f>
        <v>0.30830983946994001</v>
      </c>
      <c r="L36" s="477">
        <f>Wood!J43</f>
        <v>0</v>
      </c>
      <c r="M36" s="478">
        <f>J36*(1-Recovery_OX!E36)*(1-Recovery_OX!F36)</f>
        <v>0</v>
      </c>
      <c r="N36" s="476">
        <f>K36*(1-Recovery_OX!E36)*(1-Recovery_OX!F36)</f>
        <v>0.30830983946994001</v>
      </c>
      <c r="O36" s="477">
        <f>L36*(1-Recovery_OX!E36)*(1-Recovery_OX!F36)</f>
        <v>0</v>
      </c>
    </row>
    <row r="37" spans="2:15">
      <c r="B37" s="470">
        <f t="shared" si="0"/>
        <v>1975</v>
      </c>
      <c r="C37" s="471">
        <f>Stored_C!E43</f>
        <v>0</v>
      </c>
      <c r="D37" s="472">
        <f>Stored_C!F43+Stored_C!L43</f>
        <v>0.98068945461696022</v>
      </c>
      <c r="E37" s="473">
        <f>Stored_C!G43+Stored_C!M43</f>
        <v>0.80906880005899218</v>
      </c>
      <c r="F37" s="474">
        <f>F36+HWP!C37</f>
        <v>0</v>
      </c>
      <c r="G37" s="472">
        <f>G36+HWP!D37</f>
        <v>19.254314542510084</v>
      </c>
      <c r="H37" s="473">
        <f>H36+HWP!E37</f>
        <v>15.884809497570817</v>
      </c>
      <c r="I37" s="456"/>
      <c r="J37" s="475">
        <f>Garden!J44</f>
        <v>0</v>
      </c>
      <c r="K37" s="476">
        <f>Paper!J44</f>
        <v>0.31892710340454095</v>
      </c>
      <c r="L37" s="477">
        <f>Wood!J44</f>
        <v>0</v>
      </c>
      <c r="M37" s="478">
        <f>J37*(1-Recovery_OX!E37)*(1-Recovery_OX!F37)</f>
        <v>0</v>
      </c>
      <c r="N37" s="476">
        <f>K37*(1-Recovery_OX!E37)*(1-Recovery_OX!F37)</f>
        <v>0.31892710340454095</v>
      </c>
      <c r="O37" s="477">
        <f>L37*(1-Recovery_OX!E37)*(1-Recovery_OX!F37)</f>
        <v>0</v>
      </c>
    </row>
    <row r="38" spans="2:15">
      <c r="B38" s="470">
        <f t="shared" si="0"/>
        <v>1976</v>
      </c>
      <c r="C38" s="471">
        <f>Stored_C!E44</f>
        <v>0</v>
      </c>
      <c r="D38" s="472">
        <f>Stored_C!F44+Stored_C!L44</f>
        <v>0.9999003979008001</v>
      </c>
      <c r="E38" s="473">
        <f>Stored_C!G44+Stored_C!M44</f>
        <v>0.82491782826815996</v>
      </c>
      <c r="F38" s="474">
        <f>F37+HWP!C38</f>
        <v>0</v>
      </c>
      <c r="G38" s="472">
        <f>G37+HWP!D38</f>
        <v>20.254214940410883</v>
      </c>
      <c r="H38" s="473">
        <f>H37+HWP!E38</f>
        <v>16.709727325838976</v>
      </c>
      <c r="I38" s="456"/>
      <c r="J38" s="475">
        <f>Garden!J45</f>
        <v>0</v>
      </c>
      <c r="K38" s="476">
        <f>Paper!J45</f>
        <v>0.3294551834713223</v>
      </c>
      <c r="L38" s="477">
        <f>Wood!J45</f>
        <v>0</v>
      </c>
      <c r="M38" s="478">
        <f>J38*(1-Recovery_OX!E38)*(1-Recovery_OX!F38)</f>
        <v>0</v>
      </c>
      <c r="N38" s="476">
        <f>K38*(1-Recovery_OX!E38)*(1-Recovery_OX!F38)</f>
        <v>0.3294551834713223</v>
      </c>
      <c r="O38" s="477">
        <f>L38*(1-Recovery_OX!E38)*(1-Recovery_OX!F38)</f>
        <v>0</v>
      </c>
    </row>
    <row r="39" spans="2:15">
      <c r="B39" s="470">
        <f t="shared" si="0"/>
        <v>1977</v>
      </c>
      <c r="C39" s="471">
        <f>Stored_C!E45</f>
        <v>0</v>
      </c>
      <c r="D39" s="472">
        <f>Stored_C!F45+Stored_C!L45</f>
        <v>1.0191113411846402</v>
      </c>
      <c r="E39" s="473">
        <f>Stored_C!G45+Stored_C!M45</f>
        <v>0.84076685647732807</v>
      </c>
      <c r="F39" s="474">
        <f>F38+HWP!C39</f>
        <v>0</v>
      </c>
      <c r="G39" s="472">
        <f>G38+HWP!D39</f>
        <v>21.273326281595523</v>
      </c>
      <c r="H39" s="473">
        <f>H38+HWP!E39</f>
        <v>17.550494182316303</v>
      </c>
      <c r="I39" s="456"/>
      <c r="J39" s="475">
        <f>Garden!J46</f>
        <v>0</v>
      </c>
      <c r="K39" s="476">
        <f>Paper!J46</f>
        <v>0.33990010905091345</v>
      </c>
      <c r="L39" s="477">
        <f>Wood!J46</f>
        <v>0</v>
      </c>
      <c r="M39" s="478">
        <f>J39*(1-Recovery_OX!E39)*(1-Recovery_OX!F39)</f>
        <v>0</v>
      </c>
      <c r="N39" s="476">
        <f>K39*(1-Recovery_OX!E39)*(1-Recovery_OX!F39)</f>
        <v>0.33990010905091345</v>
      </c>
      <c r="O39" s="477">
        <f>L39*(1-Recovery_OX!E39)*(1-Recovery_OX!F39)</f>
        <v>0</v>
      </c>
    </row>
    <row r="40" spans="2:15">
      <c r="B40" s="470">
        <f t="shared" si="0"/>
        <v>1978</v>
      </c>
      <c r="C40" s="471">
        <f>Stored_C!E46</f>
        <v>0</v>
      </c>
      <c r="D40" s="472">
        <f>Stored_C!F46+Stored_C!L46</f>
        <v>1.0383222844684803</v>
      </c>
      <c r="E40" s="473">
        <f>Stored_C!G46+Stored_C!M46</f>
        <v>0.85661588468649619</v>
      </c>
      <c r="F40" s="474">
        <f>F39+HWP!C40</f>
        <v>0</v>
      </c>
      <c r="G40" s="472">
        <f>G39+HWP!D40</f>
        <v>22.311648566064004</v>
      </c>
      <c r="H40" s="473">
        <f>H39+HWP!E40</f>
        <v>18.407110067002797</v>
      </c>
      <c r="I40" s="456"/>
      <c r="J40" s="475">
        <f>Garden!J47</f>
        <v>0</v>
      </c>
      <c r="K40" s="476">
        <f>Paper!J47</f>
        <v>0.35026750190055095</v>
      </c>
      <c r="L40" s="477">
        <f>Wood!J47</f>
        <v>0</v>
      </c>
      <c r="M40" s="478">
        <f>J40*(1-Recovery_OX!E40)*(1-Recovery_OX!F40)</f>
        <v>0</v>
      </c>
      <c r="N40" s="476">
        <f>K40*(1-Recovery_OX!E40)*(1-Recovery_OX!F40)</f>
        <v>0.35026750190055095</v>
      </c>
      <c r="O40" s="477">
        <f>L40*(1-Recovery_OX!E40)*(1-Recovery_OX!F40)</f>
        <v>0</v>
      </c>
    </row>
    <row r="41" spans="2:15">
      <c r="B41" s="470">
        <f t="shared" si="0"/>
        <v>1979</v>
      </c>
      <c r="C41" s="471">
        <f>Stored_C!E47</f>
        <v>0</v>
      </c>
      <c r="D41" s="472">
        <f>Stored_C!F47+Stored_C!L47</f>
        <v>1.0575332277523202</v>
      </c>
      <c r="E41" s="473">
        <f>Stored_C!G47+Stored_C!M47</f>
        <v>0.87246491289566386</v>
      </c>
      <c r="F41" s="474">
        <f>F40+HWP!C41</f>
        <v>0</v>
      </c>
      <c r="G41" s="472">
        <f>G40+HWP!D41</f>
        <v>23.369181793816324</v>
      </c>
      <c r="H41" s="473">
        <f>H40+HWP!E41</f>
        <v>19.279574979898463</v>
      </c>
      <c r="I41" s="456"/>
      <c r="J41" s="475">
        <f>Garden!J48</f>
        <v>0</v>
      </c>
      <c r="K41" s="476">
        <f>Paper!J48</f>
        <v>0.36056260371193921</v>
      </c>
      <c r="L41" s="477">
        <f>Wood!J48</f>
        <v>0</v>
      </c>
      <c r="M41" s="478">
        <f>J41*(1-Recovery_OX!E41)*(1-Recovery_OX!F41)</f>
        <v>0</v>
      </c>
      <c r="N41" s="476">
        <f>K41*(1-Recovery_OX!E41)*(1-Recovery_OX!F41)</f>
        <v>0.36056260371193921</v>
      </c>
      <c r="O41" s="477">
        <f>L41*(1-Recovery_OX!E41)*(1-Recovery_OX!F41)</f>
        <v>0</v>
      </c>
    </row>
    <row r="42" spans="2:15">
      <c r="B42" s="470">
        <f t="shared" si="0"/>
        <v>1980</v>
      </c>
      <c r="C42" s="471">
        <f>Stored_C!E48</f>
        <v>0</v>
      </c>
      <c r="D42" s="472">
        <f>Stored_C!F48+Stored_C!L48</f>
        <v>1.0767441710361603</v>
      </c>
      <c r="E42" s="473">
        <f>Stored_C!G48+Stored_C!M48</f>
        <v>0.88831394110483208</v>
      </c>
      <c r="F42" s="474">
        <f>F41+HWP!C42</f>
        <v>0</v>
      </c>
      <c r="G42" s="472">
        <f>G41+HWP!D42</f>
        <v>24.445925964852485</v>
      </c>
      <c r="H42" s="473">
        <f>H41+HWP!E42</f>
        <v>20.167888921003296</v>
      </c>
      <c r="I42" s="456"/>
      <c r="J42" s="475">
        <f>Garden!J49</f>
        <v>0</v>
      </c>
      <c r="K42" s="476">
        <f>Paper!J49</f>
        <v>0.3707903018060294</v>
      </c>
      <c r="L42" s="477">
        <f>Wood!J49</f>
        <v>0</v>
      </c>
      <c r="M42" s="478">
        <f>J42*(1-Recovery_OX!E42)*(1-Recovery_OX!F42)</f>
        <v>0</v>
      </c>
      <c r="N42" s="476">
        <f>K42*(1-Recovery_OX!E42)*(1-Recovery_OX!F42)</f>
        <v>0.3707903018060294</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24.445925964852485</v>
      </c>
      <c r="H43" s="473">
        <f>H42+HWP!E43</f>
        <v>20.167888921003296</v>
      </c>
      <c r="I43" s="456"/>
      <c r="J43" s="475">
        <f>Garden!J50</f>
        <v>0</v>
      </c>
      <c r="K43" s="476">
        <f>Paper!J50</f>
        <v>0.38095515309067202</v>
      </c>
      <c r="L43" s="477">
        <f>Wood!J50</f>
        <v>0</v>
      </c>
      <c r="M43" s="478">
        <f>J43*(1-Recovery_OX!E43)*(1-Recovery_OX!F43)</f>
        <v>0</v>
      </c>
      <c r="N43" s="476">
        <f>K43*(1-Recovery_OX!E43)*(1-Recovery_OX!F43)</f>
        <v>0.38095515309067202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24.445925964852485</v>
      </c>
      <c r="H44" s="473">
        <f>H43+HWP!E44</f>
        <v>20.167888921003296</v>
      </c>
      <c r="I44" s="456"/>
      <c r="J44" s="475">
        <f>Garden!J51</f>
        <v>0</v>
      </c>
      <c r="K44" s="476">
        <f>Paper!J51</f>
        <v>0.35520023040306703</v>
      </c>
      <c r="L44" s="477">
        <f>Wood!J51</f>
        <v>0</v>
      </c>
      <c r="M44" s="478">
        <f>J44*(1-Recovery_OX!E44)*(1-Recovery_OX!F44)</f>
        <v>0</v>
      </c>
      <c r="N44" s="476">
        <f>K44*(1-Recovery_OX!E44)*(1-Recovery_OX!F44)</f>
        <v>0.35520023040306703</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24.445925964852485</v>
      </c>
      <c r="H45" s="473">
        <f>H44+HWP!E45</f>
        <v>20.167888921003296</v>
      </c>
      <c r="I45" s="456"/>
      <c r="J45" s="475">
        <f>Garden!J52</f>
        <v>0</v>
      </c>
      <c r="K45" s="476">
        <f>Paper!J52</f>
        <v>0.3311864996569886</v>
      </c>
      <c r="L45" s="477">
        <f>Wood!J52</f>
        <v>0</v>
      </c>
      <c r="M45" s="478">
        <f>J45*(1-Recovery_OX!E45)*(1-Recovery_OX!F45)</f>
        <v>0</v>
      </c>
      <c r="N45" s="476">
        <f>K45*(1-Recovery_OX!E45)*(1-Recovery_OX!F45)</f>
        <v>0.3311864996569886</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24.445925964852485</v>
      </c>
      <c r="H46" s="473">
        <f>H45+HWP!E46</f>
        <v>20.167888921003296</v>
      </c>
      <c r="I46" s="456"/>
      <c r="J46" s="475">
        <f>Garden!J53</f>
        <v>0</v>
      </c>
      <c r="K46" s="476">
        <f>Paper!J53</f>
        <v>0.30879624551645962</v>
      </c>
      <c r="L46" s="477">
        <f>Wood!J53</f>
        <v>0</v>
      </c>
      <c r="M46" s="478">
        <f>J46*(1-Recovery_OX!E46)*(1-Recovery_OX!F46)</f>
        <v>0</v>
      </c>
      <c r="N46" s="476">
        <f>K46*(1-Recovery_OX!E46)*(1-Recovery_OX!F46)</f>
        <v>0.30879624551645962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24.445925964852485</v>
      </c>
      <c r="H47" s="473">
        <f>H46+HWP!E47</f>
        <v>20.167888921003296</v>
      </c>
      <c r="I47" s="456"/>
      <c r="J47" s="475">
        <f>Garden!J54</f>
        <v>0</v>
      </c>
      <c r="K47" s="476">
        <f>Paper!J54</f>
        <v>0.28791971092970686</v>
      </c>
      <c r="L47" s="477">
        <f>Wood!J54</f>
        <v>0</v>
      </c>
      <c r="M47" s="478">
        <f>J47*(1-Recovery_OX!E47)*(1-Recovery_OX!F47)</f>
        <v>0</v>
      </c>
      <c r="N47" s="476">
        <f>K47*(1-Recovery_OX!E47)*(1-Recovery_OX!F47)</f>
        <v>0.28791971092970686</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24.445925964852485</v>
      </c>
      <c r="H48" s="473">
        <f>H47+HWP!E48</f>
        <v>20.167888921003296</v>
      </c>
      <c r="I48" s="456"/>
      <c r="J48" s="475">
        <f>Garden!J55</f>
        <v>0</v>
      </c>
      <c r="K48" s="476">
        <f>Paper!J55</f>
        <v>0.26845455909996579</v>
      </c>
      <c r="L48" s="477">
        <f>Wood!J55</f>
        <v>0</v>
      </c>
      <c r="M48" s="478">
        <f>J48*(1-Recovery_OX!E48)*(1-Recovery_OX!F48)</f>
        <v>0</v>
      </c>
      <c r="N48" s="476">
        <f>K48*(1-Recovery_OX!E48)*(1-Recovery_OX!F48)</f>
        <v>0.26845455909996579</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24.445925964852485</v>
      </c>
      <c r="H49" s="473">
        <f>H48+HWP!E49</f>
        <v>20.167888921003296</v>
      </c>
      <c r="I49" s="456"/>
      <c r="J49" s="475">
        <f>Garden!J56</f>
        <v>0</v>
      </c>
      <c r="K49" s="476">
        <f>Paper!J56</f>
        <v>0.25030537183038426</v>
      </c>
      <c r="L49" s="477">
        <f>Wood!J56</f>
        <v>0</v>
      </c>
      <c r="M49" s="478">
        <f>J49*(1-Recovery_OX!E49)*(1-Recovery_OX!F49)</f>
        <v>0</v>
      </c>
      <c r="N49" s="476">
        <f>K49*(1-Recovery_OX!E49)*(1-Recovery_OX!F49)</f>
        <v>0.25030537183038426</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24.445925964852485</v>
      </c>
      <c r="H50" s="473">
        <f>H49+HWP!E50</f>
        <v>20.167888921003296</v>
      </c>
      <c r="I50" s="456"/>
      <c r="J50" s="475">
        <f>Garden!J57</f>
        <v>0</v>
      </c>
      <c r="K50" s="476">
        <f>Paper!J57</f>
        <v>0.23338318178391071</v>
      </c>
      <c r="L50" s="477">
        <f>Wood!J57</f>
        <v>0</v>
      </c>
      <c r="M50" s="478">
        <f>J50*(1-Recovery_OX!E50)*(1-Recovery_OX!F50)</f>
        <v>0</v>
      </c>
      <c r="N50" s="476">
        <f>K50*(1-Recovery_OX!E50)*(1-Recovery_OX!F50)</f>
        <v>0.23338318178391071</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24.445925964852485</v>
      </c>
      <c r="H51" s="473">
        <f>H50+HWP!E51</f>
        <v>20.167888921003296</v>
      </c>
      <c r="I51" s="456"/>
      <c r="J51" s="475">
        <f>Garden!J58</f>
        <v>0</v>
      </c>
      <c r="K51" s="476">
        <f>Paper!J58</f>
        <v>0.21760503636530484</v>
      </c>
      <c r="L51" s="477">
        <f>Wood!J58</f>
        <v>0</v>
      </c>
      <c r="M51" s="478">
        <f>J51*(1-Recovery_OX!E51)*(1-Recovery_OX!F51)</f>
        <v>0</v>
      </c>
      <c r="N51" s="476">
        <f>K51*(1-Recovery_OX!E51)*(1-Recovery_OX!F51)</f>
        <v>0.21760503636530484</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24.445925964852485</v>
      </c>
      <c r="H52" s="473">
        <f>H51+HWP!E52</f>
        <v>20.167888921003296</v>
      </c>
      <c r="I52" s="456"/>
      <c r="J52" s="475">
        <f>Garden!J59</f>
        <v>0</v>
      </c>
      <c r="K52" s="476">
        <f>Paper!J59</f>
        <v>0.20289359108741936</v>
      </c>
      <c r="L52" s="477">
        <f>Wood!J59</f>
        <v>0</v>
      </c>
      <c r="M52" s="478">
        <f>J52*(1-Recovery_OX!E52)*(1-Recovery_OX!F52)</f>
        <v>0</v>
      </c>
      <c r="N52" s="476">
        <f>K52*(1-Recovery_OX!E52)*(1-Recovery_OX!F52)</f>
        <v>0.20289359108741936</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24.445925964852485</v>
      </c>
      <c r="H53" s="473">
        <f>H52+HWP!E53</f>
        <v>20.167888921003296</v>
      </c>
      <c r="I53" s="456"/>
      <c r="J53" s="475">
        <f>Garden!J60</f>
        <v>0</v>
      </c>
      <c r="K53" s="476">
        <f>Paper!J60</f>
        <v>0.18917673042843439</v>
      </c>
      <c r="L53" s="477">
        <f>Wood!J60</f>
        <v>0</v>
      </c>
      <c r="M53" s="478">
        <f>J53*(1-Recovery_OX!E53)*(1-Recovery_OX!F53)</f>
        <v>0</v>
      </c>
      <c r="N53" s="476">
        <f>K53*(1-Recovery_OX!E53)*(1-Recovery_OX!F53)</f>
        <v>0.18917673042843439</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24.445925964852485</v>
      </c>
      <c r="H54" s="473">
        <f>H53+HWP!E54</f>
        <v>20.167888921003296</v>
      </c>
      <c r="I54" s="456"/>
      <c r="J54" s="475">
        <f>Garden!J61</f>
        <v>0</v>
      </c>
      <c r="K54" s="476">
        <f>Paper!J61</f>
        <v>0.1763872143214858</v>
      </c>
      <c r="L54" s="477">
        <f>Wood!J61</f>
        <v>0</v>
      </c>
      <c r="M54" s="478">
        <f>J54*(1-Recovery_OX!E54)*(1-Recovery_OX!F54)</f>
        <v>0</v>
      </c>
      <c r="N54" s="476">
        <f>K54*(1-Recovery_OX!E54)*(1-Recovery_OX!F54)</f>
        <v>0.1763872143214858</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24.445925964852485</v>
      </c>
      <c r="H55" s="473">
        <f>H54+HWP!E55</f>
        <v>20.167888921003296</v>
      </c>
      <c r="I55" s="456"/>
      <c r="J55" s="475">
        <f>Garden!J62</f>
        <v>0</v>
      </c>
      <c r="K55" s="476">
        <f>Paper!J62</f>
        <v>0.16446234854377931</v>
      </c>
      <c r="L55" s="477">
        <f>Wood!J62</f>
        <v>0</v>
      </c>
      <c r="M55" s="478">
        <f>J55*(1-Recovery_OX!E55)*(1-Recovery_OX!F55)</f>
        <v>0</v>
      </c>
      <c r="N55" s="476">
        <f>K55*(1-Recovery_OX!E55)*(1-Recovery_OX!F55)</f>
        <v>0.16446234854377931</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24.445925964852485</v>
      </c>
      <c r="H56" s="473">
        <f>H55+HWP!E56</f>
        <v>20.167888921003296</v>
      </c>
      <c r="I56" s="456"/>
      <c r="J56" s="475">
        <f>Garden!J63</f>
        <v>0</v>
      </c>
      <c r="K56" s="476">
        <f>Paper!J63</f>
        <v>0.15334367738943785</v>
      </c>
      <c r="L56" s="477">
        <f>Wood!J63</f>
        <v>0</v>
      </c>
      <c r="M56" s="478">
        <f>J56*(1-Recovery_OX!E56)*(1-Recovery_OX!F56)</f>
        <v>0</v>
      </c>
      <c r="N56" s="476">
        <f>K56*(1-Recovery_OX!E56)*(1-Recovery_OX!F56)</f>
        <v>0.15334367738943785</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24.445925964852485</v>
      </c>
      <c r="H57" s="473">
        <f>H56+HWP!E57</f>
        <v>20.167888921003296</v>
      </c>
      <c r="I57" s="456"/>
      <c r="J57" s="475">
        <f>Garden!J64</f>
        <v>0</v>
      </c>
      <c r="K57" s="476">
        <f>Paper!J64</f>
        <v>0.14297669711956335</v>
      </c>
      <c r="L57" s="477">
        <f>Wood!J64</f>
        <v>0</v>
      </c>
      <c r="M57" s="478">
        <f>J57*(1-Recovery_OX!E57)*(1-Recovery_OX!F57)</f>
        <v>0</v>
      </c>
      <c r="N57" s="476">
        <f>K57*(1-Recovery_OX!E57)*(1-Recovery_OX!F57)</f>
        <v>0.14297669711956335</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24.445925964852485</v>
      </c>
      <c r="H58" s="473">
        <f>H57+HWP!E58</f>
        <v>20.167888921003296</v>
      </c>
      <c r="I58" s="456"/>
      <c r="J58" s="475">
        <f>Garden!J65</f>
        <v>0</v>
      </c>
      <c r="K58" s="476">
        <f>Paper!J65</f>
        <v>0.13331058878484545</v>
      </c>
      <c r="L58" s="477">
        <f>Wood!J65</f>
        <v>0</v>
      </c>
      <c r="M58" s="478">
        <f>J58*(1-Recovery_OX!E58)*(1-Recovery_OX!F58)</f>
        <v>0</v>
      </c>
      <c r="N58" s="476">
        <f>K58*(1-Recovery_OX!E58)*(1-Recovery_OX!F58)</f>
        <v>0.13331058878484545</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24.445925964852485</v>
      </c>
      <c r="H59" s="473">
        <f>H58+HWP!E59</f>
        <v>20.167888921003296</v>
      </c>
      <c r="I59" s="456"/>
      <c r="J59" s="475">
        <f>Garden!J66</f>
        <v>0</v>
      </c>
      <c r="K59" s="476">
        <f>Paper!J66</f>
        <v>0.12429796911101312</v>
      </c>
      <c r="L59" s="477">
        <f>Wood!J66</f>
        <v>0</v>
      </c>
      <c r="M59" s="478">
        <f>J59*(1-Recovery_OX!E59)*(1-Recovery_OX!F59)</f>
        <v>0</v>
      </c>
      <c r="N59" s="476">
        <f>K59*(1-Recovery_OX!E59)*(1-Recovery_OX!F59)</f>
        <v>0.12429796911101312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24.445925964852485</v>
      </c>
      <c r="H60" s="473">
        <f>H59+HWP!E60</f>
        <v>20.167888921003296</v>
      </c>
      <c r="I60" s="456"/>
      <c r="J60" s="475">
        <f>Garden!J67</f>
        <v>0</v>
      </c>
      <c r="K60" s="476">
        <f>Paper!J67</f>
        <v>0.11589465822596909</v>
      </c>
      <c r="L60" s="477">
        <f>Wood!J67</f>
        <v>0</v>
      </c>
      <c r="M60" s="478">
        <f>J60*(1-Recovery_OX!E60)*(1-Recovery_OX!F60)</f>
        <v>0</v>
      </c>
      <c r="N60" s="476">
        <f>K60*(1-Recovery_OX!E60)*(1-Recovery_OX!F60)</f>
        <v>0.11589465822596909</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24.445925964852485</v>
      </c>
      <c r="H61" s="473">
        <f>H60+HWP!E61</f>
        <v>20.167888921003296</v>
      </c>
      <c r="I61" s="456"/>
      <c r="J61" s="475">
        <f>Garden!J68</f>
        <v>0</v>
      </c>
      <c r="K61" s="476">
        <f>Paper!J68</f>
        <v>0.10805946309000566</v>
      </c>
      <c r="L61" s="477">
        <f>Wood!J68</f>
        <v>0</v>
      </c>
      <c r="M61" s="478">
        <f>J61*(1-Recovery_OX!E61)*(1-Recovery_OX!F61)</f>
        <v>0</v>
      </c>
      <c r="N61" s="476">
        <f>K61*(1-Recovery_OX!E61)*(1-Recovery_OX!F61)</f>
        <v>0.10805946309000566</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24.445925964852485</v>
      </c>
      <c r="H62" s="473">
        <f>H61+HWP!E62</f>
        <v>20.167888921003296</v>
      </c>
      <c r="I62" s="456"/>
      <c r="J62" s="475">
        <f>Garden!J69</f>
        <v>0</v>
      </c>
      <c r="K62" s="476">
        <f>Paper!J69</f>
        <v>0.1007539755674762</v>
      </c>
      <c r="L62" s="477">
        <f>Wood!J69</f>
        <v>0</v>
      </c>
      <c r="M62" s="478">
        <f>J62*(1-Recovery_OX!E62)*(1-Recovery_OX!F62)</f>
        <v>0</v>
      </c>
      <c r="N62" s="476">
        <f>K62*(1-Recovery_OX!E62)*(1-Recovery_OX!F62)</f>
        <v>0.1007539755674762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24.445925964852485</v>
      </c>
      <c r="H63" s="473">
        <f>H62+HWP!E63</f>
        <v>20.167888921003296</v>
      </c>
      <c r="I63" s="456"/>
      <c r="J63" s="475">
        <f>Garden!J70</f>
        <v>0</v>
      </c>
      <c r="K63" s="476">
        <f>Paper!J70</f>
        <v>9.3942384150069724E-2</v>
      </c>
      <c r="L63" s="477">
        <f>Wood!J70</f>
        <v>0</v>
      </c>
      <c r="M63" s="478">
        <f>J63*(1-Recovery_OX!E63)*(1-Recovery_OX!F63)</f>
        <v>0</v>
      </c>
      <c r="N63" s="476">
        <f>K63*(1-Recovery_OX!E63)*(1-Recovery_OX!F63)</f>
        <v>9.3942384150069724E-2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24.445925964852485</v>
      </c>
      <c r="H64" s="473">
        <f>H63+HWP!E64</f>
        <v>20.167888921003296</v>
      </c>
      <c r="I64" s="456"/>
      <c r="J64" s="475">
        <f>Garden!J71</f>
        <v>0</v>
      </c>
      <c r="K64" s="476">
        <f>Paper!J71</f>
        <v>8.7591298408755514E-2</v>
      </c>
      <c r="L64" s="477">
        <f>Wood!J71</f>
        <v>0</v>
      </c>
      <c r="M64" s="478">
        <f>J64*(1-Recovery_OX!E64)*(1-Recovery_OX!F64)</f>
        <v>0</v>
      </c>
      <c r="N64" s="476">
        <f>K64*(1-Recovery_OX!E64)*(1-Recovery_OX!F64)</f>
        <v>8.7591298408755514E-2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24.445925964852485</v>
      </c>
      <c r="H65" s="473">
        <f>H64+HWP!E65</f>
        <v>20.167888921003296</v>
      </c>
      <c r="I65" s="456"/>
      <c r="J65" s="475">
        <f>Garden!J72</f>
        <v>0</v>
      </c>
      <c r="K65" s="476">
        <f>Paper!J72</f>
        <v>8.166958531386137E-2</v>
      </c>
      <c r="L65" s="477">
        <f>Wood!J72</f>
        <v>0</v>
      </c>
      <c r="M65" s="478">
        <f>J65*(1-Recovery_OX!E65)*(1-Recovery_OX!F65)</f>
        <v>0</v>
      </c>
      <c r="N65" s="476">
        <f>K65*(1-Recovery_OX!E65)*(1-Recovery_OX!F65)</f>
        <v>8.166958531386137E-2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24.445925964852485</v>
      </c>
      <c r="H66" s="473">
        <f>H65+HWP!E66</f>
        <v>20.167888921003296</v>
      </c>
      <c r="I66" s="456"/>
      <c r="J66" s="475">
        <f>Garden!J73</f>
        <v>0</v>
      </c>
      <c r="K66" s="476">
        <f>Paper!J73</f>
        <v>7.614821662092594E-2</v>
      </c>
      <c r="L66" s="477">
        <f>Wood!J73</f>
        <v>0</v>
      </c>
      <c r="M66" s="478">
        <f>J66*(1-Recovery_OX!E66)*(1-Recovery_OX!F66)</f>
        <v>0</v>
      </c>
      <c r="N66" s="476">
        <f>K66*(1-Recovery_OX!E66)*(1-Recovery_OX!F66)</f>
        <v>7.614821662092594E-2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24.445925964852485</v>
      </c>
      <c r="H67" s="473">
        <f>H66+HWP!E67</f>
        <v>20.167888921003296</v>
      </c>
      <c r="I67" s="456"/>
      <c r="J67" s="475">
        <f>Garden!J74</f>
        <v>0</v>
      </c>
      <c r="K67" s="476">
        <f>Paper!J74</f>
        <v>7.1000126574210745E-2</v>
      </c>
      <c r="L67" s="477">
        <f>Wood!J74</f>
        <v>0</v>
      </c>
      <c r="M67" s="478">
        <f>J67*(1-Recovery_OX!E67)*(1-Recovery_OX!F67)</f>
        <v>0</v>
      </c>
      <c r="N67" s="476">
        <f>K67*(1-Recovery_OX!E67)*(1-Recovery_OX!F67)</f>
        <v>7.1000126574210745E-2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24.445925964852485</v>
      </c>
      <c r="H68" s="473">
        <f>H67+HWP!E68</f>
        <v>20.167888921003296</v>
      </c>
      <c r="I68" s="456"/>
      <c r="J68" s="475">
        <f>Garden!J75</f>
        <v>0</v>
      </c>
      <c r="K68" s="476">
        <f>Paper!J75</f>
        <v>6.6200079230334191E-2</v>
      </c>
      <c r="L68" s="477">
        <f>Wood!J75</f>
        <v>0</v>
      </c>
      <c r="M68" s="478">
        <f>J68*(1-Recovery_OX!E68)*(1-Recovery_OX!F68)</f>
        <v>0</v>
      </c>
      <c r="N68" s="476">
        <f>K68*(1-Recovery_OX!E68)*(1-Recovery_OX!F68)</f>
        <v>6.6200079230334191E-2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24.445925964852485</v>
      </c>
      <c r="H69" s="473">
        <f>H68+HWP!E69</f>
        <v>20.167888921003296</v>
      </c>
      <c r="I69" s="456"/>
      <c r="J69" s="475">
        <f>Garden!J76</f>
        <v>0</v>
      </c>
      <c r="K69" s="476">
        <f>Paper!J76</f>
        <v>6.1724544751647722E-2</v>
      </c>
      <c r="L69" s="477">
        <f>Wood!J76</f>
        <v>0</v>
      </c>
      <c r="M69" s="478">
        <f>J69*(1-Recovery_OX!E69)*(1-Recovery_OX!F69)</f>
        <v>0</v>
      </c>
      <c r="N69" s="476">
        <f>K69*(1-Recovery_OX!E69)*(1-Recovery_OX!F69)</f>
        <v>6.1724544751647722E-2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24.445925964852485</v>
      </c>
      <c r="H70" s="473">
        <f>H69+HWP!E70</f>
        <v>20.167888921003296</v>
      </c>
      <c r="I70" s="456"/>
      <c r="J70" s="475">
        <f>Garden!J77</f>
        <v>0</v>
      </c>
      <c r="K70" s="476">
        <f>Paper!J77</f>
        <v>5.7551584062944472E-2</v>
      </c>
      <c r="L70" s="477">
        <f>Wood!J77</f>
        <v>0</v>
      </c>
      <c r="M70" s="478">
        <f>J70*(1-Recovery_OX!E70)*(1-Recovery_OX!F70)</f>
        <v>0</v>
      </c>
      <c r="N70" s="476">
        <f>K70*(1-Recovery_OX!E70)*(1-Recovery_OX!F70)</f>
        <v>5.7551584062944472E-2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24.445925964852485</v>
      </c>
      <c r="H71" s="473">
        <f>H70+HWP!E71</f>
        <v>20.167888921003296</v>
      </c>
      <c r="I71" s="456"/>
      <c r="J71" s="475">
        <f>Garden!J78</f>
        <v>0</v>
      </c>
      <c r="K71" s="476">
        <f>Paper!J78</f>
        <v>5.3660741306087091E-2</v>
      </c>
      <c r="L71" s="477">
        <f>Wood!J78</f>
        <v>0</v>
      </c>
      <c r="M71" s="478">
        <f>J71*(1-Recovery_OX!E71)*(1-Recovery_OX!F71)</f>
        <v>0</v>
      </c>
      <c r="N71" s="476">
        <f>K71*(1-Recovery_OX!E71)*(1-Recovery_OX!F71)</f>
        <v>5.3660741306087091E-2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24.445925964852485</v>
      </c>
      <c r="H72" s="473">
        <f>H71+HWP!E72</f>
        <v>20.167888921003296</v>
      </c>
      <c r="I72" s="456"/>
      <c r="J72" s="475">
        <f>Garden!J79</f>
        <v>0</v>
      </c>
      <c r="K72" s="476">
        <f>Paper!J79</f>
        <v>5.0032943565367451E-2</v>
      </c>
      <c r="L72" s="477">
        <f>Wood!J79</f>
        <v>0</v>
      </c>
      <c r="M72" s="478">
        <f>J72*(1-Recovery_OX!E72)*(1-Recovery_OX!F72)</f>
        <v>0</v>
      </c>
      <c r="N72" s="476">
        <f>K72*(1-Recovery_OX!E72)*(1-Recovery_OX!F72)</f>
        <v>5.0032943565367451E-2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24.445925964852485</v>
      </c>
      <c r="H73" s="473">
        <f>H72+HWP!E73</f>
        <v>20.167888921003296</v>
      </c>
      <c r="I73" s="456"/>
      <c r="J73" s="475">
        <f>Garden!J80</f>
        <v>0</v>
      </c>
      <c r="K73" s="476">
        <f>Paper!J80</f>
        <v>4.6650407372051686E-2</v>
      </c>
      <c r="L73" s="477">
        <f>Wood!J80</f>
        <v>0</v>
      </c>
      <c r="M73" s="478">
        <f>J73*(1-Recovery_OX!E73)*(1-Recovery_OX!F73)</f>
        <v>0</v>
      </c>
      <c r="N73" s="476">
        <f>K73*(1-Recovery_OX!E73)*(1-Recovery_OX!F73)</f>
        <v>4.6650407372051686E-2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24.445925964852485</v>
      </c>
      <c r="H74" s="473">
        <f>H73+HWP!E74</f>
        <v>20.167888921003296</v>
      </c>
      <c r="I74" s="456"/>
      <c r="J74" s="475">
        <f>Garden!J81</f>
        <v>0</v>
      </c>
      <c r="K74" s="476">
        <f>Paper!J81</f>
        <v>4.3496551529795882E-2</v>
      </c>
      <c r="L74" s="477">
        <f>Wood!J81</f>
        <v>0</v>
      </c>
      <c r="M74" s="478">
        <f>J74*(1-Recovery_OX!E74)*(1-Recovery_OX!F74)</f>
        <v>0</v>
      </c>
      <c r="N74" s="476">
        <f>K74*(1-Recovery_OX!E74)*(1-Recovery_OX!F74)</f>
        <v>4.3496551529795882E-2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24.445925964852485</v>
      </c>
      <c r="H75" s="473">
        <f>H74+HWP!E75</f>
        <v>20.167888921003296</v>
      </c>
      <c r="I75" s="456"/>
      <c r="J75" s="475">
        <f>Garden!J82</f>
        <v>0</v>
      </c>
      <c r="K75" s="476">
        <f>Paper!J82</f>
        <v>4.0555915833602296E-2</v>
      </c>
      <c r="L75" s="477">
        <f>Wood!J82</f>
        <v>0</v>
      </c>
      <c r="M75" s="478">
        <f>J75*(1-Recovery_OX!E75)*(1-Recovery_OX!F75)</f>
        <v>0</v>
      </c>
      <c r="N75" s="476">
        <f>K75*(1-Recovery_OX!E75)*(1-Recovery_OX!F75)</f>
        <v>4.0555915833602296E-2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24.445925964852485</v>
      </c>
      <c r="H76" s="473">
        <f>H75+HWP!E76</f>
        <v>20.167888921003296</v>
      </c>
      <c r="I76" s="456"/>
      <c r="J76" s="475">
        <f>Garden!J83</f>
        <v>0</v>
      </c>
      <c r="K76" s="476">
        <f>Paper!J83</f>
        <v>3.7814085283876572E-2</v>
      </c>
      <c r="L76" s="477">
        <f>Wood!J83</f>
        <v>0</v>
      </c>
      <c r="M76" s="478">
        <f>J76*(1-Recovery_OX!E76)*(1-Recovery_OX!F76)</f>
        <v>0</v>
      </c>
      <c r="N76" s="476">
        <f>K76*(1-Recovery_OX!E76)*(1-Recovery_OX!F76)</f>
        <v>3.7814085283876572E-2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24.445925964852485</v>
      </c>
      <c r="H77" s="473">
        <f>H76+HWP!E77</f>
        <v>20.167888921003296</v>
      </c>
      <c r="I77" s="456"/>
      <c r="J77" s="475">
        <f>Garden!J84</f>
        <v>0</v>
      </c>
      <c r="K77" s="476">
        <f>Paper!J84</f>
        <v>3.5257619424082988E-2</v>
      </c>
      <c r="L77" s="477">
        <f>Wood!J84</f>
        <v>0</v>
      </c>
      <c r="M77" s="478">
        <f>J77*(1-Recovery_OX!E77)*(1-Recovery_OX!F77)</f>
        <v>0</v>
      </c>
      <c r="N77" s="476">
        <f>K77*(1-Recovery_OX!E77)*(1-Recovery_OX!F77)</f>
        <v>3.5257619424082988E-2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24.445925964852485</v>
      </c>
      <c r="H78" s="473">
        <f>H77+HWP!E78</f>
        <v>20.167888921003296</v>
      </c>
      <c r="I78" s="456"/>
      <c r="J78" s="475">
        <f>Garden!J85</f>
        <v>0</v>
      </c>
      <c r="K78" s="476">
        <f>Paper!J85</f>
        <v>3.2873986455610897E-2</v>
      </c>
      <c r="L78" s="477">
        <f>Wood!J85</f>
        <v>0</v>
      </c>
      <c r="M78" s="478">
        <f>J78*(1-Recovery_OX!E78)*(1-Recovery_OX!F78)</f>
        <v>0</v>
      </c>
      <c r="N78" s="476">
        <f>K78*(1-Recovery_OX!E78)*(1-Recovery_OX!F78)</f>
        <v>3.2873986455610897E-2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24.445925964852485</v>
      </c>
      <c r="H79" s="473">
        <f>H78+HWP!E79</f>
        <v>20.167888921003296</v>
      </c>
      <c r="I79" s="456"/>
      <c r="J79" s="475">
        <f>Garden!J86</f>
        <v>0</v>
      </c>
      <c r="K79" s="476">
        <f>Paper!J86</f>
        <v>3.0651501806883447E-2</v>
      </c>
      <c r="L79" s="477">
        <f>Wood!J86</f>
        <v>0</v>
      </c>
      <c r="M79" s="478">
        <f>J79*(1-Recovery_OX!E79)*(1-Recovery_OX!F79)</f>
        <v>0</v>
      </c>
      <c r="N79" s="476">
        <f>K79*(1-Recovery_OX!E79)*(1-Recovery_OX!F79)</f>
        <v>3.0651501806883447E-2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24.445925964852485</v>
      </c>
      <c r="H80" s="473">
        <f>H79+HWP!E80</f>
        <v>20.167888921003296</v>
      </c>
      <c r="I80" s="456"/>
      <c r="J80" s="475">
        <f>Garden!J87</f>
        <v>0</v>
      </c>
      <c r="K80" s="476">
        <f>Paper!J87</f>
        <v>2.8579270855574133E-2</v>
      </c>
      <c r="L80" s="477">
        <f>Wood!J87</f>
        <v>0</v>
      </c>
      <c r="M80" s="478">
        <f>J80*(1-Recovery_OX!E80)*(1-Recovery_OX!F80)</f>
        <v>0</v>
      </c>
      <c r="N80" s="476">
        <f>K80*(1-Recovery_OX!E80)*(1-Recovery_OX!F80)</f>
        <v>2.8579270855574133E-2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24.445925964852485</v>
      </c>
      <c r="H81" s="473">
        <f>H80+HWP!E81</f>
        <v>20.167888921003296</v>
      </c>
      <c r="I81" s="456"/>
      <c r="J81" s="475">
        <f>Garden!J88</f>
        <v>0</v>
      </c>
      <c r="K81" s="476">
        <f>Paper!J88</f>
        <v>2.66471355231555E-2</v>
      </c>
      <c r="L81" s="477">
        <f>Wood!J88</f>
        <v>0</v>
      </c>
      <c r="M81" s="478">
        <f>J81*(1-Recovery_OX!E81)*(1-Recovery_OX!F81)</f>
        <v>0</v>
      </c>
      <c r="N81" s="476">
        <f>K81*(1-Recovery_OX!E81)*(1-Recovery_OX!F81)</f>
        <v>2.66471355231555E-2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24.445925964852485</v>
      </c>
      <c r="H82" s="473">
        <f>H81+HWP!E82</f>
        <v>20.167888921003296</v>
      </c>
      <c r="I82" s="456"/>
      <c r="J82" s="475">
        <f>Garden!J89</f>
        <v>0</v>
      </c>
      <c r="K82" s="476">
        <f>Paper!J89</f>
        <v>2.4845624479986447E-2</v>
      </c>
      <c r="L82" s="477">
        <f>Wood!J89</f>
        <v>0</v>
      </c>
      <c r="M82" s="478">
        <f>J82*(1-Recovery_OX!E82)*(1-Recovery_OX!F82)</f>
        <v>0</v>
      </c>
      <c r="N82" s="476">
        <f>K82*(1-Recovery_OX!E82)*(1-Recovery_OX!F82)</f>
        <v>2.4845624479986447E-2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24.445925964852485</v>
      </c>
      <c r="H83" s="473">
        <f>H82+HWP!E83</f>
        <v>20.167888921003296</v>
      </c>
      <c r="I83" s="456"/>
      <c r="J83" s="475">
        <f>Garden!J90</f>
        <v>0</v>
      </c>
      <c r="K83" s="476">
        <f>Paper!J90</f>
        <v>2.3165906716843303E-2</v>
      </c>
      <c r="L83" s="477">
        <f>Wood!J90</f>
        <v>0</v>
      </c>
      <c r="M83" s="478">
        <f>J83*(1-Recovery_OX!E83)*(1-Recovery_OX!F83)</f>
        <v>0</v>
      </c>
      <c r="N83" s="476">
        <f>K83*(1-Recovery_OX!E83)*(1-Recovery_OX!F83)</f>
        <v>2.3165906716843303E-2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24.445925964852485</v>
      </c>
      <c r="H84" s="473">
        <f>H83+HWP!E84</f>
        <v>20.167888921003296</v>
      </c>
      <c r="I84" s="456"/>
      <c r="J84" s="475">
        <f>Garden!J91</f>
        <v>0</v>
      </c>
      <c r="K84" s="476">
        <f>Paper!J91</f>
        <v>2.1599748255302389E-2</v>
      </c>
      <c r="L84" s="477">
        <f>Wood!J91</f>
        <v>0</v>
      </c>
      <c r="M84" s="478">
        <f>J84*(1-Recovery_OX!E84)*(1-Recovery_OX!F84)</f>
        <v>0</v>
      </c>
      <c r="N84" s="476">
        <f>K84*(1-Recovery_OX!E84)*(1-Recovery_OX!F84)</f>
        <v>2.1599748255302389E-2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24.445925964852485</v>
      </c>
      <c r="H85" s="473">
        <f>H84+HWP!E85</f>
        <v>20.167888921003296</v>
      </c>
      <c r="I85" s="456"/>
      <c r="J85" s="475">
        <f>Garden!J92</f>
        <v>0</v>
      </c>
      <c r="K85" s="476">
        <f>Paper!J92</f>
        <v>2.0139471784768239E-2</v>
      </c>
      <c r="L85" s="477">
        <f>Wood!J92</f>
        <v>0</v>
      </c>
      <c r="M85" s="478">
        <f>J85*(1-Recovery_OX!E85)*(1-Recovery_OX!F85)</f>
        <v>0</v>
      </c>
      <c r="N85" s="476">
        <f>K85*(1-Recovery_OX!E85)*(1-Recovery_OX!F85)</f>
        <v>2.0139471784768239E-2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24.445925964852485</v>
      </c>
      <c r="H86" s="473">
        <f>H85+HWP!E86</f>
        <v>20.167888921003296</v>
      </c>
      <c r="I86" s="456"/>
      <c r="J86" s="475">
        <f>Garden!J93</f>
        <v>0</v>
      </c>
      <c r="K86" s="476">
        <f>Paper!J93</f>
        <v>1.8777919028288126E-2</v>
      </c>
      <c r="L86" s="477">
        <f>Wood!J93</f>
        <v>0</v>
      </c>
      <c r="M86" s="478">
        <f>J86*(1-Recovery_OX!E86)*(1-Recovery_OX!F86)</f>
        <v>0</v>
      </c>
      <c r="N86" s="476">
        <f>K86*(1-Recovery_OX!E86)*(1-Recovery_OX!F86)</f>
        <v>1.8777919028288126E-2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24.445925964852485</v>
      </c>
      <c r="H87" s="473">
        <f>H86+HWP!E87</f>
        <v>20.167888921003296</v>
      </c>
      <c r="I87" s="456"/>
      <c r="J87" s="475">
        <f>Garden!J94</f>
        <v>0</v>
      </c>
      <c r="K87" s="476">
        <f>Paper!J94</f>
        <v>1.7508415652670157E-2</v>
      </c>
      <c r="L87" s="477">
        <f>Wood!J94</f>
        <v>0</v>
      </c>
      <c r="M87" s="478">
        <f>J87*(1-Recovery_OX!E87)*(1-Recovery_OX!F87)</f>
        <v>0</v>
      </c>
      <c r="N87" s="476">
        <f>K87*(1-Recovery_OX!E87)*(1-Recovery_OX!F87)</f>
        <v>1.7508415652670157E-2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24.445925964852485</v>
      </c>
      <c r="H88" s="473">
        <f>H87+HWP!E88</f>
        <v>20.167888921003296</v>
      </c>
      <c r="I88" s="456"/>
      <c r="J88" s="475">
        <f>Garden!J95</f>
        <v>0</v>
      </c>
      <c r="K88" s="476">
        <f>Paper!J95</f>
        <v>1.6324738550894224E-2</v>
      </c>
      <c r="L88" s="477">
        <f>Wood!J95</f>
        <v>0</v>
      </c>
      <c r="M88" s="478">
        <f>J88*(1-Recovery_OX!E88)*(1-Recovery_OX!F88)</f>
        <v>0</v>
      </c>
      <c r="N88" s="476">
        <f>K88*(1-Recovery_OX!E88)*(1-Recovery_OX!F88)</f>
        <v>1.6324738550894224E-2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24.445925964852485</v>
      </c>
      <c r="H89" s="473">
        <f>H88+HWP!E89</f>
        <v>20.167888921003296</v>
      </c>
      <c r="I89" s="456"/>
      <c r="J89" s="475">
        <f>Garden!J96</f>
        <v>0</v>
      </c>
      <c r="K89" s="476">
        <f>Paper!J96</f>
        <v>1.5221085336434161E-2</v>
      </c>
      <c r="L89" s="477">
        <f>Wood!J96</f>
        <v>0</v>
      </c>
      <c r="M89" s="478">
        <f>J89*(1-Recovery_OX!E89)*(1-Recovery_OX!F89)</f>
        <v>0</v>
      </c>
      <c r="N89" s="476">
        <f>K89*(1-Recovery_OX!E89)*(1-Recovery_OX!F89)</f>
        <v>1.5221085336434161E-2</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24.445925964852485</v>
      </c>
      <c r="H90" s="473">
        <f>H89+HWP!E90</f>
        <v>20.167888921003296</v>
      </c>
      <c r="I90" s="456"/>
      <c r="J90" s="475">
        <f>Garden!J97</f>
        <v>0</v>
      </c>
      <c r="K90" s="476">
        <f>Paper!J97</f>
        <v>1.4192045899952262E-2</v>
      </c>
      <c r="L90" s="477">
        <f>Wood!J97</f>
        <v>0</v>
      </c>
      <c r="M90" s="478">
        <f>J90*(1-Recovery_OX!E90)*(1-Recovery_OX!F90)</f>
        <v>0</v>
      </c>
      <c r="N90" s="476">
        <f>K90*(1-Recovery_OX!E90)*(1-Recovery_OX!F90)</f>
        <v>1.4192045899952262E-2</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24.445925964852485</v>
      </c>
      <c r="H91" s="473">
        <f>H90+HWP!E91</f>
        <v>20.167888921003296</v>
      </c>
      <c r="I91" s="456"/>
      <c r="J91" s="475">
        <f>Garden!J98</f>
        <v>0</v>
      </c>
      <c r="K91" s="476">
        <f>Paper!J98</f>
        <v>1.3232575888937042E-2</v>
      </c>
      <c r="L91" s="477">
        <f>Wood!J98</f>
        <v>0</v>
      </c>
      <c r="M91" s="478">
        <f>J91*(1-Recovery_OX!E91)*(1-Recovery_OX!F91)</f>
        <v>0</v>
      </c>
      <c r="N91" s="476">
        <f>K91*(1-Recovery_OX!E91)*(1-Recovery_OX!F91)</f>
        <v>1.3232575888937042E-2</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24.445925964852485</v>
      </c>
      <c r="H92" s="482">
        <f>H91+HWP!E92</f>
        <v>20.167888921003296</v>
      </c>
      <c r="I92" s="456"/>
      <c r="J92" s="484">
        <f>Garden!J99</f>
        <v>0</v>
      </c>
      <c r="K92" s="485">
        <f>Paper!J99</f>
        <v>1.2337971980281357E-2</v>
      </c>
      <c r="L92" s="486">
        <f>Wood!J99</f>
        <v>0</v>
      </c>
      <c r="M92" s="487">
        <f>J92*(1-Recovery_OX!E92)*(1-Recovery_OX!F92)</f>
        <v>0</v>
      </c>
      <c r="N92" s="485">
        <f>K92*(1-Recovery_OX!E92)*(1-Recovery_OX!F92)</f>
        <v>1.2337971980281357E-2</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2017-09-14T06:38:54Z</dcterms:modified>
</cp:coreProperties>
</file>